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bookViews>
    <workbookView showHorizontalScroll="true" showVerticalScroll="true" showSheetTabs="true" xWindow="0" yWindow="0" windowWidth="16384" windowHeight="8192" tabRatio="500" firstSheet="0" activeTab="1"/>
  </bookViews>
  <sheets>
    <sheet name="Read Me" sheetId="1" state="visible" r:id="rId3"/>
    <sheet name="Overview" sheetId="2" state="visible" r:id="rId4"/>
    <sheet name="Settings" sheetId="3" state="visible" r:id="rId5"/>
    <sheet name="Options" sheetId="4" state="visible" r:id="rId6"/>
    <sheet name="SKU Data" sheetId="5" state="visible" r:id="rId7"/>
    <sheet name="Option Analysis" sheetId="6" state="visible" r:id="rId8"/>
    <sheet name="Action List" sheetId="7" state="visible" r:id="rId9"/>
    <sheet name="Category View" sheetId="8" state="visible" r:id="rId10"/>
    <sheet name="Size Learning" sheetId="9" state="visible" r:id="rId11"/>
    <sheet name="Post-Peak Review" sheetId="10" state="visible" r:id="rId12"/>
    <sheet name="Checks" sheetId="11" state="visible" r:id="rId1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<sst xmlns="http://schemas.openxmlformats.org/spreadsheetml/2006/main" count="2365" uniqueCount="834">
  <si>
    <t xml:space="preserve">Availability and Stock Intelligence</t>
  </si>
  <si>
    <t xml:space="preserve">Barking Cat. Diagnosis before solutions.</t>
  </si>
  <si>
    <t xml:space="preserve">What this is</t>
  </si>
  <si>
    <t xml:space="preserve">A stock report turned into trading decisions. Paste a weekly SKU export, add the context only the business knows, and it returns a ranked action list with the money behind every line: lost sales, markdown exposure and cash tied up.</t>
  </si>
  <si>
    <t xml:space="preserve">It ships with a fictional apparel retailer: 60 options and 360 sizes, a few weeks after peak. None of the figures describe a real business or an industry benchmark.</t>
  </si>
  <si>
    <t xml:space="preserve">Two stages, on purpose</t>
  </si>
  <si>
    <t xml:space="preserve">Stage one is the position, from the numbers: sell-through against where the season should be, and weeks cover against lead time and the weeks left. Six positions, from selling and short to slow and heavy.</t>
  </si>
  <si>
    <t xml:space="preserve">Stage two is the context: lifecycle, whether the line does a job in the range, whether it was promoted, whether it is held for a campaign, whether it is covering for a sold-out line, whether customers can actually find it, and when the next order lands. The same position can need opposite actions. A fast seller with low cover needs a reorder, unless it is end of life, was flattered by a promotion, or a reorder would land after the season ends.</t>
  </si>
  <si>
    <t xml:space="preserve">The workbook recommends; the business decides. Overrule any recommendation on the Options sheet, and write the reason and evidence beside it.</t>
  </si>
  <si>
    <t xml:space="preserve">Definitions</t>
  </si>
  <si>
    <t xml:space="preserve">Availability: every core size in stock, published and findable online. Stock in the warehouse that a customer cannot buy is not availability. Weighted by rate of sale; lines with no demand are excluded.</t>
  </si>
  <si>
    <t xml:space="preserve">Weeks cover: stock sellable online divided by the forward rate of sale, which is a weighted average of the last four weeks adjusted for the demand outlook. Not a trailing average: those lie into and out of peak.</t>
  </si>
  <si>
    <t xml:space="preserve">Sell-through: units sold divided by units received less transfers out, this season. Full-price sell-through counts only units sold at full price.</t>
  </si>
  <si>
    <t xml:space="preserve">Rate of sale: units a week, weighted towards the most recent weeks. Rate of sale when in stock divides sales by the weeks each size was actually available, so it shows demand rather than what the stock allowed. A line with sizes missing always looks slower than it is.</t>
  </si>
  <si>
    <t xml:space="preserve">Broken size curve: stock left, but at least one core size at zero. Lost sales: each size's rate of sale when in stock multiplied by the weeks it sat at zero in the last four, at full price, less the share of demand picked up by alternatives. An estimate, labelled as one.</t>
  </si>
  <si>
    <t xml:space="preserve">Substitution: when a strong line sells out, an alternative often picks up some of its demand. Set a default share on Settings, or name the alternative and its share on the Options sheet. The alternative is flagged as covering: part of its rate is borrowed, so reorder it with care.</t>
  </si>
  <si>
    <t xml:space="preserve">Campaign stock: product bought for a future promotion or campaign sits dormant until it starts. Name the campaign, its start and its planned units; the line is held and judged on the campaign, with markdown exposure only on stock beyond the plan.</t>
  </si>
  <si>
    <t xml:space="preserve">What? So what? Now what?</t>
  </si>
  <si>
    <t xml:space="preserve">The Action List answers all three for every option. What? is the position. So what? is the money at stake. Now what? is the decision and its owner. It is ranked by money, so the meeting starts with the line that matters most.</t>
  </si>
  <si>
    <t xml:space="preserve">How to use it</t>
  </si>
  <si>
    <t xml:space="preserve">1. Settings: the season, weeks traded, the rate-of-sale weights, the demand outlook, thresholds and owners.</t>
  </si>
  <si>
    <t xml:space="preserve">2. Options: one row per style and colour, with the context columns. 3. SKU Data: paste the export. 4. Checks: clear every FAIL.</t>
  </si>
  <si>
    <t xml:space="preserve">5. Action List, then Category View, then Size Learning. After peak, the Post-Peak Review is the page to send to the people buying next season.</t>
  </si>
  <si>
    <t xml:space="preserve">Colour key and protection</t>
  </si>
  <si>
    <t xml:space="preserve">Blue text on a pale gold fill: an input. Black or green text: a formula.</t>
  </si>
  <si>
    <t xml:space="preserve">Every sheet is protected so only inputs can be edited. There is no password: Review, then Unprotect Sheet, to change the workbook itself.</t>
  </si>
  <si>
    <t xml:space="preserve">Limits</t>
  </si>
  <si>
    <t xml:space="preserve">It reads stock you hold online, not stock in transit or in stores. It does not model component products, where one missing part takes several products offline; flag those by hand. Lost sales and markdown exposure are estimates. Thresholds are examples.</t>
  </si>
  <si>
    <t xml:space="preserve">A slow line flagged as doing a range job is left alone only if there is evidence for it. Write the evidence down, and check it next season.</t>
  </si>
  <si>
    <t xml:space="preserve">Built by Barking Cat. Version v1.0.</t>
  </si>
  <si>
    <t xml:space="preserve">Barking Cat Advisory Limited. Registered in England and Wales, company number 17338003. Registered office: The Old Constabulary, Welsh Row, Nantwich, Cheshire CW5 5ET. barkingcat.ai</t>
  </si>
  <si>
    <t xml:space="preserve">Overview</t>
  </si>
  <si>
    <t xml:space="preserve">The stock position in one page: what it is, what it costs, and what to do about it.</t>
  </si>
  <si>
    <t xml:space="preserve">Data checks</t>
  </si>
  <si>
    <t xml:space="preserve">Season and week</t>
  </si>
  <si>
    <t xml:space="preserve">What? The position</t>
  </si>
  <si>
    <t xml:space="preserve">Options</t>
  </si>
  <si>
    <t xml:space="preserve">Stock sellable online (units)</t>
  </si>
  <si>
    <t xml:space="preserve">Sell-through, all prices</t>
  </si>
  <si>
    <t xml:space="preserve">Full-price sell-through</t>
  </si>
  <si>
    <t xml:space="preserve">Weighted availability, top lines</t>
  </si>
  <si>
    <t xml:space="preserve">Options with a broken size curve</t>
  </si>
  <si>
    <t xml:space="preserve">Options in stock but hidden from customers</t>
  </si>
  <si>
    <t xml:space="preserve">So what? The money</t>
  </si>
  <si>
    <t xml:space="preserve">Stock at cost</t>
  </si>
  <si>
    <t xml:space="preserve">Cash in excess stock</t>
  </si>
  <si>
    <t xml:space="preserve">Markdown exposure</t>
  </si>
  <si>
    <t xml:space="preserve">Estimated lost sales, last four weeks, net of substitution</t>
  </si>
  <si>
    <t xml:space="preserve">Stock held for campaigns, at cost</t>
  </si>
  <si>
    <t xml:space="preserve">Lost sales and markdown exposure are estimates; stock at cost is measured. Read them as the size of the problem, not a forecast.</t>
  </si>
  <si>
    <t xml:space="preserve">Now what? Decisions by type</t>
  </si>
  <si>
    <t xml:space="preserve">Decision</t>
  </si>
  <si>
    <t xml:space="preserve">Money at stake (£)</t>
  </si>
  <si>
    <t xml:space="preserve">Owner</t>
  </si>
  <si>
    <t xml:space="preserve">Your own decisions (not in the list)</t>
  </si>
  <si>
    <t xml:space="preserve">Settings</t>
  </si>
  <si>
    <t xml:space="preserve">Edit the shaded cells. The thresholds are examples; set them from your own history and season plan.</t>
  </si>
  <si>
    <t xml:space="preserve">Setting</t>
  </si>
  <si>
    <t xml:space="preserve">Value</t>
  </si>
  <si>
    <t xml:space="preserve">Notes</t>
  </si>
  <si>
    <t xml:space="preserve">Retailer</t>
  </si>
  <si>
    <t xml:space="preserve">Example Retailer (fictional)</t>
  </si>
  <si>
    <t xml:space="preserve">Illustrative business.</t>
  </si>
  <si>
    <t xml:space="preserve">Report week ending</t>
  </si>
  <si>
    <t xml:space="preserve">The last full trading week in the export.</t>
  </si>
  <si>
    <t xml:space="preserve">Season</t>
  </si>
  <si>
    <t xml:space="preserve">AW26</t>
  </si>
  <si>
    <t xml:space="preserve">Label only.</t>
  </si>
  <si>
    <t xml:space="preserve">Season length (weeks)</t>
  </si>
  <si>
    <t xml:space="preserve">Weeks of the season traded</t>
  </si>
  <si>
    <t xml:space="preserve">Weeks of the season left</t>
  </si>
  <si>
    <t xml:space="preserve">Calculated.</t>
  </si>
  <si>
    <t xml:space="preserve">Rate-of-sale weight: last week</t>
  </si>
  <si>
    <t xml:space="preserve">Recent weeks count most. The four weights should add to 100%.</t>
  </si>
  <si>
    <t xml:space="preserve">Rate-of-sale weight: two weeks ago</t>
  </si>
  <si>
    <t xml:space="preserve">Rate-of-sale weight: three weeks ago</t>
  </si>
  <si>
    <t xml:space="preserve">Rate-of-sale weight: four weeks ago</t>
  </si>
  <si>
    <t xml:space="preserve">Weight check</t>
  </si>
  <si>
    <t xml:space="preserve">Must be 100%.</t>
  </si>
  <si>
    <t xml:space="preserve">Demand outlook, next four weeks vs last four</t>
  </si>
  <si>
    <t xml:space="preserve">Forward rate of sale = weighted rate x this. Below 100% after peak, above it going into one.</t>
  </si>
  <si>
    <t xml:space="preserve">Planned sell-through by season end</t>
  </si>
  <si>
    <t xml:space="preserve">All prices, on units received less transfers out.</t>
  </si>
  <si>
    <t xml:space="preserve">On-track sell-through to date</t>
  </si>
  <si>
    <t xml:space="preserve">Calculated as a straight line. Replace with your own season curve if you have one.</t>
  </si>
  <si>
    <t xml:space="preserve">Weeks of cover allowed to carry past season end (seasonal lines)</t>
  </si>
  <si>
    <t xml:space="preserve">Cover above weeks left plus this is flagged as heavy.</t>
  </si>
  <si>
    <t xml:space="preserve">Maximum cover for core lines (weeks)</t>
  </si>
  <si>
    <t xml:space="preserve">Core lines continue, so they are judged against this, not the season end.</t>
  </si>
  <si>
    <t xml:space="preserve">Default supplier lead time (weeks)</t>
  </si>
  <si>
    <t xml:space="preserve">Used where an option has no lead time of its own.</t>
  </si>
  <si>
    <t xml:space="preserve">Markdown depth needed to clear excess stock</t>
  </si>
  <si>
    <t xml:space="preserve">Used to value markdown exposure. An estimate.</t>
  </si>
  <si>
    <t xml:space="preserve">Top lines counted in the availability KPI</t>
  </si>
  <si>
    <t xml:space="preserve">By weighted rate of sale. Lines with no demand are excluded.</t>
  </si>
  <si>
    <t xml:space="preserve">Share of lost demand picked up by alternatives (default)</t>
  </si>
  <si>
    <t xml:space="preserve">When a line sells out, some customers buy something else. Lost sales are shown net of this share. An example: replace it with your own evidence, or set a share per option.</t>
  </si>
  <si>
    <t xml:space="preserve">Actions and owners</t>
  </si>
  <si>
    <t xml:space="preserve">Action</t>
  </si>
  <si>
    <t xml:space="preserve">When it applies</t>
  </si>
  <si>
    <t xml:space="preserve">Fix findability: it is in stock but customers cannot find it</t>
  </si>
  <si>
    <t xml:space="preserve">Ecommerce Trading Manager</t>
  </si>
  <si>
    <t xml:space="preserve">Stock is there but the option is unpublished or hidden from navigation and search</t>
  </si>
  <si>
    <t xml:space="preserve">Chase the purchase order for core sizes</t>
  </si>
  <si>
    <t xml:space="preserve">Merchandiser</t>
  </si>
  <si>
    <t xml:space="preserve">Selling well, core sizes gone, a purchase order is open</t>
  </si>
  <si>
    <t xml:space="preserve">Reorder core sizes, or transfer them in</t>
  </si>
  <si>
    <t xml:space="preserve">Selling well, core sizes gone, nothing on order</t>
  </si>
  <si>
    <t xml:space="preserve">Exit: clear the remaining sizes</t>
  </si>
  <si>
    <t xml:space="preserve">Trading Manager</t>
  </si>
  <si>
    <t xml:space="preserve">End-of-life line with a broken size curve</t>
  </si>
  <si>
    <t xml:space="preserve">Let it sell out</t>
  </si>
  <si>
    <t xml:space="preserve">End-of-life line selling fast</t>
  </si>
  <si>
    <t xml:space="preserve">Check demand without the promotion before reordering</t>
  </si>
  <si>
    <t xml:space="preserve">Selling fast, but it was promoted in the last four weeks</t>
  </si>
  <si>
    <t xml:space="preserve">Check how much of its rate is borrowed from a sold-out line before reordering</t>
  </si>
  <si>
    <t xml:space="preserve">Selling fast while covering for a line that has sold out: part of its demand will go back when that line returns</t>
  </si>
  <si>
    <t xml:space="preserve">Hold: the purchase order lands in time</t>
  </si>
  <si>
    <t xml:space="preserve">Selling fast, and the open order arrives before stock runs out</t>
  </si>
  <si>
    <t xml:space="preserve">Chase the purchase order: it lands after stock runs out</t>
  </si>
  <si>
    <t xml:space="preserve">Selling fast, and the open order arrives too late</t>
  </si>
  <si>
    <t xml:space="preserve">Sell through; carry the lesson into next season's buy</t>
  </si>
  <si>
    <t xml:space="preserve">Buyer</t>
  </si>
  <si>
    <t xml:space="preserve">Seasonal line selling fast, but a reorder would land after the season ends</t>
  </si>
  <si>
    <t xml:space="preserve">Reorder</t>
  </si>
  <si>
    <t xml:space="preserve">Selling fast, cover below lead time, nothing on order</t>
  </si>
  <si>
    <t xml:space="preserve">Protect: hold price and depth</t>
  </si>
  <si>
    <t xml:space="preserve">Core line selling well with plenty of cover</t>
  </si>
  <si>
    <t xml:space="preserve">Hold price for now; set the markdown date</t>
  </si>
  <si>
    <t xml:space="preserve">Seasonal line selling well, but more stock than the season has left to sell</t>
  </si>
  <si>
    <t xml:space="preserve">Hold</t>
  </si>
  <si>
    <t xml:space="preserve">Selling well, cover in balance</t>
  </si>
  <si>
    <t xml:space="preserve">Leave it: it is doing a range job (check the evidence)</t>
  </si>
  <si>
    <t xml:space="preserve">Merchandise Director</t>
  </si>
  <si>
    <t xml:space="preserve">Slow and heavy, but flagged as doing a job in the range</t>
  </si>
  <si>
    <t xml:space="preserve">Exit: mark down to clear</t>
  </si>
  <si>
    <t xml:space="preserve">End-of-life line, slow and heavy</t>
  </si>
  <si>
    <t xml:space="preserve">Mark down or re-merchandise</t>
  </si>
  <si>
    <t xml:space="preserve">Seasonal or core line, slow and heavy</t>
  </si>
  <si>
    <t xml:space="preserve">Fix the size curve or exit</t>
  </si>
  <si>
    <t xml:space="preserve">Slow, short and broken: the sizes customers want are gone</t>
  </si>
  <si>
    <t xml:space="preserve">Check availability and findability before judging demand</t>
  </si>
  <si>
    <t xml:space="preserve">Slow and short: it may not be slow, it may be missing</t>
  </si>
  <si>
    <t xml:space="preserve">Watch; re-merchandise if it does not move</t>
  </si>
  <si>
    <t xml:space="preserve">Slow, cover in balance</t>
  </si>
  <si>
    <t xml:space="preserve">Hold for the campaign; judge it on the campaign's rate of sale</t>
  </si>
  <si>
    <t xml:space="preserve">Bought for a future promotion or campaign, so dormant until it starts</t>
  </si>
  <si>
    <t xml:space="preserve">Hold for the campaign, but stock exceeds the campaign plan: agree the exit now</t>
  </si>
  <si>
    <t xml:space="preserve">Held for a future campaign with more stock than the campaign plans to sell</t>
  </si>
  <si>
    <t xml:space="preserve">One row per style and colour. The context columns (lifecycle, range role, promotion, published, findable, orders) are the second stage of the decision: they turn a stock position into an action.</t>
  </si>
  <si>
    <t xml:space="preserve">Option ID</t>
  </si>
  <si>
    <t xml:space="preserve">Style</t>
  </si>
  <si>
    <t xml:space="preserve">Colour</t>
  </si>
  <si>
    <t xml:space="preserve">Sub-category</t>
  </si>
  <si>
    <t xml:space="preserve">Category</t>
  </si>
  <si>
    <t xml:space="preserve">Brand</t>
  </si>
  <si>
    <t xml:space="preserve">Size scheme</t>
  </si>
  <si>
    <t xml:space="preserve">Lifecycle</t>
  </si>
  <si>
    <t xml:space="preserve">Doing a range job? (Y)</t>
  </si>
  <si>
    <t xml:space="preserve">Full price (£)</t>
  </si>
  <si>
    <t xml:space="preserve">Unit cost (£)</t>
  </si>
  <si>
    <t xml:space="preserve">Lead time (weeks)</t>
  </si>
  <si>
    <t xml:space="preserve">Open purchase order (units)</t>
  </si>
  <si>
    <t xml:space="preserve">Order due in (weeks)</t>
  </si>
  <si>
    <t xml:space="preserve">Promoted in the last four weeks? (Y)</t>
  </si>
  <si>
    <t xml:space="preserve">Published online? (Y/N)</t>
  </si>
  <si>
    <t xml:space="preserve">Findable in navigation and search? (Y/N)</t>
  </si>
  <si>
    <t xml:space="preserve">Main alternative (Option ID)</t>
  </si>
  <si>
    <t xml:space="preserve">Share of its lost demand the alternative picks up</t>
  </si>
  <si>
    <t xml:space="preserve">Held for a campaign or promotion (name)</t>
  </si>
  <si>
    <t xml:space="preserve">Campaign starts in (weeks)</t>
  </si>
  <si>
    <t xml:space="preserve">Planned campaign units</t>
  </si>
  <si>
    <t xml:space="preserve">Your decision (overrides the recommendation)</t>
  </si>
  <si>
    <t xml:space="preserve">Reason and evidence</t>
  </si>
  <si>
    <t xml:space="preserve">Sample story</t>
  </si>
  <si>
    <t xml:space="preserve">OPT001</t>
  </si>
  <si>
    <t xml:space="preserve">Harrington jacket</t>
  </si>
  <si>
    <t xml:space="preserve">Navy</t>
  </si>
  <si>
    <t xml:space="preserve">Jackets</t>
  </si>
  <si>
    <t xml:space="preserve">Outerwear</t>
  </si>
  <si>
    <t xml:space="preserve">Own brand</t>
  </si>
  <si>
    <t xml:space="preserve">Letter</t>
  </si>
  <si>
    <t xml:space="preserve">End of life</t>
  </si>
  <si>
    <t xml:space="preserve">Y</t>
  </si>
  <si>
    <t xml:space="preserve">End of life, slow</t>
  </si>
  <si>
    <t xml:space="preserve">OPT002</t>
  </si>
  <si>
    <t xml:space="preserve">Duffle coat</t>
  </si>
  <si>
    <t xml:space="preserve">Olive</t>
  </si>
  <si>
    <t xml:space="preserve">Coats</t>
  </si>
  <si>
    <t xml:space="preserve">OPT003</t>
  </si>
  <si>
    <t xml:space="preserve">Stone</t>
  </si>
  <si>
    <t xml:space="preserve">Seasonal</t>
  </si>
  <si>
    <t xml:space="preserve">Winner with depth</t>
  </si>
  <si>
    <t xml:space="preserve">OPT004</t>
  </si>
  <si>
    <t xml:space="preserve">Car coat</t>
  </si>
  <si>
    <t xml:space="preserve">Charcoal</t>
  </si>
  <si>
    <t xml:space="preserve">N</t>
  </si>
  <si>
    <t xml:space="preserve">In stock, hidden from customers</t>
  </si>
  <si>
    <t xml:space="preserve">OPT005</t>
  </si>
  <si>
    <t xml:space="preserve">Puffer jacket</t>
  </si>
  <si>
    <t xml:space="preserve">Burgundy</t>
  </si>
  <si>
    <t xml:space="preserve">Looks slow; bought shallow, so little to sell</t>
  </si>
  <si>
    <t xml:space="preserve">OPT006</t>
  </si>
  <si>
    <t xml:space="preserve">Overcoat</t>
  </si>
  <si>
    <t xml:space="preserve">Rust</t>
  </si>
  <si>
    <t xml:space="preserve">OPT007</t>
  </si>
  <si>
    <t xml:space="preserve">Cream</t>
  </si>
  <si>
    <t xml:space="preserve">Selling fast; order lands too late</t>
  </si>
  <si>
    <t xml:space="preserve">OPT008</t>
  </si>
  <si>
    <t xml:space="preserve">Black</t>
  </si>
  <si>
    <t xml:space="preserve">Partner brand</t>
  </si>
  <si>
    <t xml:space="preserve">OPT009</t>
  </si>
  <si>
    <t xml:space="preserve">Forest</t>
  </si>
  <si>
    <t xml:space="preserve">OPT010</t>
  </si>
  <si>
    <t xml:space="preserve">Sand</t>
  </si>
  <si>
    <t xml:space="preserve">OPT011</t>
  </si>
  <si>
    <t xml:space="preserve">Shacket</t>
  </si>
  <si>
    <t xml:space="preserve">Teal</t>
  </si>
  <si>
    <t xml:space="preserve">OPT012</t>
  </si>
  <si>
    <t xml:space="preserve">Mustard</t>
  </si>
  <si>
    <t xml:space="preserve">Slow and heavy</t>
  </si>
  <si>
    <t xml:space="preserve">OPT013</t>
  </si>
  <si>
    <t xml:space="preserve">Bright colour: slow, but draws customers into the range</t>
  </si>
  <si>
    <t xml:space="preserve">OPT014</t>
  </si>
  <si>
    <t xml:space="preserve">Parka</t>
  </si>
  <si>
    <t xml:space="preserve">Cobalt</t>
  </si>
  <si>
    <t xml:space="preserve">Bought shallow in core sizes</t>
  </si>
  <si>
    <t xml:space="preserve">OPT015</t>
  </si>
  <si>
    <t xml:space="preserve">Tan</t>
  </si>
  <si>
    <t xml:space="preserve">OPT016</t>
  </si>
  <si>
    <t xml:space="preserve">Lambswool crew</t>
  </si>
  <si>
    <t xml:space="preserve">Crew necks</t>
  </si>
  <si>
    <t xml:space="preserve">Knitwear</t>
  </si>
  <si>
    <t xml:space="preserve">Alternative picking up demand from a sold-out line</t>
  </si>
  <si>
    <t xml:space="preserve">OPT017</t>
  </si>
  <si>
    <t xml:space="preserve">Button cardigan</t>
  </si>
  <si>
    <t xml:space="preserve">Cardigans</t>
  </si>
  <si>
    <t xml:space="preserve">OPT018</t>
  </si>
  <si>
    <t xml:space="preserve">Core sizes gone, fringe sizes left</t>
  </si>
  <si>
    <t xml:space="preserve">OPT019</t>
  </si>
  <si>
    <t xml:space="preserve">Shawl cardigan</t>
  </si>
  <si>
    <t xml:space="preserve">OPT020</t>
  </si>
  <si>
    <t xml:space="preserve">OPT021</t>
  </si>
  <si>
    <t xml:space="preserve">Valentine's gifting</t>
  </si>
  <si>
    <t xml:space="preserve">Bought for a future campaign: dormant until it starts</t>
  </si>
  <si>
    <t xml:space="preserve">OPT022</t>
  </si>
  <si>
    <t xml:space="preserve">Cable crew</t>
  </si>
  <si>
    <t xml:space="preserve">Selling fast; order lands in time</t>
  </si>
  <si>
    <t xml:space="preserve">OPT023</t>
  </si>
  <si>
    <t xml:space="preserve">Core</t>
  </si>
  <si>
    <t xml:space="preserve">OPT024</t>
  </si>
  <si>
    <t xml:space="preserve">Pink</t>
  </si>
  <si>
    <t xml:space="preserve">OPT025</t>
  </si>
  <si>
    <t xml:space="preserve">OPT026</t>
  </si>
  <si>
    <t xml:space="preserve">OPT027</t>
  </si>
  <si>
    <t xml:space="preserve">OPT028</t>
  </si>
  <si>
    <t xml:space="preserve">OPT029</t>
  </si>
  <si>
    <t xml:space="preserve">OPT030</t>
  </si>
  <si>
    <t xml:space="preserve">OPT031</t>
  </si>
  <si>
    <t xml:space="preserve">Button-down shirt</t>
  </si>
  <si>
    <t xml:space="preserve">Oxford</t>
  </si>
  <si>
    <t xml:space="preserve">Shirts</t>
  </si>
  <si>
    <t xml:space="preserve">OPT032</t>
  </si>
  <si>
    <t xml:space="preserve">Flannel shirt</t>
  </si>
  <si>
    <t xml:space="preserve">Flannel</t>
  </si>
  <si>
    <t xml:space="preserve">OPT033</t>
  </si>
  <si>
    <t xml:space="preserve">Oxford shirt</t>
  </si>
  <si>
    <t xml:space="preserve">OPT034</t>
  </si>
  <si>
    <t xml:space="preserve">OPT035</t>
  </si>
  <si>
    <t xml:space="preserve">OPT036</t>
  </si>
  <si>
    <t xml:space="preserve">Check overshirt</t>
  </si>
  <si>
    <t xml:space="preserve">OPT037</t>
  </si>
  <si>
    <t xml:space="preserve">OPT038</t>
  </si>
  <si>
    <t xml:space="preserve">End of life, selling fast</t>
  </si>
  <si>
    <t xml:space="preserve">OPT039</t>
  </si>
  <si>
    <t xml:space="preserve">OPT040</t>
  </si>
  <si>
    <t xml:space="preserve">OPT041</t>
  </si>
  <si>
    <t xml:space="preserve">OPT042</t>
  </si>
  <si>
    <t xml:space="preserve">OPT043</t>
  </si>
  <si>
    <t xml:space="preserve">Spike from a promotion</t>
  </si>
  <si>
    <t xml:space="preserve">OPT044</t>
  </si>
  <si>
    <t xml:space="preserve">OPT045</t>
  </si>
  <si>
    <t xml:space="preserve">Core line selling fast</t>
  </si>
  <si>
    <t xml:space="preserve">OPT046</t>
  </si>
  <si>
    <t xml:space="preserve">Regular chino</t>
  </si>
  <si>
    <t xml:space="preserve">Chinos</t>
  </si>
  <si>
    <t xml:space="preserve">Trousers</t>
  </si>
  <si>
    <t xml:space="preserve">Waist</t>
  </si>
  <si>
    <t xml:space="preserve">OPT047</t>
  </si>
  <si>
    <t xml:space="preserve">Cord trouser</t>
  </si>
  <si>
    <t xml:space="preserve">Cords</t>
  </si>
  <si>
    <t xml:space="preserve">OPT048</t>
  </si>
  <si>
    <t xml:space="preserve">Slim chino</t>
  </si>
  <si>
    <t xml:space="preserve">OPT049</t>
  </si>
  <si>
    <t xml:space="preserve">End of life, broken curve</t>
  </si>
  <si>
    <t xml:space="preserve">OPT050</t>
  </si>
  <si>
    <t xml:space="preserve">OPT051</t>
  </si>
  <si>
    <t xml:space="preserve">OPT052</t>
  </si>
  <si>
    <t xml:space="preserve">OPT053</t>
  </si>
  <si>
    <t xml:space="preserve">OPT054</t>
  </si>
  <si>
    <t xml:space="preserve">OPT055</t>
  </si>
  <si>
    <t xml:space="preserve">OPT056</t>
  </si>
  <si>
    <t xml:space="preserve">Members' weekend</t>
  </si>
  <si>
    <t xml:space="preserve">OPT057</t>
  </si>
  <si>
    <t xml:space="preserve">Jumbo cord</t>
  </si>
  <si>
    <t xml:space="preserve">Seasonal winner; reorder would miss the season</t>
  </si>
  <si>
    <t xml:space="preserve">OPT058</t>
  </si>
  <si>
    <t xml:space="preserve">OPT059</t>
  </si>
  <si>
    <t xml:space="preserve">Seasonal winner, short lead time: no need to reorder yet</t>
  </si>
  <si>
    <t xml:space="preserve">OPT060</t>
  </si>
  <si>
    <t xml:space="preserve">SKU data</t>
  </si>
  <si>
    <t xml:space="preserve">One row per size: paste your weekly export into the blue columns. Stock means stock customers can buy online, not everything in the warehouse. Columns O onwards calculate.</t>
  </si>
  <si>
    <t xml:space="preserve">SKU</t>
  </si>
  <si>
    <t xml:space="preserve">Size</t>
  </si>
  <si>
    <t xml:space="preserve">Core size? (Y)</t>
  </si>
  <si>
    <t xml:space="preserve">Season receipts (units)</t>
  </si>
  <si>
    <t xml:space="preserve">Transfers out (units)</t>
  </si>
  <si>
    <t xml:space="preserve">Sold four weeks ago</t>
  </si>
  <si>
    <t xml:space="preserve">Sold three weeks ago</t>
  </si>
  <si>
    <t xml:space="preserve">Sold two weeks ago</t>
  </si>
  <si>
    <t xml:space="preserve">Sold last week</t>
  </si>
  <si>
    <t xml:space="preserve">Sold season to date (all prices)</t>
  </si>
  <si>
    <t xml:space="preserve">Sold at full price, season to date</t>
  </si>
  <si>
    <t xml:space="preserve">Weeks at zero stock, last four</t>
  </si>
  <si>
    <t xml:space="preserve">Weighted rate of sale</t>
  </si>
  <si>
    <t xml:space="preserve">Historical weekly rate</t>
  </si>
  <si>
    <t xml:space="preserve">Estimated lost units, last four weeks</t>
  </si>
  <si>
    <t xml:space="preserve">Estimated lost sales, before substitution (£)</t>
  </si>
  <si>
    <t xml:space="preserve">Stock at cost (£)</t>
  </si>
  <si>
    <t xml:space="preserve">Rate of sale when in stock</t>
  </si>
  <si>
    <t xml:space="preserve">001-XS</t>
  </si>
  <si>
    <t xml:space="preserve">XS</t>
  </si>
  <si>
    <t xml:space="preserve">001-S</t>
  </si>
  <si>
    <t xml:space="preserve">S</t>
  </si>
  <si>
    <t xml:space="preserve">001-M</t>
  </si>
  <si>
    <t xml:space="preserve">M</t>
  </si>
  <si>
    <t xml:space="preserve">001-L</t>
  </si>
  <si>
    <t xml:space="preserve">L</t>
  </si>
  <si>
    <t xml:space="preserve">001-XL</t>
  </si>
  <si>
    <t xml:space="preserve">XL</t>
  </si>
  <si>
    <t xml:space="preserve">001-XXL</t>
  </si>
  <si>
    <t xml:space="preserve">XXL</t>
  </si>
  <si>
    <t xml:space="preserve">002-XS</t>
  </si>
  <si>
    <t xml:space="preserve">002-S</t>
  </si>
  <si>
    <t xml:space="preserve">002-M</t>
  </si>
  <si>
    <t xml:space="preserve">002-L</t>
  </si>
  <si>
    <t xml:space="preserve">002-XL</t>
  </si>
  <si>
    <t xml:space="preserve">002-XXL</t>
  </si>
  <si>
    <t xml:space="preserve">003-XS</t>
  </si>
  <si>
    <t xml:space="preserve">003-S</t>
  </si>
  <si>
    <t xml:space="preserve">003-M</t>
  </si>
  <si>
    <t xml:space="preserve">003-L</t>
  </si>
  <si>
    <t xml:space="preserve">003-XL</t>
  </si>
  <si>
    <t xml:space="preserve">003-XXL</t>
  </si>
  <si>
    <t xml:space="preserve">004-XS</t>
  </si>
  <si>
    <t xml:space="preserve">004-S</t>
  </si>
  <si>
    <t xml:space="preserve">004-M</t>
  </si>
  <si>
    <t xml:space="preserve">004-L</t>
  </si>
  <si>
    <t xml:space="preserve">004-XL</t>
  </si>
  <si>
    <t xml:space="preserve">004-XXL</t>
  </si>
  <si>
    <t xml:space="preserve">005-XS</t>
  </si>
  <si>
    <t xml:space="preserve">005-S</t>
  </si>
  <si>
    <t xml:space="preserve">005-M</t>
  </si>
  <si>
    <t xml:space="preserve">005-L</t>
  </si>
  <si>
    <t xml:space="preserve">005-XL</t>
  </si>
  <si>
    <t xml:space="preserve">005-XXL</t>
  </si>
  <si>
    <t xml:space="preserve">006-XS</t>
  </si>
  <si>
    <t xml:space="preserve">006-S</t>
  </si>
  <si>
    <t xml:space="preserve">006-M</t>
  </si>
  <si>
    <t xml:space="preserve">006-L</t>
  </si>
  <si>
    <t xml:space="preserve">006-XL</t>
  </si>
  <si>
    <t xml:space="preserve">006-XXL</t>
  </si>
  <si>
    <t xml:space="preserve">007-XS</t>
  </si>
  <si>
    <t xml:space="preserve">007-S</t>
  </si>
  <si>
    <t xml:space="preserve">007-M</t>
  </si>
  <si>
    <t xml:space="preserve">007-L</t>
  </si>
  <si>
    <t xml:space="preserve">007-XL</t>
  </si>
  <si>
    <t xml:space="preserve">007-XXL</t>
  </si>
  <si>
    <t xml:space="preserve">008-XS</t>
  </si>
  <si>
    <t xml:space="preserve">008-S</t>
  </si>
  <si>
    <t xml:space="preserve">008-M</t>
  </si>
  <si>
    <t xml:space="preserve">008-L</t>
  </si>
  <si>
    <t xml:space="preserve">008-XL</t>
  </si>
  <si>
    <t xml:space="preserve">008-XXL</t>
  </si>
  <si>
    <t xml:space="preserve">009-XS</t>
  </si>
  <si>
    <t xml:space="preserve">009-S</t>
  </si>
  <si>
    <t xml:space="preserve">009-M</t>
  </si>
  <si>
    <t xml:space="preserve">009-L</t>
  </si>
  <si>
    <t xml:space="preserve">009-XL</t>
  </si>
  <si>
    <t xml:space="preserve">009-XXL</t>
  </si>
  <si>
    <t xml:space="preserve">010-XS</t>
  </si>
  <si>
    <t xml:space="preserve">010-S</t>
  </si>
  <si>
    <t xml:space="preserve">010-M</t>
  </si>
  <si>
    <t xml:space="preserve">010-L</t>
  </si>
  <si>
    <t xml:space="preserve">010-XL</t>
  </si>
  <si>
    <t xml:space="preserve">010-XXL</t>
  </si>
  <si>
    <t xml:space="preserve">011-XS</t>
  </si>
  <si>
    <t xml:space="preserve">011-S</t>
  </si>
  <si>
    <t xml:space="preserve">011-M</t>
  </si>
  <si>
    <t xml:space="preserve">011-L</t>
  </si>
  <si>
    <t xml:space="preserve">011-XL</t>
  </si>
  <si>
    <t xml:space="preserve">011-XXL</t>
  </si>
  <si>
    <t xml:space="preserve">012-XS</t>
  </si>
  <si>
    <t xml:space="preserve">012-S</t>
  </si>
  <si>
    <t xml:space="preserve">012-M</t>
  </si>
  <si>
    <t xml:space="preserve">012-L</t>
  </si>
  <si>
    <t xml:space="preserve">012-XL</t>
  </si>
  <si>
    <t xml:space="preserve">012-XXL</t>
  </si>
  <si>
    <t xml:space="preserve">013-XS</t>
  </si>
  <si>
    <t xml:space="preserve">013-S</t>
  </si>
  <si>
    <t xml:space="preserve">013-M</t>
  </si>
  <si>
    <t xml:space="preserve">013-L</t>
  </si>
  <si>
    <t xml:space="preserve">013-XL</t>
  </si>
  <si>
    <t xml:space="preserve">013-XXL</t>
  </si>
  <si>
    <t xml:space="preserve">014-XS</t>
  </si>
  <si>
    <t xml:space="preserve">014-S</t>
  </si>
  <si>
    <t xml:space="preserve">014-M</t>
  </si>
  <si>
    <t xml:space="preserve">014-L</t>
  </si>
  <si>
    <t xml:space="preserve">014-XL</t>
  </si>
  <si>
    <t xml:space="preserve">014-XXL</t>
  </si>
  <si>
    <t xml:space="preserve">015-XS</t>
  </si>
  <si>
    <t xml:space="preserve">015-S</t>
  </si>
  <si>
    <t xml:space="preserve">015-M</t>
  </si>
  <si>
    <t xml:space="preserve">015-L</t>
  </si>
  <si>
    <t xml:space="preserve">015-XL</t>
  </si>
  <si>
    <t xml:space="preserve">015-XXL</t>
  </si>
  <si>
    <t xml:space="preserve">016-XS</t>
  </si>
  <si>
    <t xml:space="preserve">016-S</t>
  </si>
  <si>
    <t xml:space="preserve">016-M</t>
  </si>
  <si>
    <t xml:space="preserve">016-L</t>
  </si>
  <si>
    <t xml:space="preserve">016-XL</t>
  </si>
  <si>
    <t xml:space="preserve">016-XXL</t>
  </si>
  <si>
    <t xml:space="preserve">017-XS</t>
  </si>
  <si>
    <t xml:space="preserve">017-S</t>
  </si>
  <si>
    <t xml:space="preserve">017-M</t>
  </si>
  <si>
    <t xml:space="preserve">017-L</t>
  </si>
  <si>
    <t xml:space="preserve">017-XL</t>
  </si>
  <si>
    <t xml:space="preserve">017-XXL</t>
  </si>
  <si>
    <t xml:space="preserve">018-XS</t>
  </si>
  <si>
    <t xml:space="preserve">018-S</t>
  </si>
  <si>
    <t xml:space="preserve">018-M</t>
  </si>
  <si>
    <t xml:space="preserve">018-L</t>
  </si>
  <si>
    <t xml:space="preserve">018-XL</t>
  </si>
  <si>
    <t xml:space="preserve">018-XXL</t>
  </si>
  <si>
    <t xml:space="preserve">019-XS</t>
  </si>
  <si>
    <t xml:space="preserve">019-S</t>
  </si>
  <si>
    <t xml:space="preserve">019-M</t>
  </si>
  <si>
    <t xml:space="preserve">019-L</t>
  </si>
  <si>
    <t xml:space="preserve">019-XL</t>
  </si>
  <si>
    <t xml:space="preserve">019-XXL</t>
  </si>
  <si>
    <t xml:space="preserve">020-XS</t>
  </si>
  <si>
    <t xml:space="preserve">020-S</t>
  </si>
  <si>
    <t xml:space="preserve">020-M</t>
  </si>
  <si>
    <t xml:space="preserve">020-L</t>
  </si>
  <si>
    <t xml:space="preserve">020-XL</t>
  </si>
  <si>
    <t xml:space="preserve">020-XXL</t>
  </si>
  <si>
    <t xml:space="preserve">021-XS</t>
  </si>
  <si>
    <t xml:space="preserve">021-S</t>
  </si>
  <si>
    <t xml:space="preserve">021-M</t>
  </si>
  <si>
    <t xml:space="preserve">021-L</t>
  </si>
  <si>
    <t xml:space="preserve">021-XL</t>
  </si>
  <si>
    <t xml:space="preserve">021-XXL</t>
  </si>
  <si>
    <t xml:space="preserve">022-XS</t>
  </si>
  <si>
    <t xml:space="preserve">022-S</t>
  </si>
  <si>
    <t xml:space="preserve">022-M</t>
  </si>
  <si>
    <t xml:space="preserve">022-L</t>
  </si>
  <si>
    <t xml:space="preserve">022-XL</t>
  </si>
  <si>
    <t xml:space="preserve">022-XXL</t>
  </si>
  <si>
    <t xml:space="preserve">023-XS</t>
  </si>
  <si>
    <t xml:space="preserve">023-S</t>
  </si>
  <si>
    <t xml:space="preserve">023-M</t>
  </si>
  <si>
    <t xml:space="preserve">023-L</t>
  </si>
  <si>
    <t xml:space="preserve">023-XL</t>
  </si>
  <si>
    <t xml:space="preserve">023-XXL</t>
  </si>
  <si>
    <t xml:space="preserve">024-XS</t>
  </si>
  <si>
    <t xml:space="preserve">024-S</t>
  </si>
  <si>
    <t xml:space="preserve">024-M</t>
  </si>
  <si>
    <t xml:space="preserve">024-L</t>
  </si>
  <si>
    <t xml:space="preserve">024-XL</t>
  </si>
  <si>
    <t xml:space="preserve">024-XXL</t>
  </si>
  <si>
    <t xml:space="preserve">025-XS</t>
  </si>
  <si>
    <t xml:space="preserve">025-S</t>
  </si>
  <si>
    <t xml:space="preserve">025-M</t>
  </si>
  <si>
    <t xml:space="preserve">025-L</t>
  </si>
  <si>
    <t xml:space="preserve">025-XL</t>
  </si>
  <si>
    <t xml:space="preserve">025-XXL</t>
  </si>
  <si>
    <t xml:space="preserve">026-XS</t>
  </si>
  <si>
    <t xml:space="preserve">026-S</t>
  </si>
  <si>
    <t xml:space="preserve">026-M</t>
  </si>
  <si>
    <t xml:space="preserve">026-L</t>
  </si>
  <si>
    <t xml:space="preserve">026-XL</t>
  </si>
  <si>
    <t xml:space="preserve">026-XXL</t>
  </si>
  <si>
    <t xml:space="preserve">027-XS</t>
  </si>
  <si>
    <t xml:space="preserve">027-S</t>
  </si>
  <si>
    <t xml:space="preserve">027-M</t>
  </si>
  <si>
    <t xml:space="preserve">027-L</t>
  </si>
  <si>
    <t xml:space="preserve">027-XL</t>
  </si>
  <si>
    <t xml:space="preserve">027-XXL</t>
  </si>
  <si>
    <t xml:space="preserve">028-XS</t>
  </si>
  <si>
    <t xml:space="preserve">028-S</t>
  </si>
  <si>
    <t xml:space="preserve">028-M</t>
  </si>
  <si>
    <t xml:space="preserve">028-L</t>
  </si>
  <si>
    <t xml:space="preserve">028-XL</t>
  </si>
  <si>
    <t xml:space="preserve">028-XXL</t>
  </si>
  <si>
    <t xml:space="preserve">029-XS</t>
  </si>
  <si>
    <t xml:space="preserve">029-S</t>
  </si>
  <si>
    <t xml:space="preserve">029-M</t>
  </si>
  <si>
    <t xml:space="preserve">029-L</t>
  </si>
  <si>
    <t xml:space="preserve">029-XL</t>
  </si>
  <si>
    <t xml:space="preserve">029-XXL</t>
  </si>
  <si>
    <t xml:space="preserve">030-XS</t>
  </si>
  <si>
    <t xml:space="preserve">030-S</t>
  </si>
  <si>
    <t xml:space="preserve">030-M</t>
  </si>
  <si>
    <t xml:space="preserve">030-L</t>
  </si>
  <si>
    <t xml:space="preserve">030-XL</t>
  </si>
  <si>
    <t xml:space="preserve">030-XXL</t>
  </si>
  <si>
    <t xml:space="preserve">031-XS</t>
  </si>
  <si>
    <t xml:space="preserve">031-S</t>
  </si>
  <si>
    <t xml:space="preserve">031-M</t>
  </si>
  <si>
    <t xml:space="preserve">031-L</t>
  </si>
  <si>
    <t xml:space="preserve">031-XL</t>
  </si>
  <si>
    <t xml:space="preserve">031-XXL</t>
  </si>
  <si>
    <t xml:space="preserve">032-XS</t>
  </si>
  <si>
    <t xml:space="preserve">032-S</t>
  </si>
  <si>
    <t xml:space="preserve">032-M</t>
  </si>
  <si>
    <t xml:space="preserve">032-L</t>
  </si>
  <si>
    <t xml:space="preserve">032-XL</t>
  </si>
  <si>
    <t xml:space="preserve">032-XXL</t>
  </si>
  <si>
    <t xml:space="preserve">033-XS</t>
  </si>
  <si>
    <t xml:space="preserve">033-S</t>
  </si>
  <si>
    <t xml:space="preserve">033-M</t>
  </si>
  <si>
    <t xml:space="preserve">033-L</t>
  </si>
  <si>
    <t xml:space="preserve">033-XL</t>
  </si>
  <si>
    <t xml:space="preserve">033-XXL</t>
  </si>
  <si>
    <t xml:space="preserve">034-XS</t>
  </si>
  <si>
    <t xml:space="preserve">034-S</t>
  </si>
  <si>
    <t xml:space="preserve">034-M</t>
  </si>
  <si>
    <t xml:space="preserve">034-L</t>
  </si>
  <si>
    <t xml:space="preserve">034-XL</t>
  </si>
  <si>
    <t xml:space="preserve">034-XXL</t>
  </si>
  <si>
    <t xml:space="preserve">035-XS</t>
  </si>
  <si>
    <t xml:space="preserve">035-S</t>
  </si>
  <si>
    <t xml:space="preserve">035-M</t>
  </si>
  <si>
    <t xml:space="preserve">035-L</t>
  </si>
  <si>
    <t xml:space="preserve">035-XL</t>
  </si>
  <si>
    <t xml:space="preserve">035-XXL</t>
  </si>
  <si>
    <t xml:space="preserve">036-XS</t>
  </si>
  <si>
    <t xml:space="preserve">036-S</t>
  </si>
  <si>
    <t xml:space="preserve">036-M</t>
  </si>
  <si>
    <t xml:space="preserve">036-L</t>
  </si>
  <si>
    <t xml:space="preserve">036-XL</t>
  </si>
  <si>
    <t xml:space="preserve">036-XXL</t>
  </si>
  <si>
    <t xml:space="preserve">037-XS</t>
  </si>
  <si>
    <t xml:space="preserve">037-S</t>
  </si>
  <si>
    <t xml:space="preserve">037-M</t>
  </si>
  <si>
    <t xml:space="preserve">037-L</t>
  </si>
  <si>
    <t xml:space="preserve">037-XL</t>
  </si>
  <si>
    <t xml:space="preserve">037-XXL</t>
  </si>
  <si>
    <t xml:space="preserve">038-XS</t>
  </si>
  <si>
    <t xml:space="preserve">038-S</t>
  </si>
  <si>
    <t xml:space="preserve">038-M</t>
  </si>
  <si>
    <t xml:space="preserve">038-L</t>
  </si>
  <si>
    <t xml:space="preserve">038-XL</t>
  </si>
  <si>
    <t xml:space="preserve">038-XXL</t>
  </si>
  <si>
    <t xml:space="preserve">039-XS</t>
  </si>
  <si>
    <t xml:space="preserve">039-S</t>
  </si>
  <si>
    <t xml:space="preserve">039-M</t>
  </si>
  <si>
    <t xml:space="preserve">039-L</t>
  </si>
  <si>
    <t xml:space="preserve">039-XL</t>
  </si>
  <si>
    <t xml:space="preserve">039-XXL</t>
  </si>
  <si>
    <t xml:space="preserve">040-XS</t>
  </si>
  <si>
    <t xml:space="preserve">040-S</t>
  </si>
  <si>
    <t xml:space="preserve">040-M</t>
  </si>
  <si>
    <t xml:space="preserve">040-L</t>
  </si>
  <si>
    <t xml:space="preserve">040-XL</t>
  </si>
  <si>
    <t xml:space="preserve">040-XXL</t>
  </si>
  <si>
    <t xml:space="preserve">041-XS</t>
  </si>
  <si>
    <t xml:space="preserve">041-S</t>
  </si>
  <si>
    <t xml:space="preserve">041-M</t>
  </si>
  <si>
    <t xml:space="preserve">041-L</t>
  </si>
  <si>
    <t xml:space="preserve">041-XL</t>
  </si>
  <si>
    <t xml:space="preserve">041-XXL</t>
  </si>
  <si>
    <t xml:space="preserve">042-XS</t>
  </si>
  <si>
    <t xml:space="preserve">042-S</t>
  </si>
  <si>
    <t xml:space="preserve">042-M</t>
  </si>
  <si>
    <t xml:space="preserve">042-L</t>
  </si>
  <si>
    <t xml:space="preserve">042-XL</t>
  </si>
  <si>
    <t xml:space="preserve">042-XXL</t>
  </si>
  <si>
    <t xml:space="preserve">043-XS</t>
  </si>
  <si>
    <t xml:space="preserve">043-S</t>
  </si>
  <si>
    <t xml:space="preserve">043-M</t>
  </si>
  <si>
    <t xml:space="preserve">043-L</t>
  </si>
  <si>
    <t xml:space="preserve">043-XL</t>
  </si>
  <si>
    <t xml:space="preserve">043-XXL</t>
  </si>
  <si>
    <t xml:space="preserve">044-XS</t>
  </si>
  <si>
    <t xml:space="preserve">044-S</t>
  </si>
  <si>
    <t xml:space="preserve">044-M</t>
  </si>
  <si>
    <t xml:space="preserve">044-L</t>
  </si>
  <si>
    <t xml:space="preserve">044-XL</t>
  </si>
  <si>
    <t xml:space="preserve">044-XXL</t>
  </si>
  <si>
    <t xml:space="preserve">045-XS</t>
  </si>
  <si>
    <t xml:space="preserve">045-S</t>
  </si>
  <si>
    <t xml:space="preserve">045-M</t>
  </si>
  <si>
    <t xml:space="preserve">045-L</t>
  </si>
  <si>
    <t xml:space="preserve">045-XL</t>
  </si>
  <si>
    <t xml:space="preserve">045-XXL</t>
  </si>
  <si>
    <t xml:space="preserve">046-28</t>
  </si>
  <si>
    <t xml:space="preserve">28</t>
  </si>
  <si>
    <t xml:space="preserve">046-30</t>
  </si>
  <si>
    <t xml:space="preserve">30</t>
  </si>
  <si>
    <t xml:space="preserve">046-32</t>
  </si>
  <si>
    <t xml:space="preserve">32</t>
  </si>
  <si>
    <t xml:space="preserve">046-34</t>
  </si>
  <si>
    <t xml:space="preserve">34</t>
  </si>
  <si>
    <t xml:space="preserve">046-36</t>
  </si>
  <si>
    <t xml:space="preserve">36</t>
  </si>
  <si>
    <t xml:space="preserve">046-38</t>
  </si>
  <si>
    <t xml:space="preserve">38</t>
  </si>
  <si>
    <t xml:space="preserve">047-28</t>
  </si>
  <si>
    <t xml:space="preserve">047-30</t>
  </si>
  <si>
    <t xml:space="preserve">047-32</t>
  </si>
  <si>
    <t xml:space="preserve">047-34</t>
  </si>
  <si>
    <t xml:space="preserve">047-36</t>
  </si>
  <si>
    <t xml:space="preserve">047-38</t>
  </si>
  <si>
    <t xml:space="preserve">048-28</t>
  </si>
  <si>
    <t xml:space="preserve">048-30</t>
  </si>
  <si>
    <t xml:space="preserve">048-32</t>
  </si>
  <si>
    <t xml:space="preserve">048-34</t>
  </si>
  <si>
    <t xml:space="preserve">048-36</t>
  </si>
  <si>
    <t xml:space="preserve">048-38</t>
  </si>
  <si>
    <t xml:space="preserve">049-28</t>
  </si>
  <si>
    <t xml:space="preserve">049-30</t>
  </si>
  <si>
    <t xml:space="preserve">049-32</t>
  </si>
  <si>
    <t xml:space="preserve">049-34</t>
  </si>
  <si>
    <t xml:space="preserve">049-36</t>
  </si>
  <si>
    <t xml:space="preserve">049-38</t>
  </si>
  <si>
    <t xml:space="preserve">050-28</t>
  </si>
  <si>
    <t xml:space="preserve">050-30</t>
  </si>
  <si>
    <t xml:space="preserve">050-32</t>
  </si>
  <si>
    <t xml:space="preserve">050-34</t>
  </si>
  <si>
    <t xml:space="preserve">050-36</t>
  </si>
  <si>
    <t xml:space="preserve">050-38</t>
  </si>
  <si>
    <t xml:space="preserve">051-28</t>
  </si>
  <si>
    <t xml:space="preserve">051-30</t>
  </si>
  <si>
    <t xml:space="preserve">051-32</t>
  </si>
  <si>
    <t xml:space="preserve">051-34</t>
  </si>
  <si>
    <t xml:space="preserve">051-36</t>
  </si>
  <si>
    <t xml:space="preserve">051-38</t>
  </si>
  <si>
    <t xml:space="preserve">052-28</t>
  </si>
  <si>
    <t xml:space="preserve">052-30</t>
  </si>
  <si>
    <t xml:space="preserve">052-32</t>
  </si>
  <si>
    <t xml:space="preserve">052-34</t>
  </si>
  <si>
    <t xml:space="preserve">052-36</t>
  </si>
  <si>
    <t xml:space="preserve">052-38</t>
  </si>
  <si>
    <t xml:space="preserve">053-28</t>
  </si>
  <si>
    <t xml:space="preserve">053-30</t>
  </si>
  <si>
    <t xml:space="preserve">053-32</t>
  </si>
  <si>
    <t xml:space="preserve">053-34</t>
  </si>
  <si>
    <t xml:space="preserve">053-36</t>
  </si>
  <si>
    <t xml:space="preserve">053-38</t>
  </si>
  <si>
    <t xml:space="preserve">054-28</t>
  </si>
  <si>
    <t xml:space="preserve">054-30</t>
  </si>
  <si>
    <t xml:space="preserve">054-32</t>
  </si>
  <si>
    <t xml:space="preserve">054-34</t>
  </si>
  <si>
    <t xml:space="preserve">054-36</t>
  </si>
  <si>
    <t xml:space="preserve">054-38</t>
  </si>
  <si>
    <t xml:space="preserve">055-28</t>
  </si>
  <si>
    <t xml:space="preserve">055-30</t>
  </si>
  <si>
    <t xml:space="preserve">055-32</t>
  </si>
  <si>
    <t xml:space="preserve">055-34</t>
  </si>
  <si>
    <t xml:space="preserve">055-36</t>
  </si>
  <si>
    <t xml:space="preserve">055-38</t>
  </si>
  <si>
    <t xml:space="preserve">056-28</t>
  </si>
  <si>
    <t xml:space="preserve">056-30</t>
  </si>
  <si>
    <t xml:space="preserve">056-32</t>
  </si>
  <si>
    <t xml:space="preserve">056-34</t>
  </si>
  <si>
    <t xml:space="preserve">056-36</t>
  </si>
  <si>
    <t xml:space="preserve">056-38</t>
  </si>
  <si>
    <t xml:space="preserve">057-28</t>
  </si>
  <si>
    <t xml:space="preserve">057-30</t>
  </si>
  <si>
    <t xml:space="preserve">057-32</t>
  </si>
  <si>
    <t xml:space="preserve">057-34</t>
  </si>
  <si>
    <t xml:space="preserve">057-36</t>
  </si>
  <si>
    <t xml:space="preserve">057-38</t>
  </si>
  <si>
    <t xml:space="preserve">058-28</t>
  </si>
  <si>
    <t xml:space="preserve">058-30</t>
  </si>
  <si>
    <t xml:space="preserve">058-32</t>
  </si>
  <si>
    <t xml:space="preserve">058-34</t>
  </si>
  <si>
    <t xml:space="preserve">058-36</t>
  </si>
  <si>
    <t xml:space="preserve">058-38</t>
  </si>
  <si>
    <t xml:space="preserve">059-28</t>
  </si>
  <si>
    <t xml:space="preserve">059-30</t>
  </si>
  <si>
    <t xml:space="preserve">059-32</t>
  </si>
  <si>
    <t xml:space="preserve">059-34</t>
  </si>
  <si>
    <t xml:space="preserve">059-36</t>
  </si>
  <si>
    <t xml:space="preserve">059-38</t>
  </si>
  <si>
    <t xml:space="preserve">060-28</t>
  </si>
  <si>
    <t xml:space="preserve">060-30</t>
  </si>
  <si>
    <t xml:space="preserve">060-32</t>
  </si>
  <si>
    <t xml:space="preserve">060-34</t>
  </si>
  <si>
    <t xml:space="preserve">060-36</t>
  </si>
  <si>
    <t xml:space="preserve">060-38</t>
  </si>
  <si>
    <t xml:space="preserve">Option analysis</t>
  </si>
  <si>
    <t xml:space="preserve">Stage one: the stock position from the numbers. Stage two: the context from the Options sheet. Then the recommended action and the money behind it. One row per option, in the same order as the Options sheet.</t>
  </si>
  <si>
    <t xml:space="preserve">Helper</t>
  </si>
  <si>
    <t xml:space="preserve">Style and colour</t>
  </si>
  <si>
    <t xml:space="preserve">Receipts</t>
  </si>
  <si>
    <t xml:space="preserve">Transfers out</t>
  </si>
  <si>
    <t xml:space="preserve">Stock sellable online</t>
  </si>
  <si>
    <t xml:space="preserve">Open order</t>
  </si>
  <si>
    <t xml:space="preserve">Sold W-4</t>
  </si>
  <si>
    <t xml:space="preserve">Sold W-3</t>
  </si>
  <si>
    <t xml:space="preserve">Sold W-2</t>
  </si>
  <si>
    <t xml:space="preserve">Sold W-1</t>
  </si>
  <si>
    <t xml:space="preserve">Forward rate of sale</t>
  </si>
  <si>
    <t xml:space="preserve">Sold season to date</t>
  </si>
  <si>
    <t xml:space="preserve">Sold at full price</t>
  </si>
  <si>
    <t xml:space="preserve">Sell-through</t>
  </si>
  <si>
    <t xml:space="preserve">Weeks cover</t>
  </si>
  <si>
    <t xml:space="preserve">Core sizes</t>
  </si>
  <si>
    <t xml:space="preserve">Core sizes at zero</t>
  </si>
  <si>
    <t xml:space="preserve">Broken size curve</t>
  </si>
  <si>
    <t xml:space="preserve">Findability problem</t>
  </si>
  <si>
    <t xml:space="preserve">Available (all core sizes, published, findable)</t>
  </si>
  <si>
    <t xml:space="preserve">Trend: last two weeks vs prior two</t>
  </si>
  <si>
    <t xml:space="preserve">Sell-through band</t>
  </si>
  <si>
    <t xml:space="preserve">Cover band</t>
  </si>
  <si>
    <t xml:space="preserve">Position</t>
  </si>
  <si>
    <t xml:space="preserve">Context</t>
  </si>
  <si>
    <t xml:space="preserve">Recommended action</t>
  </si>
  <si>
    <t xml:space="preserve">Excess units</t>
  </si>
  <si>
    <t xml:space="preserve">Markdown exposure (£)</t>
  </si>
  <si>
    <t xml:space="preserve">Cash in excess stock (£)</t>
  </si>
  <si>
    <t xml:space="preserve">Estimated lost sales, last four weeks (£)</t>
  </si>
  <si>
    <t xml:space="preserve">Final decision</t>
  </si>
  <si>
    <t xml:space="preserve">Rank by money at stake</t>
  </si>
  <si>
    <t xml:space="preserve">Top-line flag</t>
  </si>
  <si>
    <t xml:space="preserve">Money key</t>
  </si>
  <si>
    <t xml:space="preserve">Lost sales key</t>
  </si>
  <si>
    <t xml:space="preserve">Markdown key</t>
  </si>
  <si>
    <t xml:space="preserve">Rank in category by rate of sale</t>
  </si>
  <si>
    <t xml:space="preserve">Held for a campaign</t>
  </si>
  <si>
    <t xml:space="preserve">Covering for sold-out lines</t>
  </si>
  <si>
    <t xml:space="preserve">Substitution share used</t>
  </si>
  <si>
    <t xml:space="preserve">Lost sales before substitution (£)</t>
  </si>
  <si>
    <t xml:space="preserve">Action list</t>
  </si>
  <si>
    <t xml:space="preserve">Every option, ranked by the money at stake. What? is the position. So what? is the money. Now what? is the decision and its owner. Change a decision on the Options sheet, with the reason.</t>
  </si>
  <si>
    <t xml:space="preserve">Rank</t>
  </si>
  <si>
    <t xml:space="preserve">Option</t>
  </si>
  <si>
    <t xml:space="preserve">What? Position</t>
  </si>
  <si>
    <t xml:space="preserve">So what? Money at stake (£)</t>
  </si>
  <si>
    <t xml:space="preserve">Lost sales, last four weeks (£)</t>
  </si>
  <si>
    <t xml:space="preserve">Now what? Decision</t>
  </si>
  <si>
    <t xml:space="preserve">Recommended (if overridden)</t>
  </si>
  <si>
    <t xml:space="preserve">Rate of sale (units a week)</t>
  </si>
  <si>
    <t xml:space="preserve">Weeks cover and availability by category, sub-category and brand</t>
  </si>
  <si>
    <t xml:space="preserve">Cover = stock / forward rate of sale. Availability is weighted by rate of sale, counting only lines with demand. Edit the name lists to match your own hierarchy.</t>
  </si>
  <si>
    <t xml:space="preserve">By category</t>
  </si>
  <si>
    <t xml:space="preserve">Name</t>
  </si>
  <si>
    <t xml:space="preserve">Stock (units)</t>
  </si>
  <si>
    <t xml:space="preserve">Weighted availability</t>
  </si>
  <si>
    <t xml:space="preserve">Broken curves</t>
  </si>
  <si>
    <t xml:space="preserve">Hidden from customers</t>
  </si>
  <si>
    <t xml:space="preserve">Estimated lost sales (£)</t>
  </si>
  <si>
    <t xml:space="preserve">By sub-category</t>
  </si>
  <si>
    <t xml:space="preserve">By brand</t>
  </si>
  <si>
    <t xml:space="preserve">A category average hides the broken lines. Read this page to see where to look, then go to the Action List to see what to do.</t>
  </si>
  <si>
    <t xml:space="preserve">Size learning: buy depth against demand</t>
  </si>
  <si>
    <t xml:space="preserve">Demand share is units sold plus estimated lost units, because a size that sold out undersells its demand. The demand share is a starting point for next season's size ratio.</t>
  </si>
  <si>
    <t xml:space="preserve">Size scheme: Letter</t>
  </si>
  <si>
    <t xml:space="preserve">Bought share</t>
  </si>
  <si>
    <t xml:space="preserve">Sold share</t>
  </si>
  <si>
    <t xml:space="preserve">Demand share (sold plus lost)</t>
  </si>
  <si>
    <t xml:space="preserve">Demand vs buy</t>
  </si>
  <si>
    <t xml:space="preserve">Stock left share</t>
  </si>
  <si>
    <t xml:space="preserve">Verdict</t>
  </si>
  <si>
    <t xml:space="preserve">Suggested buy ratio next season</t>
  </si>
  <si>
    <t xml:space="preserve">Size scheme: Waist</t>
  </si>
  <si>
    <t xml:space="preserve">Size codes must match the SKU Data exactly. Verdicts use example bands of 0.8x and 1.2x. The suggested ratio is evidence for the buyer, not an instruction.</t>
  </si>
  <si>
    <t xml:space="preserve">Post-peak stock review</t>
  </si>
  <si>
    <t xml:space="preserve">One page for the review after peak: what sold, what trapped cash, what availability failures cost, and what changes next season. Figures recalculate from the data; the lessons are yours to write.</t>
  </si>
  <si>
    <t xml:space="preserve">Week ending</t>
  </si>
  <si>
    <t xml:space="preserve">What sold</t>
  </si>
  <si>
    <t xml:space="preserve">What trapped cash, and what was lost</t>
  </si>
  <si>
    <t xml:space="preserve">Top ten lost-sales lines (estimated)</t>
  </si>
  <si>
    <t xml:space="preserve">#</t>
  </si>
  <si>
    <t xml:space="preserve">Lost sales (£)</t>
  </si>
  <si>
    <t xml:space="preserve">Top ten markdown exposures</t>
  </si>
  <si>
    <t xml:space="preserve">What changes next season</t>
  </si>
  <si>
    <t xml:space="preserve">Lesson, in plain words</t>
  </si>
  <si>
    <t xml:space="preserve">By when</t>
  </si>
  <si>
    <t xml:space="preserve">Example: core sizes sold out first on our best sellers; buy deeper in S, M and L</t>
  </si>
  <si>
    <t xml:space="preserve">Example: three options sat in stock but unpublished for weeks; check publishing daily in peak</t>
  </si>
  <si>
    <t xml:space="preserve">Example: reorders on seasonal winners landed after the season; agree shorter-lead options before the season</t>
  </si>
  <si>
    <t xml:space="preserve">Next season kick-off</t>
  </si>
  <si>
    <t xml:space="preserve">Send this page to the people planning next season, with the kick-off date on it. A review left until someone has time does not get written.</t>
  </si>
  <si>
    <t xml:space="preserve">Checks</t>
  </si>
  <si>
    <t xml:space="preserve">Tests on the data and the settings. FAIL means fix before reading the Action List. WARN means look first.</t>
  </si>
  <si>
    <t xml:space="preserve">Check</t>
  </si>
  <si>
    <t xml:space="preserve">Status</t>
  </si>
  <si>
    <t xml:space="preserve">What to do</t>
  </si>
  <si>
    <t xml:space="preserve">Rate-of-sale weights add to 100%</t>
  </si>
  <si>
    <t xml:space="preserve">Change the four weights on Settings so they add to 100%.</t>
  </si>
  <si>
    <t xml:space="preserve">Weeks traded within the season length</t>
  </si>
  <si>
    <t xml:space="preserve">Weeks traded cannot exceed the season length.</t>
  </si>
  <si>
    <t xml:space="preserve">Option IDs are unique</t>
  </si>
  <si>
    <t xml:space="preserve">Two options share an ID.</t>
  </si>
  <si>
    <t xml:space="preserve">Every SKU belongs to an option</t>
  </si>
  <si>
    <t xml:space="preserve">Add the missing options to the Options sheet.</t>
  </si>
  <si>
    <t xml:space="preserve">Every option has core sizes marked</t>
  </si>
  <si>
    <t xml:space="preserve">Mark core sizes with Y on the SKU Data sheet; availability depends on them.</t>
  </si>
  <si>
    <t xml:space="preserve">No negative stock</t>
  </si>
  <si>
    <t xml:space="preserve">Negative stock usually means unreceipted deliveries; fix at source.</t>
  </si>
  <si>
    <t xml:space="preserve">Weeks at zero stock no more than four</t>
  </si>
  <si>
    <t xml:space="preserve">The lost-sales estimate counts four weeks at most.</t>
  </si>
  <si>
    <t xml:space="preserve">Full-price units no more than total units sold</t>
  </si>
  <si>
    <t xml:space="preserve">Check the full-price column in the export.</t>
  </si>
  <si>
    <t xml:space="preserve">Sold no more than received less transfers</t>
  </si>
  <si>
    <t xml:space="preserve">Returns resold can explain it; a large gap means the receipts are wrong.</t>
  </si>
  <si>
    <t xml:space="preserve">Stock plus sold no more than received</t>
  </si>
  <si>
    <t xml:space="preserve">Stock and sales together exceed what was received: check receipts and transfers.</t>
  </si>
  <si>
    <t xml:space="preserve">Every override has a reason</t>
  </si>
  <si>
    <t xml:space="preserve">Write the evidence for every decision that departs from the recommendation.</t>
  </si>
  <si>
    <t xml:space="preserve">Every option category is listed on the Category View</t>
  </si>
  <si>
    <t xml:space="preserve">Add the category name to the Category View list.</t>
  </si>
  <si>
    <t xml:space="preserve">Every option has a lifecycle</t>
  </si>
  <si>
    <t xml:space="preserve">Lifecycle decides whether a line is reordered, held or cleared.</t>
  </si>
  <si>
    <t xml:space="preserve">Every named alternative exists</t>
  </si>
  <si>
    <t xml:space="preserve">An alternative must be an Option ID on the Options sheet.</t>
  </si>
  <si>
    <t xml:space="preserve">Substitution shares between 0% and 100%</t>
  </si>
  <si>
    <t xml:space="preserve">A share outside 0 to 100% produces negative or inflated lost sales.</t>
  </si>
  <si>
    <t xml:space="preserve">Held lines have a planned campaign quantity</t>
  </si>
  <si>
    <t xml:space="preserve">Without a plan, markdown exposure on a held line cannot be judged.</t>
  </si>
  <si>
    <t xml:space="preserve">Overall status</t>
  </si>
</sst>
</file>

<file path=xl/styles.xml><?xml version="1.0" encoding="utf-8"?>
<styleSheet xmlns="http://schemas.openxmlformats.org/spreadsheetml/2006/main">
  <numFmts count="10">
    <numFmt numFmtId="164" formatCode="General"/>
    <numFmt numFmtId="165" formatCode="0"/>
    <numFmt numFmtId="166" formatCode="#,##0;\(#,##0\);\-"/>
    <numFmt numFmtId="167" formatCode="0.0%;\(0.0%\);\-"/>
    <numFmt numFmtId="168" formatCode="\£#,##0;&quot;(£&quot;#,##0\);\-"/>
    <numFmt numFmtId="169" formatCode="dd\ mmm\ yyyy"/>
    <numFmt numFmtId="170" formatCode="\£#,##0.00;&quot;(£&quot;#,##0.00\);\-"/>
    <numFmt numFmtId="171" formatCode="0.0;\(0.0\);\-"/>
    <numFmt numFmtId="172" formatCode="\+0.0%;\-0.0%;\-"/>
    <numFmt numFmtId="173" formatCode="0.00\x"/>
  </numFmts>
  <fonts count="17">
    <font>
      <sz val="11"/>
      <color theme="1"/>
      <name val="Calibri"/>
      <family val="2"/>
      <charset val="1"/>
    </font>
    <font>
      <sz val="10"/>
      <name val="Arial"/>
      <family val="0"/>
    </font>
    <font>
      <sz val="10"/>
      <name val="Arial"/>
      <family val="0"/>
    </font>
    <font>
      <sz val="10"/>
      <name val="Arial"/>
      <family val="0"/>
    </font>
    <font>
      <b val="true"/>
      <sz val="14"/>
      <color rgb="FF002147"/>
      <name val="Arial"/>
      <family val="0"/>
      <charset val="1"/>
    </font>
    <font>
      <i val="true"/>
      <sz val="9"/>
      <color rgb="FF4A4A4A"/>
      <name val="Arial"/>
      <family val="0"/>
      <charset val="1"/>
    </font>
    <font>
      <b val="true"/>
      <sz val="11"/>
      <color rgb="FF002147"/>
      <name val="Arial"/>
      <family val="0"/>
      <charset val="1"/>
    </font>
    <font>
      <sz val="10"/>
      <color rgb="FF222222"/>
      <name val="Arial"/>
      <family val="0"/>
      <charset val="1"/>
    </font>
    <font>
      <sz val="10"/>
      <color rgb="FF0000FF"/>
      <name val="Arial"/>
      <family val="0"/>
      <charset val="1"/>
    </font>
    <font>
      <i val="true"/>
      <sz val="10"/>
      <color rgb="FF002147"/>
      <name val="Arial"/>
      <family val="0"/>
      <charset val="1"/>
    </font>
    <font>
      <sz val="8"/>
      <color rgb="FF4A4A4A"/>
      <name val="Arial"/>
      <family val="0"/>
      <charset val="1"/>
    </font>
    <font>
      <sz val="11"/>
      <color rgb="FF222222"/>
      <name val="Arial"/>
      <family val="0"/>
      <charset val="1"/>
    </font>
    <font>
      <sz val="11"/>
      <color rgb="FF008000"/>
      <name val="Arial"/>
      <family val="0"/>
      <charset val="1"/>
    </font>
    <font>
      <b val="true"/>
      <sz val="10"/>
      <color rgb="FF002147"/>
      <name val="Arial"/>
      <family val="0"/>
      <charset val="1"/>
    </font>
    <font>
      <b val="true"/>
      <sz val="9"/>
      <color rgb="FFFDFCF9"/>
      <name val="Arial"/>
      <family val="0"/>
      <charset val="1"/>
    </font>
    <font>
      <sz val="9"/>
      <color rgb="FF0000FF"/>
      <name val="Arial"/>
      <family val="0"/>
      <charset val="1"/>
    </font>
    <font>
      <sz val="11"/>
      <color rgb="FF000000"/>
      <name val="Arial"/>
      <family val="0"/>
      <charset val="1"/>
    </font>
  </fonts>
  <fills count="5">
    <fill>
      <patternFill patternType="none"/>
    </fill>
    <fill>
      <patternFill patternType="gray125"/>
    </fill>
    <fill>
      <patternFill patternType="solid">
        <fgColor rgb="FFFFF4D6"/>
        <bgColor rgb="FFF6E7C1"/>
      </patternFill>
    </fill>
    <fill>
      <patternFill patternType="solid">
        <fgColor rgb="FFE6E9EE"/>
        <bgColor rgb="FFF6E7C1"/>
      </patternFill>
    </fill>
    <fill>
      <patternFill patternType="solid">
        <fgColor rgb="FF002147"/>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center" vertical="center" textRotation="0" wrapText="true" indent="0" shrinkToFit="false"/>
      <protection locked="true" hidden="false"/>
    </xf>
    <xf numFmtId="164" fontId="15" fillId="2" borderId="0" xfId="0" applyFont="true" applyBorder="false" applyAlignment="false" applyProtection="true">
      <alignment horizontal="general" vertical="bottom" textRotation="0" wrapText="false" indent="0" shrinkToFit="false"/>
      <protection locked="false" hidden="false"/>
    </xf>
    <xf numFmtId="169" fontId="15" fillId="2" borderId="0" xfId="0" applyFont="true" applyBorder="false" applyAlignment="false" applyProtection="true">
      <alignment horizontal="general" vertical="bottom" textRotation="0" wrapText="false" indent="0" shrinkToFit="false"/>
      <protection locked="false" hidden="false"/>
    </xf>
    <xf numFmtId="165" fontId="15" fillId="2" borderId="0" xfId="0" applyFont="true" applyBorder="false" applyAlignment="false" applyProtection="true">
      <alignment horizontal="general" vertical="bottom" textRotation="0" wrapText="false" indent="0" shrinkToFit="false"/>
      <protection locked="fals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7" fontId="15" fillId="2" borderId="0" xfId="0" applyFont="true" applyBorder="false" applyAlignment="false" applyProtection="true">
      <alignment horizontal="general" vertical="bottom" textRotation="0" wrapText="false" indent="0" shrinkToFit="false"/>
      <protection locked="fals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70" fontId="15" fillId="2" borderId="0" xfId="0" applyFont="true" applyBorder="false" applyAlignment="false" applyProtection="true">
      <alignment horizontal="general" vertical="bottom" textRotation="0" wrapText="false" indent="0" shrinkToFit="false"/>
      <protection locked="fals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4" fontId="15" fillId="2" borderId="0" xfId="0" applyFont="true" applyBorder="true" applyAlignment="false" applyProtection="true">
      <alignment horizontal="general" vertical="bottom"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2147"/>
      </font>
      <fill>
        <patternFill>
          <bgColor rgb="FFE6E9EE"/>
        </patternFill>
      </fill>
    </dxf>
    <dxf>
      <font>
        <name val="Arial"/>
        <charset val="1"/>
        <family val="0"/>
        <b val="1"/>
        <color rgb="FF002147"/>
      </font>
      <fill>
        <patternFill>
          <bgColor rgb="FFF6E7C1"/>
        </patternFill>
      </fill>
    </dxf>
    <dxf>
      <font>
        <name val="Arial"/>
        <charset val="1"/>
        <family val="0"/>
        <b val="1"/>
        <color rgb="FFFFFFFF"/>
      </font>
      <fill>
        <patternFill>
          <bgColor rgb="FFB00020"/>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C0C0C0"/>
      <rgbColor rgb="FF808080"/>
      <rgbColor rgb="FF9999FF"/>
      <rgbColor rgb="FF993366"/>
      <rgbColor rgb="FFFFF4D6"/>
      <rgbColor rgb="FFE6E9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DFCF9"/>
      <rgbColor rgb="FFCCFFCC"/>
      <rgbColor rgb="FFF6E7C1"/>
      <rgbColor rgb="FF99CCFF"/>
      <rgbColor rgb="FFFF99CC"/>
      <rgbColor rgb="FFCC99FF"/>
      <rgbColor rgb="FFFFCC99"/>
      <rgbColor rgb="FF3366FF"/>
      <rgbColor rgb="FF33CCCC"/>
      <rgbColor rgb="FF99CC00"/>
      <rgbColor rgb="FFFFCC00"/>
      <rgbColor rgb="FFFF9900"/>
      <rgbColor rgb="FFFF6600"/>
      <rgbColor rgb="FF666699"/>
      <rgbColor rgb="FF969696"/>
      <rgbColor rgb="FF002147"/>
      <rgbColor rgb="FF339966"/>
      <rgbColor rgb="FF003300"/>
      <rgbColor rgb="FF4A4A4A"/>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6" customFormat="false" ht="23.85" hidden="false" customHeight="false" outlineLevel="0" collapsed="false">
      <c r="A6" s="4" t="s">
        <v>4</v>
      </c>
    </row>
    <row r="8" customFormat="false" ht="15" hidden="false" customHeight="false" outlineLevel="0" collapsed="false">
      <c r="A8" s="3" t="s">
        <v>5</v>
      </c>
    </row>
    <row r="9" customFormat="false" ht="23.85" hidden="false" customHeight="false" outlineLevel="0" collapsed="false">
      <c r="A9" s="4" t="s">
        <v>6</v>
      </c>
    </row>
    <row r="10" customFormat="false" ht="35.05" hidden="false" customHeight="false" outlineLevel="0" collapsed="false">
      <c r="A10" s="4" t="s">
        <v>7</v>
      </c>
    </row>
    <row r="11" customFormat="false" ht="15" hidden="false" customHeight="false" outlineLevel="0" collapsed="false">
      <c r="A11" s="4" t="s">
        <v>8</v>
      </c>
    </row>
    <row r="13" customFormat="false" ht="15" hidden="false" customHeight="false" outlineLevel="0" collapsed="false">
      <c r="A13" s="3" t="s">
        <v>9</v>
      </c>
    </row>
    <row r="14" customFormat="false" ht="23.85" hidden="false" customHeight="false" outlineLevel="0" collapsed="false">
      <c r="A14" s="4" t="s">
        <v>10</v>
      </c>
    </row>
    <row r="15" customFormat="false" ht="23.85" hidden="false" customHeight="false" outlineLevel="0" collapsed="false">
      <c r="A15" s="4" t="s">
        <v>11</v>
      </c>
    </row>
    <row r="16" customFormat="false" ht="15" hidden="false" customHeight="false" outlineLevel="0" collapsed="false">
      <c r="A16" s="4" t="s">
        <v>12</v>
      </c>
    </row>
    <row r="17" customFormat="false" ht="23.85" hidden="false" customHeight="false" outlineLevel="0" collapsed="false">
      <c r="A17" s="4" t="s">
        <v>13</v>
      </c>
    </row>
    <row r="18" customFormat="false" ht="23.85" hidden="false" customHeight="false" outlineLevel="0" collapsed="false">
      <c r="A18" s="4" t="s">
        <v>14</v>
      </c>
    </row>
    <row r="19" customFormat="false" ht="23.85" hidden="false" customHeight="false" outlineLevel="0" collapsed="false">
      <c r="A19" s="4" t="s">
        <v>15</v>
      </c>
    </row>
    <row r="20" customFormat="false" ht="23.85" hidden="false" customHeight="false" outlineLevel="0" collapsed="false">
      <c r="A20" s="4" t="s">
        <v>16</v>
      </c>
    </row>
    <row r="22" customFormat="false" ht="15" hidden="false" customHeight="false" outlineLevel="0" collapsed="false">
      <c r="A22" s="3" t="s">
        <v>17</v>
      </c>
    </row>
    <row r="23" customFormat="false" ht="23.85" hidden="false" customHeight="false" outlineLevel="0" collapsed="false">
      <c r="A23" s="4" t="s">
        <v>18</v>
      </c>
    </row>
    <row r="25" customFormat="false" ht="15" hidden="false" customHeight="false" outlineLevel="0" collapsed="false">
      <c r="A25" s="3" t="s">
        <v>19</v>
      </c>
    </row>
    <row r="26" customFormat="false" ht="15" hidden="false" customHeight="false" outlineLevel="0" collapsed="false">
      <c r="A26" s="4" t="s">
        <v>20</v>
      </c>
    </row>
    <row r="27" customFormat="false" ht="15" hidden="false" customHeight="false" outlineLevel="0" collapsed="false">
      <c r="A27" s="4" t="s">
        <v>21</v>
      </c>
    </row>
    <row r="28" customFormat="false" ht="15" hidden="false" customHeight="false" outlineLevel="0" collapsed="false">
      <c r="A28" s="4" t="s">
        <v>22</v>
      </c>
    </row>
    <row r="30" customFormat="false" ht="15" hidden="false" customHeight="false" outlineLevel="0" collapsed="false">
      <c r="A30" s="3" t="s">
        <v>23</v>
      </c>
    </row>
    <row r="31" customFormat="false" ht="15" hidden="false" customHeight="false" outlineLevel="0" collapsed="false">
      <c r="A31" s="5" t="s">
        <v>24</v>
      </c>
    </row>
    <row r="32" customFormat="false" ht="15" hidden="false" customHeight="false" outlineLevel="0" collapsed="false">
      <c r="A32" s="4" t="s">
        <v>25</v>
      </c>
    </row>
    <row r="34" customFormat="false" ht="15" hidden="false" customHeight="false" outlineLevel="0" collapsed="false">
      <c r="A34" s="3" t="s">
        <v>26</v>
      </c>
    </row>
    <row r="35" customFormat="false" ht="23.85" hidden="false" customHeight="false" outlineLevel="0" collapsed="false">
      <c r="A35" s="4" t="s">
        <v>27</v>
      </c>
    </row>
    <row r="36" customFormat="false" ht="15" hidden="false" customHeight="false" outlineLevel="0" collapsed="false">
      <c r="A36" s="4" t="s">
        <v>28</v>
      </c>
    </row>
    <row r="38" customFormat="false" ht="15" hidden="false" customHeight="false" outlineLevel="0" collapsed="false">
      <c r="A38" s="6" t="s">
        <v>29</v>
      </c>
    </row>
    <row r="40" customFormat="false" ht="15" hidden="false" customHeight="false" outlineLevel="0" collapsed="false">
      <c r="A40" s="7" t="s">
        <v>30</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18"/>
    <col collapsed="false" customWidth="true" hidden="false" outlineLevel="0" max="4" min="4" style="0" width="26"/>
  </cols>
  <sheetData>
    <row r="1" customFormat="false" ht="17.35" hidden="false" customHeight="false" outlineLevel="0" collapsed="false">
      <c r="A1" s="1" t="s">
        <v>31</v>
      </c>
    </row>
    <row r="2" customFormat="false" ht="15" hidden="false" customHeight="false" outlineLevel="0" collapsed="false">
      <c r="A2" s="2" t="s">
        <v>32</v>
      </c>
    </row>
    <row r="4" customFormat="false" ht="15" hidden="false" customHeight="false" outlineLevel="0" collapsed="false">
      <c r="A4" s="8" t="s">
        <v>33</v>
      </c>
      <c r="B4" s="9" t="str">
        <f aca="false">Checks!D22</f>
        <v>PASS</v>
      </c>
    </row>
    <row r="5" customFormat="false" ht="15" hidden="false" customHeight="false" outlineLevel="0" collapsed="false">
      <c r="A5" s="8" t="s">
        <v>34</v>
      </c>
      <c r="B5" s="9" t="str">
        <f aca="false">Settings!$B$6&amp;", week ending "&amp;TEXT(Settings!$B$5,"dd mmm yyyy")&amp;", "&amp;Settings!$B$9&amp;" weeks left"</f>
        <v>AW26, week ending 09 Jan 2027, 4 weeks left</v>
      </c>
    </row>
    <row r="7" customFormat="false" ht="15" hidden="false" customHeight="false" outlineLevel="0" collapsed="false">
      <c r="A7" s="10" t="s">
        <v>35</v>
      </c>
      <c r="B7" s="10"/>
      <c r="C7" s="10"/>
      <c r="D7" s="10"/>
      <c r="E7" s="10"/>
      <c r="F7" s="10"/>
    </row>
    <row r="8" customFormat="false" ht="15" hidden="false" customHeight="false" outlineLevel="0" collapsed="false">
      <c r="A8" s="8" t="s">
        <v>36</v>
      </c>
      <c r="B8" s="11" t="n">
        <f aca="false">COUNTIF('Option Analysis'!$A$6:$A$85,"?*")</f>
        <v>60</v>
      </c>
    </row>
    <row r="9" customFormat="false" ht="15" hidden="false" customHeight="false" outlineLevel="0" collapsed="false">
      <c r="A9" s="8" t="s">
        <v>37</v>
      </c>
      <c r="B9" s="12" t="n">
        <f aca="false">SUM('Option Analysis'!$G$6:$G$85)</f>
        <v>14258</v>
      </c>
    </row>
    <row r="10" customFormat="false" ht="15" hidden="false" customHeight="false" outlineLevel="0" collapsed="false">
      <c r="A10" s="8" t="s">
        <v>38</v>
      </c>
      <c r="B10" s="13" t="n">
        <f aca="false">'Post-Peak Review'!B7</f>
        <v>0.594235952726519</v>
      </c>
    </row>
    <row r="11" customFormat="false" ht="15" hidden="false" customHeight="false" outlineLevel="0" collapsed="false">
      <c r="A11" s="8" t="s">
        <v>39</v>
      </c>
      <c r="B11" s="13" t="n">
        <f aca="false">'Post-Peak Review'!B8</f>
        <v>0.490540120257101</v>
      </c>
    </row>
    <row r="12" customFormat="false" ht="15" hidden="false" customHeight="false" outlineLevel="0" collapsed="false">
      <c r="A12" s="8" t="s">
        <v>40</v>
      </c>
      <c r="B12" s="13" t="n">
        <f aca="false">'Post-Peak Review'!B9</f>
        <v>0.970720394260038</v>
      </c>
    </row>
    <row r="13" customFormat="false" ht="15" hidden="false" customHeight="false" outlineLevel="0" collapsed="false">
      <c r="A13" s="8" t="s">
        <v>41</v>
      </c>
      <c r="B13" s="11" t="n">
        <f aca="false">'Post-Peak Review'!B16</f>
        <v>7</v>
      </c>
    </row>
    <row r="14" customFormat="false" ht="15" hidden="false" customHeight="false" outlineLevel="0" collapsed="false">
      <c r="A14" s="8" t="s">
        <v>42</v>
      </c>
      <c r="B14" s="11" t="n">
        <f aca="false">'Post-Peak Review'!B17</f>
        <v>3</v>
      </c>
    </row>
    <row r="16" customFormat="false" ht="15" hidden="false" customHeight="false" outlineLevel="0" collapsed="false">
      <c r="A16" s="10" t="s">
        <v>43</v>
      </c>
      <c r="B16" s="10"/>
      <c r="C16" s="10"/>
      <c r="D16" s="10"/>
      <c r="E16" s="10"/>
      <c r="F16" s="10"/>
    </row>
    <row r="17" customFormat="false" ht="15" hidden="false" customHeight="false" outlineLevel="0" collapsed="false">
      <c r="A17" s="8" t="s">
        <v>44</v>
      </c>
      <c r="B17" s="14" t="n">
        <f aca="false">'Post-Peak Review'!B12</f>
        <v>543935.8</v>
      </c>
    </row>
    <row r="18" customFormat="false" ht="15" hidden="false" customHeight="false" outlineLevel="0" collapsed="false">
      <c r="A18" s="8" t="s">
        <v>45</v>
      </c>
      <c r="B18" s="14" t="n">
        <f aca="false">'Post-Peak Review'!B13</f>
        <v>441779.64</v>
      </c>
    </row>
    <row r="19" customFormat="false" ht="15" hidden="false" customHeight="false" outlineLevel="0" collapsed="false">
      <c r="A19" s="8" t="s">
        <v>46</v>
      </c>
      <c r="B19" s="14" t="n">
        <f aca="false">'Post-Peak Review'!B14</f>
        <v>465031.2</v>
      </c>
    </row>
    <row r="20" customFormat="false" ht="15" hidden="false" customHeight="false" outlineLevel="0" collapsed="false">
      <c r="A20" s="8" t="s">
        <v>47</v>
      </c>
      <c r="B20" s="14" t="n">
        <f aca="false">'Post-Peak Review'!B15</f>
        <v>11425.7424242424</v>
      </c>
    </row>
    <row r="21" customFormat="false" ht="15" hidden="false" customHeight="false" outlineLevel="0" collapsed="false">
      <c r="A21" s="8" t="s">
        <v>48</v>
      </c>
      <c r="B21" s="14" t="n">
        <f aca="false">SUMIFS('Option Analysis'!$AG$6:$AG$85,'Option Analysis'!$AW$6:$AW$85,"Y")</f>
        <v>7820.4</v>
      </c>
    </row>
    <row r="22" customFormat="false" ht="15" hidden="false" customHeight="false" outlineLevel="0" collapsed="false">
      <c r="A22" s="8" t="s">
        <v>49</v>
      </c>
    </row>
    <row r="24" customFormat="false" ht="15" hidden="false" customHeight="false" outlineLevel="0" collapsed="false">
      <c r="A24" s="10" t="s">
        <v>50</v>
      </c>
      <c r="B24" s="10"/>
      <c r="C24" s="10"/>
      <c r="D24" s="10"/>
      <c r="E24" s="10"/>
      <c r="F24" s="10"/>
    </row>
    <row r="25" customFormat="false" ht="24" hidden="false" customHeight="true" outlineLevel="0" collapsed="false">
      <c r="A25" s="15" t="s">
        <v>51</v>
      </c>
      <c r="B25" s="15" t="s">
        <v>36</v>
      </c>
      <c r="C25" s="15" t="s">
        <v>52</v>
      </c>
      <c r="D25" s="15" t="s">
        <v>53</v>
      </c>
    </row>
    <row r="26" customFormat="false" ht="15" hidden="false" customHeight="false" outlineLevel="0" collapsed="false">
      <c r="A26" s="9" t="str">
        <f aca="false">Settings!$A$27</f>
        <v>Fix findability: it is in stock but customers cannot find it</v>
      </c>
      <c r="B26" s="9" t="n">
        <f aca="false">COUNTIF('Option Analysis'!$AM$6:$AM$85,A26)</f>
        <v>3</v>
      </c>
      <c r="C26" s="14" t="n">
        <f aca="false">SUMIFS('Option Analysis'!$AL$6:$AL$85,'Option Analysis'!$AM$6:$AM$85,A26)</f>
        <v>69897.2</v>
      </c>
      <c r="D26" s="9" t="str">
        <f aca="false">Settings!$B$27</f>
        <v>Ecommerce Trading Manager</v>
      </c>
    </row>
    <row r="27" customFormat="false" ht="15" hidden="false" customHeight="false" outlineLevel="0" collapsed="false">
      <c r="A27" s="9" t="str">
        <f aca="false">Settings!$A$28</f>
        <v>Chase the purchase order for core sizes</v>
      </c>
      <c r="B27" s="9" t="n">
        <f aca="false">COUNTIF('Option Analysis'!$AM$6:$AM$85,A27)</f>
        <v>2</v>
      </c>
      <c r="C27" s="14" t="n">
        <f aca="false">SUMIFS('Option Analysis'!$AL$6:$AL$85,'Option Analysis'!$AM$6:$AM$85,A27)</f>
        <v>12867.7133333333</v>
      </c>
      <c r="D27" s="9" t="str">
        <f aca="false">Settings!$B$28</f>
        <v>Merchandiser</v>
      </c>
    </row>
    <row r="28" customFormat="false" ht="15" hidden="false" customHeight="false" outlineLevel="0" collapsed="false">
      <c r="A28" s="9" t="str">
        <f aca="false">Settings!$A$29</f>
        <v>Reorder core sizes, or transfer them in</v>
      </c>
      <c r="B28" s="9" t="n">
        <f aca="false">COUNTIF('Option Analysis'!$AM$6:$AM$85,A28)</f>
        <v>2</v>
      </c>
      <c r="C28" s="14" t="n">
        <f aca="false">SUMIFS('Option Analysis'!$AL$6:$AL$85,'Option Analysis'!$AM$6:$AM$85,A28)</f>
        <v>8323.64</v>
      </c>
      <c r="D28" s="9" t="str">
        <f aca="false">Settings!$B$29</f>
        <v>Merchandiser</v>
      </c>
    </row>
    <row r="29" customFormat="false" ht="15" hidden="false" customHeight="false" outlineLevel="0" collapsed="false">
      <c r="A29" s="9" t="str">
        <f aca="false">Settings!$A$30</f>
        <v>Exit: clear the remaining sizes</v>
      </c>
      <c r="B29" s="9" t="n">
        <f aca="false">COUNTIF('Option Analysis'!$AM$6:$AM$85,A29)</f>
        <v>1</v>
      </c>
      <c r="C29" s="14" t="n">
        <f aca="false">SUMIFS('Option Analysis'!$AL$6:$AL$85,'Option Analysis'!$AM$6:$AM$85,A29)</f>
        <v>3259.2</v>
      </c>
      <c r="D29" s="9" t="str">
        <f aca="false">Settings!$B$30</f>
        <v>Trading Manager</v>
      </c>
    </row>
    <row r="30" customFormat="false" ht="15" hidden="false" customHeight="false" outlineLevel="0" collapsed="false">
      <c r="A30" s="9" t="str">
        <f aca="false">Settings!$A$31</f>
        <v>Let it sell out</v>
      </c>
      <c r="B30" s="9" t="n">
        <f aca="false">COUNTIF('Option Analysis'!$AM$6:$AM$85,A30)</f>
        <v>1</v>
      </c>
      <c r="C30" s="14" t="n">
        <f aca="false">SUMIFS('Option Analysis'!$AL$6:$AL$85,'Option Analysis'!$AM$6:$AM$85,A30)</f>
        <v>0</v>
      </c>
      <c r="D30" s="9" t="str">
        <f aca="false">Settings!$B$31</f>
        <v>Merchandiser</v>
      </c>
    </row>
    <row r="31" customFormat="false" ht="15" hidden="false" customHeight="false" outlineLevel="0" collapsed="false">
      <c r="A31" s="9" t="str">
        <f aca="false">Settings!$A$32</f>
        <v>Check demand without the promotion before reordering</v>
      </c>
      <c r="B31" s="9" t="n">
        <f aca="false">COUNTIF('Option Analysis'!$AM$6:$AM$85,A31)</f>
        <v>1</v>
      </c>
      <c r="C31" s="14" t="n">
        <f aca="false">SUMIFS('Option Analysis'!$AL$6:$AL$85,'Option Analysis'!$AM$6:$AM$85,A31)</f>
        <v>0</v>
      </c>
      <c r="D31" s="9" t="str">
        <f aca="false">Settings!$B$32</f>
        <v>Trading Manager</v>
      </c>
    </row>
    <row r="32" customFormat="false" ht="15" hidden="false" customHeight="false" outlineLevel="0" collapsed="false">
      <c r="A32" s="9" t="str">
        <f aca="false">Settings!$A$33</f>
        <v>Check how much of its rate is borrowed from a sold-out line before reordering</v>
      </c>
      <c r="B32" s="9" t="n">
        <f aca="false">COUNTIF('Option Analysis'!$AM$6:$AM$85,A32)</f>
        <v>1</v>
      </c>
      <c r="C32" s="14" t="n">
        <f aca="false">SUMIFS('Option Analysis'!$AL$6:$AL$85,'Option Analysis'!$AM$6:$AM$85,A32)</f>
        <v>0</v>
      </c>
      <c r="D32" s="9" t="str">
        <f aca="false">Settings!$B$33</f>
        <v>Merchandiser</v>
      </c>
    </row>
    <row r="33" customFormat="false" ht="15" hidden="false" customHeight="false" outlineLevel="0" collapsed="false">
      <c r="A33" s="9" t="str">
        <f aca="false">Settings!$A$34</f>
        <v>Hold: the purchase order lands in time</v>
      </c>
      <c r="B33" s="9" t="n">
        <f aca="false">COUNTIF('Option Analysis'!$AM$6:$AM$85,A33)</f>
        <v>1</v>
      </c>
      <c r="C33" s="14" t="n">
        <f aca="false">SUMIFS('Option Analysis'!$AL$6:$AL$85,'Option Analysis'!$AM$6:$AM$85,A33)</f>
        <v>7516.72</v>
      </c>
      <c r="D33" s="9" t="str">
        <f aca="false">Settings!$B$34</f>
        <v>Merchandiser</v>
      </c>
    </row>
    <row r="34" customFormat="false" ht="15" hidden="false" customHeight="false" outlineLevel="0" collapsed="false">
      <c r="A34" s="9" t="str">
        <f aca="false">Settings!$A$35</f>
        <v>Chase the purchase order: it lands after stock runs out</v>
      </c>
      <c r="B34" s="9" t="n">
        <f aca="false">COUNTIF('Option Analysis'!$AM$6:$AM$85,A34)</f>
        <v>1</v>
      </c>
      <c r="C34" s="14" t="n">
        <f aca="false">SUMIFS('Option Analysis'!$AL$6:$AL$85,'Option Analysis'!$AM$6:$AM$85,A34)</f>
        <v>20683.52</v>
      </c>
      <c r="D34" s="9" t="str">
        <f aca="false">Settings!$B$35</f>
        <v>Merchandiser</v>
      </c>
    </row>
    <row r="35" customFormat="false" ht="15" hidden="false" customHeight="false" outlineLevel="0" collapsed="false">
      <c r="A35" s="9" t="str">
        <f aca="false">Settings!$A$36</f>
        <v>Sell through; carry the lesson into next season's buy</v>
      </c>
      <c r="B35" s="9" t="n">
        <f aca="false">COUNTIF('Option Analysis'!$AM$6:$AM$85,A35)</f>
        <v>1</v>
      </c>
      <c r="C35" s="14" t="n">
        <f aca="false">SUMIFS('Option Analysis'!$AL$6:$AL$85,'Option Analysis'!$AM$6:$AM$85,A35)</f>
        <v>0</v>
      </c>
      <c r="D35" s="9" t="str">
        <f aca="false">Settings!$B$36</f>
        <v>Buyer</v>
      </c>
    </row>
    <row r="36" customFormat="false" ht="15" hidden="false" customHeight="false" outlineLevel="0" collapsed="false">
      <c r="A36" s="9" t="str">
        <f aca="false">Settings!$A$37</f>
        <v>Reorder</v>
      </c>
      <c r="B36" s="9" t="n">
        <f aca="false">COUNTIF('Option Analysis'!$AM$6:$AM$85,A36)</f>
        <v>2</v>
      </c>
      <c r="C36" s="14" t="n">
        <f aca="false">SUMIFS('Option Analysis'!$AL$6:$AL$85,'Option Analysis'!$AM$6:$AM$85,A36)</f>
        <v>0</v>
      </c>
      <c r="D36" s="9" t="str">
        <f aca="false">Settings!$B$37</f>
        <v>Merchandiser</v>
      </c>
    </row>
    <row r="37" customFormat="false" ht="15" hidden="false" customHeight="false" outlineLevel="0" collapsed="false">
      <c r="A37" s="9" t="str">
        <f aca="false">Settings!$A$38</f>
        <v>Protect: hold price and depth</v>
      </c>
      <c r="B37" s="9" t="n">
        <f aca="false">COUNTIF('Option Analysis'!$AM$6:$AM$85,A37)</f>
        <v>0</v>
      </c>
      <c r="C37" s="14" t="n">
        <f aca="false">SUMIFS('Option Analysis'!$AL$6:$AL$85,'Option Analysis'!$AM$6:$AM$85,A37)</f>
        <v>0</v>
      </c>
      <c r="D37" s="9" t="str">
        <f aca="false">Settings!$B$38</f>
        <v>Trading Manager</v>
      </c>
    </row>
    <row r="38" customFormat="false" ht="15" hidden="false" customHeight="false" outlineLevel="0" collapsed="false">
      <c r="A38" s="9" t="str">
        <f aca="false">Settings!$A$39</f>
        <v>Hold price for now; set the markdown date</v>
      </c>
      <c r="B38" s="9" t="n">
        <f aca="false">COUNTIF('Option Analysis'!$AM$6:$AM$85,A38)</f>
        <v>1</v>
      </c>
      <c r="C38" s="14" t="n">
        <f aca="false">SUMIFS('Option Analysis'!$AL$6:$AL$85,'Option Analysis'!$AM$6:$AM$85,A38)</f>
        <v>885.12</v>
      </c>
      <c r="D38" s="9" t="str">
        <f aca="false">Settings!$B$39</f>
        <v>Trading Manager</v>
      </c>
    </row>
    <row r="39" customFormat="false" ht="15" hidden="false" customHeight="false" outlineLevel="0" collapsed="false">
      <c r="A39" s="9" t="str">
        <f aca="false">Settings!$A$40</f>
        <v>Hold</v>
      </c>
      <c r="B39" s="9" t="n">
        <f aca="false">COUNTIF('Option Analysis'!$AM$6:$AM$85,A39)</f>
        <v>16</v>
      </c>
      <c r="C39" s="14" t="n">
        <f aca="false">SUMIFS('Option Analysis'!$AL$6:$AL$85,'Option Analysis'!$AM$6:$AM$85,A39)</f>
        <v>33544.72</v>
      </c>
      <c r="D39" s="9" t="str">
        <f aca="false">Settings!$B$40</f>
        <v>Merchandiser</v>
      </c>
    </row>
    <row r="40" customFormat="false" ht="15" hidden="false" customHeight="false" outlineLevel="0" collapsed="false">
      <c r="A40" s="9" t="str">
        <f aca="false">Settings!$A$41</f>
        <v>Leave it: it is doing a range job (check the evidence)</v>
      </c>
      <c r="B40" s="9" t="n">
        <f aca="false">COUNTIF('Option Analysis'!$AM$6:$AM$85,A40)</f>
        <v>2</v>
      </c>
      <c r="C40" s="14" t="n">
        <f aca="false">SUMIFS('Option Analysis'!$AL$6:$AL$85,'Option Analysis'!$AM$6:$AM$85,A40)</f>
        <v>83274.24</v>
      </c>
      <c r="D40" s="9" t="str">
        <f aca="false">Settings!$B$41</f>
        <v>Merchandise Director</v>
      </c>
    </row>
    <row r="41" customFormat="false" ht="15" hidden="false" customHeight="false" outlineLevel="0" collapsed="false">
      <c r="A41" s="9" t="str">
        <f aca="false">Settings!$A$42</f>
        <v>Exit: mark down to clear</v>
      </c>
      <c r="B41" s="9" t="n">
        <f aca="false">COUNTIF('Option Analysis'!$AM$6:$AM$85,A41)</f>
        <v>2</v>
      </c>
      <c r="C41" s="14" t="n">
        <f aca="false">SUMIFS('Option Analysis'!$AL$6:$AL$85,'Option Analysis'!$AM$6:$AM$85,A41)</f>
        <v>71725.44</v>
      </c>
      <c r="D41" s="9" t="str">
        <f aca="false">Settings!$B$42</f>
        <v>Trading Manager</v>
      </c>
    </row>
    <row r="42" customFormat="false" ht="15" hidden="false" customHeight="false" outlineLevel="0" collapsed="false">
      <c r="A42" s="9" t="str">
        <f aca="false">Settings!$A$43</f>
        <v>Mark down or re-merchandise</v>
      </c>
      <c r="B42" s="9" t="n">
        <f aca="false">COUNTIF('Option Analysis'!$AM$6:$AM$85,A42)</f>
        <v>16</v>
      </c>
      <c r="C42" s="14" t="n">
        <f aca="false">SUMIFS('Option Analysis'!$AL$6:$AL$85,'Option Analysis'!$AM$6:$AM$85,A42)</f>
        <v>158417.429090909</v>
      </c>
      <c r="D42" s="9" t="str">
        <f aca="false">Settings!$B$43</f>
        <v>Trading Manager</v>
      </c>
    </row>
    <row r="43" customFormat="false" ht="15" hidden="false" customHeight="false" outlineLevel="0" collapsed="false">
      <c r="A43" s="9" t="str">
        <f aca="false">Settings!$A$44</f>
        <v>Fix the size curve or exit</v>
      </c>
      <c r="B43" s="9" t="n">
        <f aca="false">COUNTIF('Option Analysis'!$AM$6:$AM$85,A43)</f>
        <v>1</v>
      </c>
      <c r="C43" s="14" t="n">
        <f aca="false">SUMIFS('Option Analysis'!$AL$6:$AL$85,'Option Analysis'!$AM$6:$AM$85,A43)</f>
        <v>5670</v>
      </c>
      <c r="D43" s="9" t="str">
        <f aca="false">Settings!$B$44</f>
        <v>Merchandiser</v>
      </c>
    </row>
    <row r="44" customFormat="false" ht="15" hidden="false" customHeight="false" outlineLevel="0" collapsed="false">
      <c r="A44" s="9" t="str">
        <f aca="false">Settings!$A$45</f>
        <v>Check availability and findability before judging demand</v>
      </c>
      <c r="B44" s="9" t="n">
        <f aca="false">COUNTIF('Option Analysis'!$AM$6:$AM$85,A44)</f>
        <v>3</v>
      </c>
      <c r="C44" s="14" t="n">
        <f aca="false">SUMIFS('Option Analysis'!$AL$6:$AL$85,'Option Analysis'!$AM$6:$AM$85,A44)</f>
        <v>0</v>
      </c>
      <c r="D44" s="9" t="str">
        <f aca="false">Settings!$B$45</f>
        <v>Merchandiser</v>
      </c>
    </row>
    <row r="45" customFormat="false" ht="15" hidden="false" customHeight="false" outlineLevel="0" collapsed="false">
      <c r="A45" s="9" t="str">
        <f aca="false">Settings!$A$46</f>
        <v>Watch; re-merchandise if it does not move</v>
      </c>
      <c r="B45" s="9" t="n">
        <f aca="false">COUNTIF('Option Analysis'!$AM$6:$AM$85,A45)</f>
        <v>1</v>
      </c>
      <c r="C45" s="14" t="n">
        <f aca="false">SUMIFS('Option Analysis'!$AL$6:$AL$85,'Option Analysis'!$AM$6:$AM$85,A45)</f>
        <v>0</v>
      </c>
      <c r="D45" s="9" t="str">
        <f aca="false">Settings!$B$46</f>
        <v>Trading Manager</v>
      </c>
    </row>
    <row r="46" customFormat="false" ht="15" hidden="false" customHeight="false" outlineLevel="0" collapsed="false">
      <c r="A46" s="9" t="str">
        <f aca="false">Settings!$A$47</f>
        <v>Hold for the campaign; judge it on the campaign's rate of sale</v>
      </c>
      <c r="B46" s="9" t="n">
        <f aca="false">COUNTIF('Option Analysis'!$AM$6:$AM$85,A46)</f>
        <v>1</v>
      </c>
      <c r="C46" s="14" t="n">
        <f aca="false">SUMIFS('Option Analysis'!$AL$6:$AL$85,'Option Analysis'!$AM$6:$AM$85,A46)</f>
        <v>0</v>
      </c>
      <c r="D46" s="9" t="str">
        <f aca="false">Settings!$B$47</f>
        <v>Trading Manager</v>
      </c>
    </row>
    <row r="47" customFormat="false" ht="15" hidden="false" customHeight="false" outlineLevel="0" collapsed="false">
      <c r="A47" s="9" t="str">
        <f aca="false">Settings!$A$48</f>
        <v>Hold for the campaign, but stock exceeds the campaign plan: agree the exit now</v>
      </c>
      <c r="B47" s="9" t="n">
        <f aca="false">COUNTIF('Option Analysis'!$AM$6:$AM$85,A47)</f>
        <v>1</v>
      </c>
      <c r="C47" s="14" t="n">
        <f aca="false">SUMIFS('Option Analysis'!$AL$6:$AL$85,'Option Analysis'!$AM$6:$AM$85,A47)</f>
        <v>392</v>
      </c>
      <c r="D47" s="9" t="str">
        <f aca="false">Settings!$B$48</f>
        <v>Trading Manager</v>
      </c>
    </row>
    <row r="48" customFormat="false" ht="15" hidden="false" customHeight="false" outlineLevel="0" collapsed="false">
      <c r="A48" s="8" t="s">
        <v>54</v>
      </c>
      <c r="B48" s="9" t="n">
        <f aca="false">COUNTIF('Option Analysis'!$A$6:$A$85,"?*")-SUM(B26:B47)</f>
        <v>0</v>
      </c>
      <c r="C48" s="14" t="n">
        <f aca="false">SUM('Option Analysis'!$AL$6:$AL$85)-SUM(C26:C47)</f>
        <v>0</v>
      </c>
    </row>
  </sheetData>
  <sheetProtection sheet="true" formatColumns="false" formatRows="false" sort="false" autoFilter="false"/>
  <conditionalFormatting sqref="B4">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6"/>
    <col collapsed="false" customWidth="true" hidden="false" outlineLevel="0" max="3" min="3" style="0" width="90"/>
  </cols>
  <sheetData>
    <row r="1" customFormat="false" ht="17.35" hidden="false" customHeight="false" outlineLevel="0" collapsed="false">
      <c r="A1" s="1" t="s">
        <v>55</v>
      </c>
    </row>
    <row r="2" customFormat="false" ht="15" hidden="false" customHeight="false" outlineLevel="0" collapsed="false">
      <c r="A2" s="2" t="s">
        <v>56</v>
      </c>
    </row>
    <row r="3" customFormat="false" ht="39.75" hidden="false" customHeight="true" outlineLevel="0" collapsed="false">
      <c r="A3" s="15" t="s">
        <v>57</v>
      </c>
      <c r="B3" s="15" t="s">
        <v>58</v>
      </c>
      <c r="C3" s="15" t="s">
        <v>59</v>
      </c>
    </row>
    <row r="4" customFormat="false" ht="15" hidden="false" customHeight="false" outlineLevel="0" collapsed="false">
      <c r="A4" s="8" t="s">
        <v>60</v>
      </c>
      <c r="B4" s="16" t="s">
        <v>61</v>
      </c>
      <c r="C4" s="8" t="s">
        <v>62</v>
      </c>
    </row>
    <row r="5" customFormat="false" ht="15" hidden="false" customHeight="false" outlineLevel="0" collapsed="false">
      <c r="A5" s="8" t="s">
        <v>63</v>
      </c>
      <c r="B5" s="17" t="n">
        <v>46396</v>
      </c>
      <c r="C5" s="8" t="s">
        <v>64</v>
      </c>
    </row>
    <row r="6" customFormat="false" ht="15" hidden="false" customHeight="false" outlineLevel="0" collapsed="false">
      <c r="A6" s="8" t="s">
        <v>65</v>
      </c>
      <c r="B6" s="16" t="s">
        <v>66</v>
      </c>
      <c r="C6" s="8" t="s">
        <v>67</v>
      </c>
    </row>
    <row r="7" customFormat="false" ht="15" hidden="false" customHeight="false" outlineLevel="0" collapsed="false">
      <c r="A7" s="8" t="s">
        <v>68</v>
      </c>
      <c r="B7" s="18" t="n">
        <v>26</v>
      </c>
      <c r="C7" s="8"/>
    </row>
    <row r="8" customFormat="false" ht="15" hidden="false" customHeight="false" outlineLevel="0" collapsed="false">
      <c r="A8" s="8" t="s">
        <v>69</v>
      </c>
      <c r="B8" s="18" t="n">
        <v>22</v>
      </c>
      <c r="C8" s="8"/>
    </row>
    <row r="9" customFormat="false" ht="15" hidden="false" customHeight="false" outlineLevel="0" collapsed="false">
      <c r="A9" s="8" t="s">
        <v>70</v>
      </c>
      <c r="B9" s="19" t="n">
        <f aca="false">MAX(0,B7-B8)</f>
        <v>4</v>
      </c>
      <c r="C9" s="8" t="s">
        <v>71</v>
      </c>
    </row>
    <row r="10" customFormat="false" ht="15" hidden="false" customHeight="false" outlineLevel="0" collapsed="false">
      <c r="A10" s="8" t="s">
        <v>72</v>
      </c>
      <c r="B10" s="20" t="n">
        <v>0.4</v>
      </c>
      <c r="C10" s="8" t="s">
        <v>73</v>
      </c>
    </row>
    <row r="11" customFormat="false" ht="15" hidden="false" customHeight="false" outlineLevel="0" collapsed="false">
      <c r="A11" s="8" t="s">
        <v>74</v>
      </c>
      <c r="B11" s="20" t="n">
        <v>0.3</v>
      </c>
      <c r="C11" s="8"/>
    </row>
    <row r="12" customFormat="false" ht="15" hidden="false" customHeight="false" outlineLevel="0" collapsed="false">
      <c r="A12" s="8" t="s">
        <v>75</v>
      </c>
      <c r="B12" s="20" t="n">
        <v>0.2</v>
      </c>
      <c r="C12" s="8"/>
    </row>
    <row r="13" customFormat="false" ht="15" hidden="false" customHeight="false" outlineLevel="0" collapsed="false">
      <c r="A13" s="8" t="s">
        <v>76</v>
      </c>
      <c r="B13" s="20" t="n">
        <v>0.1</v>
      </c>
      <c r="C13" s="8"/>
    </row>
    <row r="14" customFormat="false" ht="15" hidden="false" customHeight="false" outlineLevel="0" collapsed="false">
      <c r="A14" s="8" t="s">
        <v>77</v>
      </c>
      <c r="B14" s="21" t="n">
        <f aca="false">SUM(B10:B13)</f>
        <v>1</v>
      </c>
      <c r="C14" s="8" t="s">
        <v>78</v>
      </c>
    </row>
    <row r="15" customFormat="false" ht="15" hidden="false" customHeight="false" outlineLevel="0" collapsed="false">
      <c r="A15" s="8" t="s">
        <v>79</v>
      </c>
      <c r="B15" s="20" t="n">
        <v>0.9</v>
      </c>
      <c r="C15" s="8" t="s">
        <v>80</v>
      </c>
    </row>
    <row r="16" customFormat="false" ht="15" hidden="false" customHeight="false" outlineLevel="0" collapsed="false">
      <c r="A16" s="8" t="s">
        <v>81</v>
      </c>
      <c r="B16" s="20" t="n">
        <v>0.85</v>
      </c>
      <c r="C16" s="8" t="s">
        <v>82</v>
      </c>
    </row>
    <row r="17" customFormat="false" ht="15" hidden="false" customHeight="false" outlineLevel="0" collapsed="false">
      <c r="A17" s="8" t="s">
        <v>83</v>
      </c>
      <c r="B17" s="21" t="n">
        <f aca="false">B16*B8/B7</f>
        <v>0.719230769230769</v>
      </c>
      <c r="C17" s="8" t="s">
        <v>84</v>
      </c>
    </row>
    <row r="18" customFormat="false" ht="15" hidden="false" customHeight="false" outlineLevel="0" collapsed="false">
      <c r="A18" s="8" t="s">
        <v>85</v>
      </c>
      <c r="B18" s="18" t="n">
        <v>4</v>
      </c>
      <c r="C18" s="8" t="s">
        <v>86</v>
      </c>
    </row>
    <row r="19" customFormat="false" ht="15" hidden="false" customHeight="false" outlineLevel="0" collapsed="false">
      <c r="A19" s="8" t="s">
        <v>87</v>
      </c>
      <c r="B19" s="18" t="n">
        <v>12</v>
      </c>
      <c r="C19" s="8" t="s">
        <v>88</v>
      </c>
    </row>
    <row r="20" customFormat="false" ht="15" hidden="false" customHeight="false" outlineLevel="0" collapsed="false">
      <c r="A20" s="8" t="s">
        <v>89</v>
      </c>
      <c r="B20" s="18" t="n">
        <v>8</v>
      </c>
      <c r="C20" s="8" t="s">
        <v>90</v>
      </c>
    </row>
    <row r="21" customFormat="false" ht="15" hidden="false" customHeight="false" outlineLevel="0" collapsed="false">
      <c r="A21" s="8" t="s">
        <v>91</v>
      </c>
      <c r="B21" s="20" t="n">
        <v>0.4</v>
      </c>
      <c r="C21" s="8" t="s">
        <v>92</v>
      </c>
    </row>
    <row r="22" customFormat="false" ht="15" hidden="false" customHeight="false" outlineLevel="0" collapsed="false">
      <c r="A22" s="8" t="s">
        <v>93</v>
      </c>
      <c r="B22" s="18" t="n">
        <v>30</v>
      </c>
      <c r="C22" s="8" t="s">
        <v>94</v>
      </c>
    </row>
    <row r="23" customFormat="false" ht="15" hidden="false" customHeight="false" outlineLevel="0" collapsed="false">
      <c r="A23" s="8" t="s">
        <v>95</v>
      </c>
      <c r="B23" s="20" t="n">
        <v>0.3</v>
      </c>
      <c r="C23" s="8" t="s">
        <v>96</v>
      </c>
    </row>
    <row r="25" customFormat="false" ht="15" hidden="false" customHeight="false" outlineLevel="0" collapsed="false">
      <c r="A25" s="10" t="s">
        <v>97</v>
      </c>
      <c r="B25" s="10"/>
      <c r="C25" s="10"/>
    </row>
    <row r="26" customFormat="false" ht="39.75" hidden="false" customHeight="true" outlineLevel="0" collapsed="false">
      <c r="A26" s="15" t="s">
        <v>98</v>
      </c>
      <c r="B26" s="15" t="s">
        <v>53</v>
      </c>
      <c r="C26" s="15" t="s">
        <v>99</v>
      </c>
    </row>
    <row r="27" customFormat="false" ht="15" hidden="false" customHeight="false" outlineLevel="0" collapsed="false">
      <c r="A27" s="16" t="s">
        <v>100</v>
      </c>
      <c r="B27" s="16" t="s">
        <v>101</v>
      </c>
      <c r="C27" s="22" t="s">
        <v>102</v>
      </c>
    </row>
    <row r="28" customFormat="false" ht="15" hidden="false" customHeight="false" outlineLevel="0" collapsed="false">
      <c r="A28" s="16" t="s">
        <v>103</v>
      </c>
      <c r="B28" s="16" t="s">
        <v>104</v>
      </c>
      <c r="C28" s="22" t="s">
        <v>105</v>
      </c>
    </row>
    <row r="29" customFormat="false" ht="15" hidden="false" customHeight="false" outlineLevel="0" collapsed="false">
      <c r="A29" s="16" t="s">
        <v>106</v>
      </c>
      <c r="B29" s="16" t="s">
        <v>104</v>
      </c>
      <c r="C29" s="22" t="s">
        <v>107</v>
      </c>
    </row>
    <row r="30" customFormat="false" ht="15" hidden="false" customHeight="false" outlineLevel="0" collapsed="false">
      <c r="A30" s="16" t="s">
        <v>108</v>
      </c>
      <c r="B30" s="16" t="s">
        <v>109</v>
      </c>
      <c r="C30" s="22" t="s">
        <v>110</v>
      </c>
    </row>
    <row r="31" customFormat="false" ht="15" hidden="false" customHeight="false" outlineLevel="0" collapsed="false">
      <c r="A31" s="16" t="s">
        <v>111</v>
      </c>
      <c r="B31" s="16" t="s">
        <v>104</v>
      </c>
      <c r="C31" s="22" t="s">
        <v>112</v>
      </c>
    </row>
    <row r="32" customFormat="false" ht="15" hidden="false" customHeight="false" outlineLevel="0" collapsed="false">
      <c r="A32" s="16" t="s">
        <v>113</v>
      </c>
      <c r="B32" s="16" t="s">
        <v>109</v>
      </c>
      <c r="C32" s="22" t="s">
        <v>114</v>
      </c>
    </row>
    <row r="33" customFormat="false" ht="26.85" hidden="false" customHeight="false" outlineLevel="0" collapsed="false">
      <c r="A33" s="16" t="s">
        <v>115</v>
      </c>
      <c r="B33" s="16" t="s">
        <v>104</v>
      </c>
      <c r="C33" s="22" t="s">
        <v>116</v>
      </c>
    </row>
    <row r="34" customFormat="false" ht="15" hidden="false" customHeight="false" outlineLevel="0" collapsed="false">
      <c r="A34" s="16" t="s">
        <v>117</v>
      </c>
      <c r="B34" s="16" t="s">
        <v>104</v>
      </c>
      <c r="C34" s="22" t="s">
        <v>118</v>
      </c>
    </row>
    <row r="35" customFormat="false" ht="15" hidden="false" customHeight="false" outlineLevel="0" collapsed="false">
      <c r="A35" s="16" t="s">
        <v>119</v>
      </c>
      <c r="B35" s="16" t="s">
        <v>104</v>
      </c>
      <c r="C35" s="22" t="s">
        <v>120</v>
      </c>
    </row>
    <row r="36" customFormat="false" ht="15" hidden="false" customHeight="false" outlineLevel="0" collapsed="false">
      <c r="A36" s="16" t="s">
        <v>121</v>
      </c>
      <c r="B36" s="16" t="s">
        <v>122</v>
      </c>
      <c r="C36" s="22" t="s">
        <v>123</v>
      </c>
    </row>
    <row r="37" customFormat="false" ht="15" hidden="false" customHeight="false" outlineLevel="0" collapsed="false">
      <c r="A37" s="16" t="s">
        <v>124</v>
      </c>
      <c r="B37" s="16" t="s">
        <v>104</v>
      </c>
      <c r="C37" s="22" t="s">
        <v>125</v>
      </c>
    </row>
    <row r="38" customFormat="false" ht="15" hidden="false" customHeight="false" outlineLevel="0" collapsed="false">
      <c r="A38" s="16" t="s">
        <v>126</v>
      </c>
      <c r="B38" s="16" t="s">
        <v>109</v>
      </c>
      <c r="C38" s="22" t="s">
        <v>127</v>
      </c>
    </row>
    <row r="39" customFormat="false" ht="15" hidden="false" customHeight="false" outlineLevel="0" collapsed="false">
      <c r="A39" s="16" t="s">
        <v>128</v>
      </c>
      <c r="B39" s="16" t="s">
        <v>109</v>
      </c>
      <c r="C39" s="22" t="s">
        <v>129</v>
      </c>
    </row>
    <row r="40" customFormat="false" ht="15" hidden="false" customHeight="false" outlineLevel="0" collapsed="false">
      <c r="A40" s="16" t="s">
        <v>130</v>
      </c>
      <c r="B40" s="16" t="s">
        <v>104</v>
      </c>
      <c r="C40" s="22" t="s">
        <v>131</v>
      </c>
    </row>
    <row r="41" customFormat="false" ht="15" hidden="false" customHeight="false" outlineLevel="0" collapsed="false">
      <c r="A41" s="16" t="s">
        <v>132</v>
      </c>
      <c r="B41" s="16" t="s">
        <v>133</v>
      </c>
      <c r="C41" s="22" t="s">
        <v>134</v>
      </c>
    </row>
    <row r="42" customFormat="false" ht="15" hidden="false" customHeight="false" outlineLevel="0" collapsed="false">
      <c r="A42" s="16" t="s">
        <v>135</v>
      </c>
      <c r="B42" s="16" t="s">
        <v>109</v>
      </c>
      <c r="C42" s="22" t="s">
        <v>136</v>
      </c>
    </row>
    <row r="43" customFormat="false" ht="15" hidden="false" customHeight="false" outlineLevel="0" collapsed="false">
      <c r="A43" s="16" t="s">
        <v>137</v>
      </c>
      <c r="B43" s="16" t="s">
        <v>109</v>
      </c>
      <c r="C43" s="22" t="s">
        <v>138</v>
      </c>
    </row>
    <row r="44" customFormat="false" ht="15" hidden="false" customHeight="false" outlineLevel="0" collapsed="false">
      <c r="A44" s="16" t="s">
        <v>139</v>
      </c>
      <c r="B44" s="16" t="s">
        <v>104</v>
      </c>
      <c r="C44" s="22" t="s">
        <v>140</v>
      </c>
    </row>
    <row r="45" customFormat="false" ht="15" hidden="false" customHeight="false" outlineLevel="0" collapsed="false">
      <c r="A45" s="16" t="s">
        <v>141</v>
      </c>
      <c r="B45" s="16" t="s">
        <v>104</v>
      </c>
      <c r="C45" s="22" t="s">
        <v>142</v>
      </c>
    </row>
    <row r="46" customFormat="false" ht="15" hidden="false" customHeight="false" outlineLevel="0" collapsed="false">
      <c r="A46" s="16" t="s">
        <v>143</v>
      </c>
      <c r="B46" s="16" t="s">
        <v>109</v>
      </c>
      <c r="C46" s="22" t="s">
        <v>144</v>
      </c>
    </row>
    <row r="47" customFormat="false" ht="15" hidden="false" customHeight="false" outlineLevel="0" collapsed="false">
      <c r="A47" s="16" t="s">
        <v>145</v>
      </c>
      <c r="B47" s="16" t="s">
        <v>109</v>
      </c>
      <c r="C47" s="22" t="s">
        <v>146</v>
      </c>
    </row>
    <row r="48" customFormat="false" ht="15" hidden="false" customHeight="false" outlineLevel="0" collapsed="false">
      <c r="A48" s="16" t="s">
        <v>147</v>
      </c>
      <c r="B48" s="16" t="s">
        <v>109</v>
      </c>
      <c r="C48" s="22" t="s">
        <v>148</v>
      </c>
    </row>
  </sheetData>
  <sheetProtection sheet="true" formatColumns="false" formatRows="false" sort="false" autoFilter="false"/>
  <conditionalFormatting sqref="B14">
    <cfRule type="expression" priority="2" aboveAverage="0" equalAverage="0" bottom="0" percent="0" rank="0" text="" dxfId="2">
      <formula>ABS($B$14-1)&gt;0.0001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10"/>
    <col collapsed="false" customWidth="true" hidden="false" outlineLevel="0" max="4" min="4" style="0" width="12"/>
    <col collapsed="false" customWidth="true" hidden="false" outlineLevel="0" max="5" min="5" style="0" width="11"/>
    <col collapsed="false" customWidth="true" hidden="false" outlineLevel="0" max="6" min="6" style="0" width="13"/>
    <col collapsed="false" customWidth="true" hidden="false" outlineLevel="0" max="7" min="7" style="0" width="9"/>
    <col collapsed="false" customWidth="true" hidden="false" outlineLevel="0" max="8" min="8" style="0" width="11"/>
    <col collapsed="false" customWidth="true" hidden="false" outlineLevel="0" max="9" min="9" style="0" width="9"/>
    <col collapsed="false" customWidth="true" hidden="false" outlineLevel="0" max="11" min="10" style="0" width="10"/>
    <col collapsed="false" customWidth="true" hidden="false" outlineLevel="0" max="12" min="12" style="0" width="9"/>
    <col collapsed="false" customWidth="true" hidden="false" outlineLevel="0" max="13" min="13" style="0" width="11"/>
    <col collapsed="false" customWidth="true" hidden="false" outlineLevel="0" max="14" min="14" style="0" width="9"/>
    <col collapsed="false" customWidth="true" hidden="false" outlineLevel="0" max="15" min="15" style="0" width="11"/>
    <col collapsed="false" customWidth="true" hidden="false" outlineLevel="0" max="16" min="16" style="0" width="10"/>
    <col collapsed="false" customWidth="true" hidden="false" outlineLevel="0" max="17" min="17" style="0" width="12"/>
    <col collapsed="false" customWidth="true" hidden="false" outlineLevel="0" max="19" min="18" style="0" width="11"/>
    <col collapsed="false" customWidth="true" hidden="false" outlineLevel="0" max="20" min="20" style="0" width="18"/>
    <col collapsed="false" customWidth="true" hidden="false" outlineLevel="0" max="22" min="21" style="0" width="10"/>
    <col collapsed="false" customWidth="true" hidden="false" outlineLevel="0" max="23" min="23" style="0" width="40"/>
    <col collapsed="false" customWidth="true" hidden="false" outlineLevel="0" max="24" min="24" style="0" width="36"/>
    <col collapsed="false" customWidth="true" hidden="false" outlineLevel="0" max="25" min="25" style="0" width="34"/>
  </cols>
  <sheetData>
    <row r="1" customFormat="false" ht="17.35" hidden="false" customHeight="false" outlineLevel="0" collapsed="false">
      <c r="A1" s="1" t="s">
        <v>36</v>
      </c>
    </row>
    <row r="2" customFormat="false" ht="15" hidden="false" customHeight="false" outlineLevel="0" collapsed="false">
      <c r="A2" s="2" t="s">
        <v>149</v>
      </c>
    </row>
    <row r="5" customFormat="false" ht="60" hidden="false" customHeight="true" outlineLevel="0" collapsed="false">
      <c r="A5" s="15" t="s">
        <v>150</v>
      </c>
      <c r="B5" s="15" t="s">
        <v>151</v>
      </c>
      <c r="C5" s="15" t="s">
        <v>152</v>
      </c>
      <c r="D5" s="15" t="s">
        <v>153</v>
      </c>
      <c r="E5" s="15" t="s">
        <v>154</v>
      </c>
      <c r="F5" s="15" t="s">
        <v>155</v>
      </c>
      <c r="G5" s="15" t="s">
        <v>156</v>
      </c>
      <c r="H5" s="15" t="s">
        <v>157</v>
      </c>
      <c r="I5" s="15" t="s">
        <v>158</v>
      </c>
      <c r="J5" s="15" t="s">
        <v>159</v>
      </c>
      <c r="K5" s="15" t="s">
        <v>160</v>
      </c>
      <c r="L5" s="15" t="s">
        <v>161</v>
      </c>
      <c r="M5" s="15" t="s">
        <v>162</v>
      </c>
      <c r="N5" s="15" t="s">
        <v>163</v>
      </c>
      <c r="O5" s="15" t="s">
        <v>164</v>
      </c>
      <c r="P5" s="15" t="s">
        <v>165</v>
      </c>
      <c r="Q5" s="15" t="s">
        <v>166</v>
      </c>
      <c r="R5" s="15" t="s">
        <v>167</v>
      </c>
      <c r="S5" s="15" t="s">
        <v>168</v>
      </c>
      <c r="T5" s="15" t="s">
        <v>169</v>
      </c>
      <c r="U5" s="15" t="s">
        <v>170</v>
      </c>
      <c r="V5" s="15" t="s">
        <v>171</v>
      </c>
      <c r="W5" s="15" t="s">
        <v>172</v>
      </c>
      <c r="X5" s="15" t="s">
        <v>173</v>
      </c>
      <c r="Y5" s="15" t="s">
        <v>174</v>
      </c>
    </row>
    <row r="6" customFormat="false" ht="15" hidden="false" customHeight="false" outlineLevel="0" collapsed="false">
      <c r="A6" s="16" t="s">
        <v>175</v>
      </c>
      <c r="B6" s="16" t="s">
        <v>176</v>
      </c>
      <c r="C6" s="16" t="s">
        <v>177</v>
      </c>
      <c r="D6" s="16" t="s">
        <v>178</v>
      </c>
      <c r="E6" s="16" t="s">
        <v>179</v>
      </c>
      <c r="F6" s="16" t="s">
        <v>180</v>
      </c>
      <c r="G6" s="16" t="s">
        <v>181</v>
      </c>
      <c r="H6" s="16" t="s">
        <v>182</v>
      </c>
      <c r="I6" s="16"/>
      <c r="J6" s="23" t="n">
        <v>220</v>
      </c>
      <c r="K6" s="23" t="n">
        <v>83.6</v>
      </c>
      <c r="L6" s="16"/>
      <c r="M6" s="16" t="n">
        <v>0</v>
      </c>
      <c r="N6" s="16"/>
      <c r="O6" s="16"/>
      <c r="P6" s="16" t="s">
        <v>183</v>
      </c>
      <c r="Q6" s="16" t="s">
        <v>183</v>
      </c>
      <c r="R6" s="16"/>
      <c r="S6" s="20"/>
      <c r="T6" s="16"/>
      <c r="U6" s="16"/>
      <c r="V6" s="16"/>
      <c r="W6" s="16"/>
      <c r="X6" s="16"/>
      <c r="Y6" s="16" t="s">
        <v>184</v>
      </c>
    </row>
    <row r="7" customFormat="false" ht="15" hidden="false" customHeight="false" outlineLevel="0" collapsed="false">
      <c r="A7" s="16" t="s">
        <v>185</v>
      </c>
      <c r="B7" s="16" t="s">
        <v>186</v>
      </c>
      <c r="C7" s="16" t="s">
        <v>187</v>
      </c>
      <c r="D7" s="16" t="s">
        <v>188</v>
      </c>
      <c r="E7" s="16" t="s">
        <v>179</v>
      </c>
      <c r="F7" s="16" t="s">
        <v>180</v>
      </c>
      <c r="G7" s="16" t="s">
        <v>181</v>
      </c>
      <c r="H7" s="16" t="s">
        <v>182</v>
      </c>
      <c r="I7" s="16"/>
      <c r="J7" s="23" t="n">
        <v>180</v>
      </c>
      <c r="K7" s="23" t="n">
        <v>68.4</v>
      </c>
      <c r="L7" s="16"/>
      <c r="M7" s="16" t="n">
        <v>0</v>
      </c>
      <c r="N7" s="16"/>
      <c r="O7" s="16"/>
      <c r="P7" s="16" t="s">
        <v>183</v>
      </c>
      <c r="Q7" s="16" t="s">
        <v>183</v>
      </c>
      <c r="R7" s="16"/>
      <c r="S7" s="20"/>
      <c r="T7" s="16"/>
      <c r="U7" s="16"/>
      <c r="V7" s="16"/>
      <c r="W7" s="16"/>
      <c r="X7" s="16"/>
      <c r="Y7" s="16" t="s">
        <v>184</v>
      </c>
    </row>
    <row r="8" customFormat="false" ht="15" hidden="false" customHeight="false" outlineLevel="0" collapsed="false">
      <c r="A8" s="16" t="s">
        <v>189</v>
      </c>
      <c r="B8" s="16" t="s">
        <v>176</v>
      </c>
      <c r="C8" s="16" t="s">
        <v>190</v>
      </c>
      <c r="D8" s="16" t="s">
        <v>178</v>
      </c>
      <c r="E8" s="16" t="s">
        <v>179</v>
      </c>
      <c r="F8" s="16" t="s">
        <v>180</v>
      </c>
      <c r="G8" s="16" t="s">
        <v>181</v>
      </c>
      <c r="H8" s="16" t="s">
        <v>191</v>
      </c>
      <c r="I8" s="16"/>
      <c r="J8" s="23" t="n">
        <v>180</v>
      </c>
      <c r="K8" s="23" t="n">
        <v>68.4</v>
      </c>
      <c r="L8" s="16"/>
      <c r="M8" s="16" t="n">
        <v>0</v>
      </c>
      <c r="N8" s="16"/>
      <c r="O8" s="16"/>
      <c r="P8" s="16" t="s">
        <v>183</v>
      </c>
      <c r="Q8" s="16" t="s">
        <v>183</v>
      </c>
      <c r="R8" s="16"/>
      <c r="S8" s="20"/>
      <c r="T8" s="16"/>
      <c r="U8" s="16"/>
      <c r="V8" s="16"/>
      <c r="W8" s="16"/>
      <c r="X8" s="16"/>
      <c r="Y8" s="16" t="s">
        <v>192</v>
      </c>
    </row>
    <row r="9" customFormat="false" ht="15" hidden="false" customHeight="false" outlineLevel="0" collapsed="false">
      <c r="A9" s="16" t="s">
        <v>193</v>
      </c>
      <c r="B9" s="16" t="s">
        <v>194</v>
      </c>
      <c r="C9" s="16" t="s">
        <v>195</v>
      </c>
      <c r="D9" s="16" t="s">
        <v>188</v>
      </c>
      <c r="E9" s="16" t="s">
        <v>179</v>
      </c>
      <c r="F9" s="16" t="s">
        <v>180</v>
      </c>
      <c r="G9" s="16" t="s">
        <v>181</v>
      </c>
      <c r="H9" s="16" t="s">
        <v>191</v>
      </c>
      <c r="I9" s="16"/>
      <c r="J9" s="23" t="n">
        <v>180</v>
      </c>
      <c r="K9" s="23" t="n">
        <v>68.4</v>
      </c>
      <c r="L9" s="16"/>
      <c r="M9" s="16" t="n">
        <v>0</v>
      </c>
      <c r="N9" s="16"/>
      <c r="O9" s="16"/>
      <c r="P9" s="16" t="s">
        <v>196</v>
      </c>
      <c r="Q9" s="16" t="s">
        <v>183</v>
      </c>
      <c r="R9" s="16"/>
      <c r="S9" s="20"/>
      <c r="T9" s="16"/>
      <c r="U9" s="16"/>
      <c r="V9" s="16"/>
      <c r="W9" s="16"/>
      <c r="X9" s="16"/>
      <c r="Y9" s="16" t="s">
        <v>197</v>
      </c>
    </row>
    <row r="10" customFormat="false" ht="15" hidden="false" customHeight="false" outlineLevel="0" collapsed="false">
      <c r="A10" s="16" t="s">
        <v>198</v>
      </c>
      <c r="B10" s="16" t="s">
        <v>199</v>
      </c>
      <c r="C10" s="16" t="s">
        <v>200</v>
      </c>
      <c r="D10" s="16" t="s">
        <v>178</v>
      </c>
      <c r="E10" s="16" t="s">
        <v>179</v>
      </c>
      <c r="F10" s="16" t="s">
        <v>180</v>
      </c>
      <c r="G10" s="16" t="s">
        <v>181</v>
      </c>
      <c r="H10" s="16" t="s">
        <v>191</v>
      </c>
      <c r="I10" s="16"/>
      <c r="J10" s="23" t="n">
        <v>220</v>
      </c>
      <c r="K10" s="23" t="n">
        <v>83.6</v>
      </c>
      <c r="L10" s="16" t="n">
        <v>10</v>
      </c>
      <c r="M10" s="16" t="n">
        <v>0</v>
      </c>
      <c r="N10" s="16"/>
      <c r="O10" s="16"/>
      <c r="P10" s="16" t="s">
        <v>183</v>
      </c>
      <c r="Q10" s="16" t="s">
        <v>183</v>
      </c>
      <c r="R10" s="16"/>
      <c r="S10" s="20"/>
      <c r="T10" s="16"/>
      <c r="U10" s="16"/>
      <c r="V10" s="16"/>
      <c r="W10" s="16"/>
      <c r="X10" s="16"/>
      <c r="Y10" s="16" t="s">
        <v>201</v>
      </c>
    </row>
    <row r="11" customFormat="false" ht="15" hidden="false" customHeight="false" outlineLevel="0" collapsed="false">
      <c r="A11" s="16" t="s">
        <v>202</v>
      </c>
      <c r="B11" s="16" t="s">
        <v>203</v>
      </c>
      <c r="C11" s="16" t="s">
        <v>204</v>
      </c>
      <c r="D11" s="16" t="s">
        <v>188</v>
      </c>
      <c r="E11" s="16" t="s">
        <v>179</v>
      </c>
      <c r="F11" s="16" t="s">
        <v>180</v>
      </c>
      <c r="G11" s="16" t="s">
        <v>181</v>
      </c>
      <c r="H11" s="16" t="s">
        <v>191</v>
      </c>
      <c r="I11" s="16"/>
      <c r="J11" s="23" t="n">
        <v>180</v>
      </c>
      <c r="K11" s="23" t="n">
        <v>68.4</v>
      </c>
      <c r="L11" s="16" t="n">
        <v>10</v>
      </c>
      <c r="M11" s="16" t="n">
        <v>0</v>
      </c>
      <c r="N11" s="16"/>
      <c r="O11" s="16"/>
      <c r="P11" s="16" t="s">
        <v>183</v>
      </c>
      <c r="Q11" s="16" t="s">
        <v>183</v>
      </c>
      <c r="R11" s="16"/>
      <c r="S11" s="20"/>
      <c r="T11" s="16"/>
      <c r="U11" s="16"/>
      <c r="V11" s="16"/>
      <c r="W11" s="16"/>
      <c r="X11" s="16"/>
      <c r="Y11" s="16" t="s">
        <v>201</v>
      </c>
    </row>
    <row r="12" customFormat="false" ht="15" hidden="false" customHeight="false" outlineLevel="0" collapsed="false">
      <c r="A12" s="16" t="s">
        <v>205</v>
      </c>
      <c r="B12" s="16" t="s">
        <v>176</v>
      </c>
      <c r="C12" s="16" t="s">
        <v>206</v>
      </c>
      <c r="D12" s="16" t="s">
        <v>178</v>
      </c>
      <c r="E12" s="16" t="s">
        <v>179</v>
      </c>
      <c r="F12" s="16" t="s">
        <v>180</v>
      </c>
      <c r="G12" s="16" t="s">
        <v>181</v>
      </c>
      <c r="H12" s="16" t="s">
        <v>191</v>
      </c>
      <c r="I12" s="16"/>
      <c r="J12" s="23" t="n">
        <v>220</v>
      </c>
      <c r="K12" s="23" t="n">
        <v>83.6</v>
      </c>
      <c r="L12" s="16" t="n">
        <v>6</v>
      </c>
      <c r="M12" s="16" t="n">
        <v>260</v>
      </c>
      <c r="N12" s="16" t="n">
        <v>6</v>
      </c>
      <c r="O12" s="16"/>
      <c r="P12" s="16" t="s">
        <v>183</v>
      </c>
      <c r="Q12" s="16" t="s">
        <v>183</v>
      </c>
      <c r="R12" s="16"/>
      <c r="S12" s="20"/>
      <c r="T12" s="16"/>
      <c r="U12" s="16"/>
      <c r="V12" s="16"/>
      <c r="W12" s="16"/>
      <c r="X12" s="16"/>
      <c r="Y12" s="16" t="s">
        <v>207</v>
      </c>
    </row>
    <row r="13" customFormat="false" ht="15" hidden="false" customHeight="false" outlineLevel="0" collapsed="false">
      <c r="A13" s="16" t="s">
        <v>208</v>
      </c>
      <c r="B13" s="16" t="s">
        <v>186</v>
      </c>
      <c r="C13" s="16" t="s">
        <v>209</v>
      </c>
      <c r="D13" s="16" t="s">
        <v>188</v>
      </c>
      <c r="E13" s="16" t="s">
        <v>179</v>
      </c>
      <c r="F13" s="16" t="s">
        <v>210</v>
      </c>
      <c r="G13" s="16" t="s">
        <v>181</v>
      </c>
      <c r="H13" s="16" t="s">
        <v>191</v>
      </c>
      <c r="I13" s="16"/>
      <c r="J13" s="23" t="n">
        <v>180</v>
      </c>
      <c r="K13" s="23" t="n">
        <v>68.4</v>
      </c>
      <c r="L13" s="16"/>
      <c r="M13" s="16" t="n">
        <v>0</v>
      </c>
      <c r="N13" s="16"/>
      <c r="O13" s="16"/>
      <c r="P13" s="16" t="s">
        <v>183</v>
      </c>
      <c r="Q13" s="16" t="s">
        <v>183</v>
      </c>
      <c r="R13" s="16"/>
      <c r="S13" s="20"/>
      <c r="T13" s="16"/>
      <c r="U13" s="16"/>
      <c r="V13" s="16"/>
      <c r="W13" s="16"/>
      <c r="X13" s="16"/>
      <c r="Y13" s="16" t="s">
        <v>192</v>
      </c>
    </row>
    <row r="14" customFormat="false" ht="15" hidden="false" customHeight="false" outlineLevel="0" collapsed="false">
      <c r="A14" s="16" t="s">
        <v>211</v>
      </c>
      <c r="B14" s="16" t="s">
        <v>176</v>
      </c>
      <c r="C14" s="16" t="s">
        <v>212</v>
      </c>
      <c r="D14" s="16" t="s">
        <v>178</v>
      </c>
      <c r="E14" s="16" t="s">
        <v>179</v>
      </c>
      <c r="F14" s="16" t="s">
        <v>180</v>
      </c>
      <c r="G14" s="16" t="s">
        <v>181</v>
      </c>
      <c r="H14" s="16" t="s">
        <v>191</v>
      </c>
      <c r="I14" s="16"/>
      <c r="J14" s="23" t="n">
        <v>220</v>
      </c>
      <c r="K14" s="23" t="n">
        <v>83.6</v>
      </c>
      <c r="L14" s="16"/>
      <c r="M14" s="16" t="n">
        <v>0</v>
      </c>
      <c r="N14" s="16"/>
      <c r="O14" s="16"/>
      <c r="P14" s="16" t="s">
        <v>183</v>
      </c>
      <c r="Q14" s="16" t="s">
        <v>183</v>
      </c>
      <c r="R14" s="16"/>
      <c r="S14" s="20"/>
      <c r="T14" s="16"/>
      <c r="U14" s="16"/>
      <c r="V14" s="16"/>
      <c r="W14" s="16"/>
      <c r="X14" s="16"/>
      <c r="Y14" s="16"/>
    </row>
    <row r="15" customFormat="false" ht="15" hidden="false" customHeight="false" outlineLevel="0" collapsed="false">
      <c r="A15" s="16" t="s">
        <v>213</v>
      </c>
      <c r="B15" s="16" t="s">
        <v>203</v>
      </c>
      <c r="C15" s="16" t="s">
        <v>214</v>
      </c>
      <c r="D15" s="16" t="s">
        <v>188</v>
      </c>
      <c r="E15" s="16" t="s">
        <v>179</v>
      </c>
      <c r="F15" s="16" t="s">
        <v>180</v>
      </c>
      <c r="G15" s="16" t="s">
        <v>181</v>
      </c>
      <c r="H15" s="16" t="s">
        <v>191</v>
      </c>
      <c r="I15" s="16"/>
      <c r="J15" s="23" t="n">
        <v>180</v>
      </c>
      <c r="K15" s="23" t="n">
        <v>68.4</v>
      </c>
      <c r="L15" s="16"/>
      <c r="M15" s="16" t="n">
        <v>0</v>
      </c>
      <c r="N15" s="16"/>
      <c r="O15" s="16"/>
      <c r="P15" s="16" t="s">
        <v>183</v>
      </c>
      <c r="Q15" s="16" t="s">
        <v>183</v>
      </c>
      <c r="R15" s="16"/>
      <c r="S15" s="20"/>
      <c r="T15" s="16"/>
      <c r="U15" s="16"/>
      <c r="V15" s="16"/>
      <c r="W15" s="16"/>
      <c r="X15" s="16"/>
      <c r="Y15" s="16"/>
    </row>
    <row r="16" customFormat="false" ht="15" hidden="false" customHeight="false" outlineLevel="0" collapsed="false">
      <c r="A16" s="16" t="s">
        <v>215</v>
      </c>
      <c r="B16" s="16" t="s">
        <v>216</v>
      </c>
      <c r="C16" s="16" t="s">
        <v>217</v>
      </c>
      <c r="D16" s="16" t="s">
        <v>178</v>
      </c>
      <c r="E16" s="16" t="s">
        <v>179</v>
      </c>
      <c r="F16" s="16" t="s">
        <v>180</v>
      </c>
      <c r="G16" s="16" t="s">
        <v>181</v>
      </c>
      <c r="H16" s="16" t="s">
        <v>191</v>
      </c>
      <c r="I16" s="16"/>
      <c r="J16" s="23" t="n">
        <v>180</v>
      </c>
      <c r="K16" s="23" t="n">
        <v>68.4</v>
      </c>
      <c r="L16" s="16" t="n">
        <v>6</v>
      </c>
      <c r="M16" s="16" t="n">
        <v>0</v>
      </c>
      <c r="N16" s="16"/>
      <c r="O16" s="16"/>
      <c r="P16" s="16" t="s">
        <v>183</v>
      </c>
      <c r="Q16" s="16" t="s">
        <v>183</v>
      </c>
      <c r="R16" s="16"/>
      <c r="S16" s="20"/>
      <c r="T16" s="16"/>
      <c r="U16" s="16"/>
      <c r="V16" s="16"/>
      <c r="W16" s="16"/>
      <c r="X16" s="16"/>
      <c r="Y16" s="16" t="s">
        <v>192</v>
      </c>
    </row>
    <row r="17" customFormat="false" ht="15" hidden="false" customHeight="false" outlineLevel="0" collapsed="false">
      <c r="A17" s="16" t="s">
        <v>218</v>
      </c>
      <c r="B17" s="16" t="s">
        <v>194</v>
      </c>
      <c r="C17" s="16" t="s">
        <v>219</v>
      </c>
      <c r="D17" s="16" t="s">
        <v>188</v>
      </c>
      <c r="E17" s="16" t="s">
        <v>179</v>
      </c>
      <c r="F17" s="16" t="s">
        <v>180</v>
      </c>
      <c r="G17" s="16" t="s">
        <v>181</v>
      </c>
      <c r="H17" s="16" t="s">
        <v>191</v>
      </c>
      <c r="I17" s="16"/>
      <c r="J17" s="23" t="n">
        <v>180</v>
      </c>
      <c r="K17" s="23" t="n">
        <v>68.4</v>
      </c>
      <c r="L17" s="16"/>
      <c r="M17" s="16" t="n">
        <v>0</v>
      </c>
      <c r="N17" s="16"/>
      <c r="O17" s="16"/>
      <c r="P17" s="16" t="s">
        <v>183</v>
      </c>
      <c r="Q17" s="16" t="s">
        <v>183</v>
      </c>
      <c r="R17" s="16"/>
      <c r="S17" s="20"/>
      <c r="T17" s="16"/>
      <c r="U17" s="16"/>
      <c r="V17" s="16"/>
      <c r="W17" s="16"/>
      <c r="X17" s="16"/>
      <c r="Y17" s="16" t="s">
        <v>220</v>
      </c>
    </row>
    <row r="18" customFormat="false" ht="15" hidden="false" customHeight="false" outlineLevel="0" collapsed="false">
      <c r="A18" s="16" t="s">
        <v>221</v>
      </c>
      <c r="B18" s="16" t="s">
        <v>176</v>
      </c>
      <c r="C18" s="16" t="s">
        <v>219</v>
      </c>
      <c r="D18" s="16" t="s">
        <v>178</v>
      </c>
      <c r="E18" s="16" t="s">
        <v>179</v>
      </c>
      <c r="F18" s="16" t="s">
        <v>210</v>
      </c>
      <c r="G18" s="16" t="s">
        <v>181</v>
      </c>
      <c r="H18" s="16" t="s">
        <v>191</v>
      </c>
      <c r="I18" s="16" t="s">
        <v>183</v>
      </c>
      <c r="J18" s="23" t="n">
        <v>180</v>
      </c>
      <c r="K18" s="23" t="n">
        <v>68.4</v>
      </c>
      <c r="L18" s="16" t="n">
        <v>10</v>
      </c>
      <c r="M18" s="16" t="n">
        <v>0</v>
      </c>
      <c r="N18" s="16"/>
      <c r="O18" s="16"/>
      <c r="P18" s="16" t="s">
        <v>183</v>
      </c>
      <c r="Q18" s="16" t="s">
        <v>183</v>
      </c>
      <c r="R18" s="16"/>
      <c r="S18" s="20"/>
      <c r="T18" s="16"/>
      <c r="U18" s="16"/>
      <c r="V18" s="16"/>
      <c r="W18" s="16"/>
      <c r="X18" s="16"/>
      <c r="Y18" s="16" t="s">
        <v>222</v>
      </c>
    </row>
    <row r="19" customFormat="false" ht="15" hidden="false" customHeight="false" outlineLevel="0" collapsed="false">
      <c r="A19" s="16" t="s">
        <v>223</v>
      </c>
      <c r="B19" s="16" t="s">
        <v>224</v>
      </c>
      <c r="C19" s="16" t="s">
        <v>225</v>
      </c>
      <c r="D19" s="16" t="s">
        <v>188</v>
      </c>
      <c r="E19" s="16" t="s">
        <v>179</v>
      </c>
      <c r="F19" s="16" t="s">
        <v>180</v>
      </c>
      <c r="G19" s="16" t="s">
        <v>181</v>
      </c>
      <c r="H19" s="16" t="s">
        <v>191</v>
      </c>
      <c r="I19" s="16"/>
      <c r="J19" s="23" t="n">
        <v>180</v>
      </c>
      <c r="K19" s="23" t="n">
        <v>68.4</v>
      </c>
      <c r="L19" s="16"/>
      <c r="M19" s="16" t="n">
        <v>0</v>
      </c>
      <c r="N19" s="16"/>
      <c r="O19" s="16"/>
      <c r="P19" s="16" t="s">
        <v>183</v>
      </c>
      <c r="Q19" s="16" t="s">
        <v>183</v>
      </c>
      <c r="R19" s="16"/>
      <c r="S19" s="20"/>
      <c r="T19" s="16"/>
      <c r="U19" s="16"/>
      <c r="V19" s="16"/>
      <c r="W19" s="16"/>
      <c r="X19" s="16"/>
      <c r="Y19" s="16" t="s">
        <v>226</v>
      </c>
    </row>
    <row r="20" customFormat="false" ht="15" hidden="false" customHeight="false" outlineLevel="0" collapsed="false">
      <c r="A20" s="16" t="s">
        <v>227</v>
      </c>
      <c r="B20" s="16" t="s">
        <v>199</v>
      </c>
      <c r="C20" s="16" t="s">
        <v>228</v>
      </c>
      <c r="D20" s="16" t="s">
        <v>178</v>
      </c>
      <c r="E20" s="16" t="s">
        <v>179</v>
      </c>
      <c r="F20" s="16" t="s">
        <v>180</v>
      </c>
      <c r="G20" s="16" t="s">
        <v>181</v>
      </c>
      <c r="H20" s="16" t="s">
        <v>191</v>
      </c>
      <c r="I20" s="16"/>
      <c r="J20" s="23" t="n">
        <v>220</v>
      </c>
      <c r="K20" s="23" t="n">
        <v>83.6</v>
      </c>
      <c r="L20" s="16"/>
      <c r="M20" s="16" t="n">
        <v>0</v>
      </c>
      <c r="N20" s="16"/>
      <c r="O20" s="16"/>
      <c r="P20" s="16" t="s">
        <v>183</v>
      </c>
      <c r="Q20" s="16" t="s">
        <v>183</v>
      </c>
      <c r="R20" s="16"/>
      <c r="S20" s="20"/>
      <c r="T20" s="16"/>
      <c r="U20" s="16"/>
      <c r="V20" s="16"/>
      <c r="W20" s="16"/>
      <c r="X20" s="16"/>
      <c r="Y20" s="16"/>
    </row>
    <row r="21" customFormat="false" ht="15" hidden="false" customHeight="false" outlineLevel="0" collapsed="false">
      <c r="A21" s="16" t="s">
        <v>229</v>
      </c>
      <c r="B21" s="16" t="s">
        <v>230</v>
      </c>
      <c r="C21" s="16" t="s">
        <v>200</v>
      </c>
      <c r="D21" s="16" t="s">
        <v>231</v>
      </c>
      <c r="E21" s="16" t="s">
        <v>232</v>
      </c>
      <c r="F21" s="16" t="s">
        <v>210</v>
      </c>
      <c r="G21" s="16" t="s">
        <v>181</v>
      </c>
      <c r="H21" s="16" t="s">
        <v>191</v>
      </c>
      <c r="I21" s="16"/>
      <c r="J21" s="23" t="n">
        <v>85</v>
      </c>
      <c r="K21" s="23" t="n">
        <v>32.3</v>
      </c>
      <c r="L21" s="16" t="n">
        <v>8</v>
      </c>
      <c r="M21" s="16" t="n">
        <v>0</v>
      </c>
      <c r="N21" s="16"/>
      <c r="O21" s="16"/>
      <c r="P21" s="16" t="s">
        <v>183</v>
      </c>
      <c r="Q21" s="16" t="s">
        <v>183</v>
      </c>
      <c r="R21" s="16"/>
      <c r="S21" s="20"/>
      <c r="T21" s="16"/>
      <c r="U21" s="16"/>
      <c r="V21" s="16"/>
      <c r="W21" s="16"/>
      <c r="X21" s="16"/>
      <c r="Y21" s="16" t="s">
        <v>233</v>
      </c>
    </row>
    <row r="22" customFormat="false" ht="15" hidden="false" customHeight="false" outlineLevel="0" collapsed="false">
      <c r="A22" s="16" t="s">
        <v>234</v>
      </c>
      <c r="B22" s="16" t="s">
        <v>235</v>
      </c>
      <c r="C22" s="16" t="s">
        <v>204</v>
      </c>
      <c r="D22" s="16" t="s">
        <v>236</v>
      </c>
      <c r="E22" s="16" t="s">
        <v>232</v>
      </c>
      <c r="F22" s="16" t="s">
        <v>180</v>
      </c>
      <c r="G22" s="16" t="s">
        <v>181</v>
      </c>
      <c r="H22" s="16" t="s">
        <v>191</v>
      </c>
      <c r="I22" s="16"/>
      <c r="J22" s="23" t="n">
        <v>70</v>
      </c>
      <c r="K22" s="23" t="n">
        <v>26.6</v>
      </c>
      <c r="L22" s="16"/>
      <c r="M22" s="16" t="n">
        <v>0</v>
      </c>
      <c r="N22" s="16"/>
      <c r="O22" s="16"/>
      <c r="P22" s="16" t="s">
        <v>183</v>
      </c>
      <c r="Q22" s="16" t="s">
        <v>183</v>
      </c>
      <c r="R22" s="16"/>
      <c r="S22" s="20"/>
      <c r="T22" s="16"/>
      <c r="U22" s="16"/>
      <c r="V22" s="16"/>
      <c r="W22" s="16"/>
      <c r="X22" s="16"/>
      <c r="Y22" s="16"/>
    </row>
    <row r="23" customFormat="false" ht="15" hidden="false" customHeight="false" outlineLevel="0" collapsed="false">
      <c r="A23" s="16" t="s">
        <v>237</v>
      </c>
      <c r="B23" s="16" t="s">
        <v>230</v>
      </c>
      <c r="C23" s="16" t="s">
        <v>206</v>
      </c>
      <c r="D23" s="16" t="s">
        <v>231</v>
      </c>
      <c r="E23" s="16" t="s">
        <v>232</v>
      </c>
      <c r="F23" s="16" t="s">
        <v>180</v>
      </c>
      <c r="G23" s="16" t="s">
        <v>181</v>
      </c>
      <c r="H23" s="16" t="s">
        <v>191</v>
      </c>
      <c r="I23" s="16"/>
      <c r="J23" s="23" t="n">
        <v>85</v>
      </c>
      <c r="K23" s="23" t="n">
        <v>32.3</v>
      </c>
      <c r="L23" s="16" t="n">
        <v>6</v>
      </c>
      <c r="M23" s="16" t="n">
        <v>0</v>
      </c>
      <c r="N23" s="16"/>
      <c r="O23" s="16"/>
      <c r="P23" s="16" t="s">
        <v>183</v>
      </c>
      <c r="Q23" s="16" t="s">
        <v>183</v>
      </c>
      <c r="R23" s="16" t="s">
        <v>229</v>
      </c>
      <c r="S23" s="20" t="n">
        <v>0.4</v>
      </c>
      <c r="T23" s="16"/>
      <c r="U23" s="16"/>
      <c r="V23" s="16"/>
      <c r="W23" s="16"/>
      <c r="X23" s="16"/>
      <c r="Y23" s="16" t="s">
        <v>238</v>
      </c>
    </row>
    <row r="24" customFormat="false" ht="15" hidden="false" customHeight="false" outlineLevel="0" collapsed="false">
      <c r="A24" s="16" t="s">
        <v>239</v>
      </c>
      <c r="B24" s="16" t="s">
        <v>240</v>
      </c>
      <c r="C24" s="16" t="s">
        <v>209</v>
      </c>
      <c r="D24" s="16" t="s">
        <v>236</v>
      </c>
      <c r="E24" s="16" t="s">
        <v>232</v>
      </c>
      <c r="F24" s="16" t="s">
        <v>180</v>
      </c>
      <c r="G24" s="16" t="s">
        <v>181</v>
      </c>
      <c r="H24" s="16" t="s">
        <v>191</v>
      </c>
      <c r="I24" s="16"/>
      <c r="J24" s="23" t="n">
        <v>70</v>
      </c>
      <c r="K24" s="23" t="n">
        <v>26.6</v>
      </c>
      <c r="L24" s="16" t="n">
        <v>10</v>
      </c>
      <c r="M24" s="16" t="n">
        <v>0</v>
      </c>
      <c r="N24" s="16"/>
      <c r="O24" s="16"/>
      <c r="P24" s="16" t="s">
        <v>183</v>
      </c>
      <c r="Q24" s="16" t="s">
        <v>183</v>
      </c>
      <c r="R24" s="16"/>
      <c r="S24" s="20"/>
      <c r="T24" s="16"/>
      <c r="U24" s="16"/>
      <c r="V24" s="16"/>
      <c r="W24" s="16"/>
      <c r="X24" s="16"/>
      <c r="Y24" s="16"/>
    </row>
    <row r="25" customFormat="false" ht="15" hidden="false" customHeight="false" outlineLevel="0" collapsed="false">
      <c r="A25" s="16" t="s">
        <v>241</v>
      </c>
      <c r="B25" s="16" t="s">
        <v>230</v>
      </c>
      <c r="C25" s="16" t="s">
        <v>212</v>
      </c>
      <c r="D25" s="16" t="s">
        <v>231</v>
      </c>
      <c r="E25" s="16" t="s">
        <v>232</v>
      </c>
      <c r="F25" s="16" t="s">
        <v>180</v>
      </c>
      <c r="G25" s="16" t="s">
        <v>181</v>
      </c>
      <c r="H25" s="16" t="s">
        <v>191</v>
      </c>
      <c r="I25" s="16"/>
      <c r="J25" s="23" t="n">
        <v>70</v>
      </c>
      <c r="K25" s="23" t="n">
        <v>26.6</v>
      </c>
      <c r="L25" s="16"/>
      <c r="M25" s="16" t="n">
        <v>0</v>
      </c>
      <c r="N25" s="16"/>
      <c r="O25" s="16"/>
      <c r="P25" s="16" t="s">
        <v>183</v>
      </c>
      <c r="Q25" s="16" t="s">
        <v>183</v>
      </c>
      <c r="R25" s="16"/>
      <c r="S25" s="20"/>
      <c r="T25" s="16"/>
      <c r="U25" s="16"/>
      <c r="V25" s="16"/>
      <c r="W25" s="16"/>
      <c r="X25" s="16"/>
      <c r="Y25" s="16"/>
    </row>
    <row r="26" customFormat="false" ht="15" hidden="false" customHeight="false" outlineLevel="0" collapsed="false">
      <c r="A26" s="16" t="s">
        <v>242</v>
      </c>
      <c r="B26" s="16" t="s">
        <v>240</v>
      </c>
      <c r="C26" s="16" t="s">
        <v>214</v>
      </c>
      <c r="D26" s="16" t="s">
        <v>236</v>
      </c>
      <c r="E26" s="16" t="s">
        <v>232</v>
      </c>
      <c r="F26" s="16" t="s">
        <v>180</v>
      </c>
      <c r="G26" s="16" t="s">
        <v>181</v>
      </c>
      <c r="H26" s="16" t="s">
        <v>191</v>
      </c>
      <c r="I26" s="16"/>
      <c r="J26" s="23" t="n">
        <v>70</v>
      </c>
      <c r="K26" s="23" t="n">
        <v>26.6</v>
      </c>
      <c r="L26" s="16"/>
      <c r="M26" s="16" t="n">
        <v>0</v>
      </c>
      <c r="N26" s="16"/>
      <c r="O26" s="16"/>
      <c r="P26" s="16" t="s">
        <v>183</v>
      </c>
      <c r="Q26" s="16" t="s">
        <v>183</v>
      </c>
      <c r="R26" s="16"/>
      <c r="S26" s="20"/>
      <c r="T26" s="16" t="s">
        <v>243</v>
      </c>
      <c r="U26" s="16" t="n">
        <v>5</v>
      </c>
      <c r="V26" s="16" t="n">
        <v>80</v>
      </c>
      <c r="W26" s="16"/>
      <c r="X26" s="16"/>
      <c r="Y26" s="16" t="s">
        <v>244</v>
      </c>
    </row>
    <row r="27" customFormat="false" ht="15" hidden="false" customHeight="false" outlineLevel="0" collapsed="false">
      <c r="A27" s="16" t="s">
        <v>245</v>
      </c>
      <c r="B27" s="16" t="s">
        <v>246</v>
      </c>
      <c r="C27" s="16" t="s">
        <v>217</v>
      </c>
      <c r="D27" s="16" t="s">
        <v>231</v>
      </c>
      <c r="E27" s="16" t="s">
        <v>232</v>
      </c>
      <c r="F27" s="16" t="s">
        <v>180</v>
      </c>
      <c r="G27" s="16" t="s">
        <v>181</v>
      </c>
      <c r="H27" s="16" t="s">
        <v>191</v>
      </c>
      <c r="I27" s="16"/>
      <c r="J27" s="23" t="n">
        <v>85</v>
      </c>
      <c r="K27" s="23" t="n">
        <v>32.3</v>
      </c>
      <c r="L27" s="16" t="n">
        <v>10</v>
      </c>
      <c r="M27" s="16" t="n">
        <v>240</v>
      </c>
      <c r="N27" s="16" t="n">
        <v>1</v>
      </c>
      <c r="O27" s="16"/>
      <c r="P27" s="16" t="s">
        <v>183</v>
      </c>
      <c r="Q27" s="16" t="s">
        <v>183</v>
      </c>
      <c r="R27" s="16"/>
      <c r="S27" s="20"/>
      <c r="T27" s="16"/>
      <c r="U27" s="16"/>
      <c r="V27" s="16"/>
      <c r="W27" s="16"/>
      <c r="X27" s="16"/>
      <c r="Y27" s="16" t="s">
        <v>247</v>
      </c>
    </row>
    <row r="28" customFormat="false" ht="15" hidden="false" customHeight="false" outlineLevel="0" collapsed="false">
      <c r="A28" s="16" t="s">
        <v>248</v>
      </c>
      <c r="B28" s="16" t="s">
        <v>240</v>
      </c>
      <c r="C28" s="16" t="s">
        <v>219</v>
      </c>
      <c r="D28" s="16" t="s">
        <v>236</v>
      </c>
      <c r="E28" s="16" t="s">
        <v>232</v>
      </c>
      <c r="F28" s="16" t="s">
        <v>180</v>
      </c>
      <c r="G28" s="16" t="s">
        <v>181</v>
      </c>
      <c r="H28" s="16" t="s">
        <v>249</v>
      </c>
      <c r="I28" s="16"/>
      <c r="J28" s="23" t="n">
        <v>70</v>
      </c>
      <c r="K28" s="23" t="n">
        <v>26.6</v>
      </c>
      <c r="L28" s="16" t="n">
        <v>6</v>
      </c>
      <c r="M28" s="16" t="n">
        <v>0</v>
      </c>
      <c r="N28" s="16"/>
      <c r="O28" s="16"/>
      <c r="P28" s="16" t="s">
        <v>183</v>
      </c>
      <c r="Q28" s="16" t="s">
        <v>183</v>
      </c>
      <c r="R28" s="16"/>
      <c r="S28" s="20"/>
      <c r="T28" s="16"/>
      <c r="U28" s="16"/>
      <c r="V28" s="16"/>
      <c r="W28" s="16"/>
      <c r="X28" s="16"/>
      <c r="Y28" s="16"/>
    </row>
    <row r="29" customFormat="false" ht="15" hidden="false" customHeight="false" outlineLevel="0" collapsed="false">
      <c r="A29" s="16" t="s">
        <v>250</v>
      </c>
      <c r="B29" s="16" t="s">
        <v>246</v>
      </c>
      <c r="C29" s="16" t="s">
        <v>251</v>
      </c>
      <c r="D29" s="16" t="s">
        <v>231</v>
      </c>
      <c r="E29" s="16" t="s">
        <v>232</v>
      </c>
      <c r="F29" s="16" t="s">
        <v>180</v>
      </c>
      <c r="G29" s="16" t="s">
        <v>181</v>
      </c>
      <c r="H29" s="16" t="s">
        <v>191</v>
      </c>
      <c r="I29" s="16"/>
      <c r="J29" s="23" t="n">
        <v>85</v>
      </c>
      <c r="K29" s="23" t="n">
        <v>32.3</v>
      </c>
      <c r="L29" s="16" t="n">
        <v>10</v>
      </c>
      <c r="M29" s="16" t="n">
        <v>0</v>
      </c>
      <c r="N29" s="16"/>
      <c r="O29" s="16"/>
      <c r="P29" s="16" t="s">
        <v>183</v>
      </c>
      <c r="Q29" s="16" t="s">
        <v>183</v>
      </c>
      <c r="R29" s="16"/>
      <c r="S29" s="20"/>
      <c r="T29" s="16"/>
      <c r="U29" s="16"/>
      <c r="V29" s="16"/>
      <c r="W29" s="16"/>
      <c r="X29" s="16"/>
      <c r="Y29" s="16"/>
    </row>
    <row r="30" customFormat="false" ht="15" hidden="false" customHeight="false" outlineLevel="0" collapsed="false">
      <c r="A30" s="16" t="s">
        <v>252</v>
      </c>
      <c r="B30" s="16" t="s">
        <v>235</v>
      </c>
      <c r="C30" s="16" t="s">
        <v>225</v>
      </c>
      <c r="D30" s="16" t="s">
        <v>236</v>
      </c>
      <c r="E30" s="16" t="s">
        <v>232</v>
      </c>
      <c r="F30" s="16" t="s">
        <v>210</v>
      </c>
      <c r="G30" s="16" t="s">
        <v>181</v>
      </c>
      <c r="H30" s="16" t="s">
        <v>191</v>
      </c>
      <c r="I30" s="16"/>
      <c r="J30" s="23" t="n">
        <v>70</v>
      </c>
      <c r="K30" s="23" t="n">
        <v>26.6</v>
      </c>
      <c r="L30" s="16"/>
      <c r="M30" s="16" t="n">
        <v>0</v>
      </c>
      <c r="N30" s="16"/>
      <c r="O30" s="16"/>
      <c r="P30" s="16" t="s">
        <v>183</v>
      </c>
      <c r="Q30" s="16" t="s">
        <v>183</v>
      </c>
      <c r="R30" s="16"/>
      <c r="S30" s="20"/>
      <c r="T30" s="16"/>
      <c r="U30" s="16"/>
      <c r="V30" s="16"/>
      <c r="W30" s="16"/>
      <c r="X30" s="16"/>
      <c r="Y30" s="16"/>
    </row>
    <row r="31" customFormat="false" ht="15" hidden="false" customHeight="false" outlineLevel="0" collapsed="false">
      <c r="A31" s="16" t="s">
        <v>253</v>
      </c>
      <c r="B31" s="16" t="s">
        <v>230</v>
      </c>
      <c r="C31" s="16" t="s">
        <v>228</v>
      </c>
      <c r="D31" s="16" t="s">
        <v>231</v>
      </c>
      <c r="E31" s="16" t="s">
        <v>232</v>
      </c>
      <c r="F31" s="16" t="s">
        <v>180</v>
      </c>
      <c r="G31" s="16" t="s">
        <v>181</v>
      </c>
      <c r="H31" s="16" t="s">
        <v>249</v>
      </c>
      <c r="I31" s="16"/>
      <c r="J31" s="23" t="n">
        <v>85</v>
      </c>
      <c r="K31" s="23" t="n">
        <v>32.3</v>
      </c>
      <c r="L31" s="16"/>
      <c r="M31" s="16" t="n">
        <v>0</v>
      </c>
      <c r="N31" s="16"/>
      <c r="O31" s="16"/>
      <c r="P31" s="16" t="s">
        <v>183</v>
      </c>
      <c r="Q31" s="16" t="s">
        <v>183</v>
      </c>
      <c r="R31" s="16"/>
      <c r="S31" s="20"/>
      <c r="T31" s="16"/>
      <c r="U31" s="16"/>
      <c r="V31" s="16"/>
      <c r="W31" s="16"/>
      <c r="X31" s="16"/>
      <c r="Y31" s="16"/>
    </row>
    <row r="32" customFormat="false" ht="15" hidden="false" customHeight="false" outlineLevel="0" collapsed="false">
      <c r="A32" s="16" t="s">
        <v>254</v>
      </c>
      <c r="B32" s="16" t="s">
        <v>240</v>
      </c>
      <c r="C32" s="16" t="s">
        <v>177</v>
      </c>
      <c r="D32" s="16" t="s">
        <v>236</v>
      </c>
      <c r="E32" s="16" t="s">
        <v>232</v>
      </c>
      <c r="F32" s="16" t="s">
        <v>180</v>
      </c>
      <c r="G32" s="16" t="s">
        <v>181</v>
      </c>
      <c r="H32" s="16" t="s">
        <v>191</v>
      </c>
      <c r="I32" s="16"/>
      <c r="J32" s="23" t="n">
        <v>85</v>
      </c>
      <c r="K32" s="23" t="n">
        <v>32.3</v>
      </c>
      <c r="L32" s="16" t="n">
        <v>6</v>
      </c>
      <c r="M32" s="16" t="n">
        <v>0</v>
      </c>
      <c r="N32" s="16"/>
      <c r="O32" s="16"/>
      <c r="P32" s="16" t="s">
        <v>183</v>
      </c>
      <c r="Q32" s="16" t="s">
        <v>196</v>
      </c>
      <c r="R32" s="16"/>
      <c r="S32" s="20"/>
      <c r="T32" s="16"/>
      <c r="U32" s="16"/>
      <c r="V32" s="16"/>
      <c r="W32" s="16"/>
      <c r="X32" s="16"/>
      <c r="Y32" s="16" t="s">
        <v>197</v>
      </c>
    </row>
    <row r="33" customFormat="false" ht="15" hidden="false" customHeight="false" outlineLevel="0" collapsed="false">
      <c r="A33" s="16" t="s">
        <v>255</v>
      </c>
      <c r="B33" s="16" t="s">
        <v>230</v>
      </c>
      <c r="C33" s="16" t="s">
        <v>187</v>
      </c>
      <c r="D33" s="16" t="s">
        <v>231</v>
      </c>
      <c r="E33" s="16" t="s">
        <v>232</v>
      </c>
      <c r="F33" s="16" t="s">
        <v>180</v>
      </c>
      <c r="G33" s="16" t="s">
        <v>181</v>
      </c>
      <c r="H33" s="16" t="s">
        <v>191</v>
      </c>
      <c r="I33" s="16"/>
      <c r="J33" s="23" t="n">
        <v>85</v>
      </c>
      <c r="K33" s="23" t="n">
        <v>32.3</v>
      </c>
      <c r="L33" s="16"/>
      <c r="M33" s="16" t="n">
        <v>0</v>
      </c>
      <c r="N33" s="16"/>
      <c r="O33" s="16"/>
      <c r="P33" s="16" t="s">
        <v>183</v>
      </c>
      <c r="Q33" s="16" t="s">
        <v>183</v>
      </c>
      <c r="R33" s="16"/>
      <c r="S33" s="20"/>
      <c r="T33" s="16"/>
      <c r="U33" s="16"/>
      <c r="V33" s="16"/>
      <c r="W33" s="16"/>
      <c r="X33" s="16"/>
      <c r="Y33" s="16"/>
    </row>
    <row r="34" customFormat="false" ht="15" hidden="false" customHeight="false" outlineLevel="0" collapsed="false">
      <c r="A34" s="16" t="s">
        <v>256</v>
      </c>
      <c r="B34" s="16" t="s">
        <v>240</v>
      </c>
      <c r="C34" s="16" t="s">
        <v>190</v>
      </c>
      <c r="D34" s="16" t="s">
        <v>236</v>
      </c>
      <c r="E34" s="16" t="s">
        <v>232</v>
      </c>
      <c r="F34" s="16" t="s">
        <v>180</v>
      </c>
      <c r="G34" s="16" t="s">
        <v>181</v>
      </c>
      <c r="H34" s="16" t="s">
        <v>191</v>
      </c>
      <c r="I34" s="16"/>
      <c r="J34" s="23" t="n">
        <v>85</v>
      </c>
      <c r="K34" s="23" t="n">
        <v>32.3</v>
      </c>
      <c r="L34" s="16"/>
      <c r="M34" s="16" t="n">
        <v>0</v>
      </c>
      <c r="N34" s="16"/>
      <c r="O34" s="16"/>
      <c r="P34" s="16" t="s">
        <v>183</v>
      </c>
      <c r="Q34" s="16" t="s">
        <v>183</v>
      </c>
      <c r="R34" s="16"/>
      <c r="S34" s="20"/>
      <c r="T34" s="16"/>
      <c r="U34" s="16"/>
      <c r="V34" s="16"/>
      <c r="W34" s="16"/>
      <c r="X34" s="16"/>
      <c r="Y34" s="16" t="s">
        <v>220</v>
      </c>
    </row>
    <row r="35" customFormat="false" ht="15" hidden="false" customHeight="false" outlineLevel="0" collapsed="false">
      <c r="A35" s="16" t="s">
        <v>257</v>
      </c>
      <c r="B35" s="16" t="s">
        <v>246</v>
      </c>
      <c r="C35" s="16" t="s">
        <v>195</v>
      </c>
      <c r="D35" s="16" t="s">
        <v>231</v>
      </c>
      <c r="E35" s="16" t="s">
        <v>232</v>
      </c>
      <c r="F35" s="16" t="s">
        <v>210</v>
      </c>
      <c r="G35" s="16" t="s">
        <v>181</v>
      </c>
      <c r="H35" s="16" t="s">
        <v>191</v>
      </c>
      <c r="I35" s="16"/>
      <c r="J35" s="23" t="n">
        <v>85</v>
      </c>
      <c r="K35" s="23" t="n">
        <v>32.3</v>
      </c>
      <c r="L35" s="16" t="n">
        <v>10</v>
      </c>
      <c r="M35" s="16" t="n">
        <v>0</v>
      </c>
      <c r="N35" s="16"/>
      <c r="O35" s="16"/>
      <c r="P35" s="16" t="s">
        <v>183</v>
      </c>
      <c r="Q35" s="16" t="s">
        <v>183</v>
      </c>
      <c r="R35" s="16"/>
      <c r="S35" s="20"/>
      <c r="T35" s="16"/>
      <c r="U35" s="16"/>
      <c r="V35" s="16"/>
      <c r="W35" s="16"/>
      <c r="X35" s="16"/>
      <c r="Y35" s="16"/>
    </row>
    <row r="36" customFormat="false" ht="15" hidden="false" customHeight="false" outlineLevel="0" collapsed="false">
      <c r="A36" s="16" t="s">
        <v>258</v>
      </c>
      <c r="B36" s="16" t="s">
        <v>259</v>
      </c>
      <c r="C36" s="16" t="s">
        <v>212</v>
      </c>
      <c r="D36" s="16" t="s">
        <v>260</v>
      </c>
      <c r="E36" s="16" t="s">
        <v>261</v>
      </c>
      <c r="F36" s="16" t="s">
        <v>180</v>
      </c>
      <c r="G36" s="16" t="s">
        <v>181</v>
      </c>
      <c r="H36" s="16" t="s">
        <v>191</v>
      </c>
      <c r="I36" s="16"/>
      <c r="J36" s="23" t="n">
        <v>60</v>
      </c>
      <c r="K36" s="23" t="n">
        <v>22.8</v>
      </c>
      <c r="L36" s="16" t="n">
        <v>6</v>
      </c>
      <c r="M36" s="16" t="n">
        <v>0</v>
      </c>
      <c r="N36" s="16"/>
      <c r="O36" s="16"/>
      <c r="P36" s="16" t="s">
        <v>183</v>
      </c>
      <c r="Q36" s="16" t="s">
        <v>183</v>
      </c>
      <c r="R36" s="16"/>
      <c r="S36" s="20"/>
      <c r="T36" s="16"/>
      <c r="U36" s="16"/>
      <c r="V36" s="16"/>
      <c r="W36" s="16"/>
      <c r="X36" s="16"/>
      <c r="Y36" s="16"/>
    </row>
    <row r="37" customFormat="false" ht="15" hidden="false" customHeight="false" outlineLevel="0" collapsed="false">
      <c r="A37" s="16" t="s">
        <v>262</v>
      </c>
      <c r="B37" s="16" t="s">
        <v>263</v>
      </c>
      <c r="C37" s="16" t="s">
        <v>214</v>
      </c>
      <c r="D37" s="16" t="s">
        <v>264</v>
      </c>
      <c r="E37" s="16" t="s">
        <v>261</v>
      </c>
      <c r="F37" s="16" t="s">
        <v>180</v>
      </c>
      <c r="G37" s="16" t="s">
        <v>181</v>
      </c>
      <c r="H37" s="16" t="s">
        <v>249</v>
      </c>
      <c r="I37" s="16"/>
      <c r="J37" s="23" t="n">
        <v>60</v>
      </c>
      <c r="K37" s="23" t="n">
        <v>22.8</v>
      </c>
      <c r="L37" s="16" t="n">
        <v>6</v>
      </c>
      <c r="M37" s="16" t="n">
        <v>0</v>
      </c>
      <c r="N37" s="16"/>
      <c r="O37" s="16"/>
      <c r="P37" s="16" t="s">
        <v>183</v>
      </c>
      <c r="Q37" s="16" t="s">
        <v>183</v>
      </c>
      <c r="R37" s="16"/>
      <c r="S37" s="20"/>
      <c r="T37" s="16"/>
      <c r="U37" s="16"/>
      <c r="V37" s="16"/>
      <c r="W37" s="16"/>
      <c r="X37" s="16"/>
      <c r="Y37" s="16"/>
    </row>
    <row r="38" customFormat="false" ht="15" hidden="false" customHeight="false" outlineLevel="0" collapsed="false">
      <c r="A38" s="16" t="s">
        <v>265</v>
      </c>
      <c r="B38" s="16" t="s">
        <v>266</v>
      </c>
      <c r="C38" s="16" t="s">
        <v>217</v>
      </c>
      <c r="D38" s="16" t="s">
        <v>260</v>
      </c>
      <c r="E38" s="16" t="s">
        <v>261</v>
      </c>
      <c r="F38" s="16" t="s">
        <v>180</v>
      </c>
      <c r="G38" s="16" t="s">
        <v>181</v>
      </c>
      <c r="H38" s="16" t="s">
        <v>191</v>
      </c>
      <c r="I38" s="16"/>
      <c r="J38" s="23" t="n">
        <v>60</v>
      </c>
      <c r="K38" s="23" t="n">
        <v>22.8</v>
      </c>
      <c r="L38" s="16" t="n">
        <v>6</v>
      </c>
      <c r="M38" s="16" t="n">
        <v>0</v>
      </c>
      <c r="N38" s="16"/>
      <c r="O38" s="16"/>
      <c r="P38" s="16" t="s">
        <v>183</v>
      </c>
      <c r="Q38" s="16" t="s">
        <v>183</v>
      </c>
      <c r="R38" s="16"/>
      <c r="S38" s="20"/>
      <c r="T38" s="16"/>
      <c r="U38" s="16"/>
      <c r="V38" s="16"/>
      <c r="W38" s="16"/>
      <c r="X38" s="16"/>
      <c r="Y38" s="16"/>
    </row>
    <row r="39" customFormat="false" ht="15" hidden="false" customHeight="false" outlineLevel="0" collapsed="false">
      <c r="A39" s="16" t="s">
        <v>267</v>
      </c>
      <c r="B39" s="16" t="s">
        <v>263</v>
      </c>
      <c r="C39" s="16" t="s">
        <v>219</v>
      </c>
      <c r="D39" s="16" t="s">
        <v>264</v>
      </c>
      <c r="E39" s="16" t="s">
        <v>261</v>
      </c>
      <c r="F39" s="16" t="s">
        <v>180</v>
      </c>
      <c r="G39" s="16" t="s">
        <v>181</v>
      </c>
      <c r="H39" s="16" t="s">
        <v>191</v>
      </c>
      <c r="I39" s="16"/>
      <c r="J39" s="23" t="n">
        <v>55</v>
      </c>
      <c r="K39" s="23" t="n">
        <v>20.9</v>
      </c>
      <c r="L39" s="16"/>
      <c r="M39" s="16" t="n">
        <v>0</v>
      </c>
      <c r="N39" s="16"/>
      <c r="O39" s="16"/>
      <c r="P39" s="16" t="s">
        <v>183</v>
      </c>
      <c r="Q39" s="16" t="s">
        <v>183</v>
      </c>
      <c r="R39" s="16"/>
      <c r="S39" s="20"/>
      <c r="T39" s="16"/>
      <c r="U39" s="16"/>
      <c r="V39" s="16"/>
      <c r="W39" s="16"/>
      <c r="X39" s="16"/>
      <c r="Y39" s="16" t="s">
        <v>220</v>
      </c>
    </row>
    <row r="40" customFormat="false" ht="15" hidden="false" customHeight="false" outlineLevel="0" collapsed="false">
      <c r="A40" s="16" t="s">
        <v>268</v>
      </c>
      <c r="B40" s="16" t="s">
        <v>259</v>
      </c>
      <c r="C40" s="16" t="s">
        <v>251</v>
      </c>
      <c r="D40" s="16" t="s">
        <v>260</v>
      </c>
      <c r="E40" s="16" t="s">
        <v>261</v>
      </c>
      <c r="F40" s="16" t="s">
        <v>180</v>
      </c>
      <c r="G40" s="16" t="s">
        <v>181</v>
      </c>
      <c r="H40" s="16" t="s">
        <v>249</v>
      </c>
      <c r="I40" s="16"/>
      <c r="J40" s="23" t="n">
        <v>60</v>
      </c>
      <c r="K40" s="23" t="n">
        <v>22.8</v>
      </c>
      <c r="L40" s="16" t="n">
        <v>10</v>
      </c>
      <c r="M40" s="16" t="n">
        <v>0</v>
      </c>
      <c r="N40" s="16"/>
      <c r="O40" s="16"/>
      <c r="P40" s="16" t="s">
        <v>183</v>
      </c>
      <c r="Q40" s="16" t="s">
        <v>183</v>
      </c>
      <c r="R40" s="16"/>
      <c r="S40" s="20"/>
      <c r="T40" s="16"/>
      <c r="U40" s="16"/>
      <c r="V40" s="16"/>
      <c r="W40" s="16"/>
      <c r="X40" s="16"/>
      <c r="Y40" s="16"/>
    </row>
    <row r="41" customFormat="false" ht="15" hidden="false" customHeight="false" outlineLevel="0" collapsed="false">
      <c r="A41" s="16" t="s">
        <v>269</v>
      </c>
      <c r="B41" s="16" t="s">
        <v>270</v>
      </c>
      <c r="C41" s="16" t="s">
        <v>225</v>
      </c>
      <c r="D41" s="16" t="s">
        <v>264</v>
      </c>
      <c r="E41" s="16" t="s">
        <v>261</v>
      </c>
      <c r="F41" s="16" t="s">
        <v>180</v>
      </c>
      <c r="G41" s="16" t="s">
        <v>181</v>
      </c>
      <c r="H41" s="16" t="s">
        <v>249</v>
      </c>
      <c r="I41" s="16"/>
      <c r="J41" s="23" t="n">
        <v>55</v>
      </c>
      <c r="K41" s="23" t="n">
        <v>20.9</v>
      </c>
      <c r="L41" s="16" t="n">
        <v>10</v>
      </c>
      <c r="M41" s="16" t="n">
        <v>0</v>
      </c>
      <c r="N41" s="16"/>
      <c r="O41" s="16"/>
      <c r="P41" s="16" t="s">
        <v>183</v>
      </c>
      <c r="Q41" s="16" t="s">
        <v>183</v>
      </c>
      <c r="R41" s="16"/>
      <c r="S41" s="20"/>
      <c r="T41" s="16"/>
      <c r="U41" s="16"/>
      <c r="V41" s="16"/>
      <c r="W41" s="16"/>
      <c r="X41" s="16"/>
      <c r="Y41" s="16"/>
    </row>
    <row r="42" customFormat="false" ht="15" hidden="false" customHeight="false" outlineLevel="0" collapsed="false">
      <c r="A42" s="16" t="s">
        <v>271</v>
      </c>
      <c r="B42" s="16" t="s">
        <v>259</v>
      </c>
      <c r="C42" s="16" t="s">
        <v>228</v>
      </c>
      <c r="D42" s="16" t="s">
        <v>260</v>
      </c>
      <c r="E42" s="16" t="s">
        <v>261</v>
      </c>
      <c r="F42" s="16" t="s">
        <v>180</v>
      </c>
      <c r="G42" s="16" t="s">
        <v>181</v>
      </c>
      <c r="H42" s="16" t="s">
        <v>191</v>
      </c>
      <c r="I42" s="16"/>
      <c r="J42" s="23" t="n">
        <v>55</v>
      </c>
      <c r="K42" s="23" t="n">
        <v>20.9</v>
      </c>
      <c r="L42" s="16" t="n">
        <v>6</v>
      </c>
      <c r="M42" s="16" t="n">
        <v>120</v>
      </c>
      <c r="N42" s="16" t="n">
        <v>3</v>
      </c>
      <c r="O42" s="16"/>
      <c r="P42" s="16" t="s">
        <v>183</v>
      </c>
      <c r="Q42" s="16" t="s">
        <v>183</v>
      </c>
      <c r="R42" s="16"/>
      <c r="S42" s="20"/>
      <c r="T42" s="16"/>
      <c r="U42" s="16"/>
      <c r="V42" s="16"/>
      <c r="W42" s="16"/>
      <c r="X42" s="16"/>
      <c r="Y42" s="16" t="s">
        <v>238</v>
      </c>
    </row>
    <row r="43" customFormat="false" ht="15" hidden="false" customHeight="false" outlineLevel="0" collapsed="false">
      <c r="A43" s="16" t="s">
        <v>272</v>
      </c>
      <c r="B43" s="16" t="s">
        <v>270</v>
      </c>
      <c r="C43" s="16" t="s">
        <v>177</v>
      </c>
      <c r="D43" s="16" t="s">
        <v>264</v>
      </c>
      <c r="E43" s="16" t="s">
        <v>261</v>
      </c>
      <c r="F43" s="16" t="s">
        <v>180</v>
      </c>
      <c r="G43" s="16" t="s">
        <v>181</v>
      </c>
      <c r="H43" s="16" t="s">
        <v>182</v>
      </c>
      <c r="I43" s="16"/>
      <c r="J43" s="23" t="n">
        <v>60</v>
      </c>
      <c r="K43" s="23" t="n">
        <v>22.8</v>
      </c>
      <c r="L43" s="16" t="n">
        <v>6</v>
      </c>
      <c r="M43" s="16" t="n">
        <v>0</v>
      </c>
      <c r="N43" s="16"/>
      <c r="O43" s="16"/>
      <c r="P43" s="16" t="s">
        <v>183</v>
      </c>
      <c r="Q43" s="16" t="s">
        <v>183</v>
      </c>
      <c r="R43" s="16"/>
      <c r="S43" s="20"/>
      <c r="T43" s="16"/>
      <c r="U43" s="16"/>
      <c r="V43" s="16"/>
      <c r="W43" s="16"/>
      <c r="X43" s="16"/>
      <c r="Y43" s="16" t="s">
        <v>273</v>
      </c>
    </row>
    <row r="44" customFormat="false" ht="15" hidden="false" customHeight="false" outlineLevel="0" collapsed="false">
      <c r="A44" s="16" t="s">
        <v>274</v>
      </c>
      <c r="B44" s="16" t="s">
        <v>259</v>
      </c>
      <c r="C44" s="16" t="s">
        <v>187</v>
      </c>
      <c r="D44" s="16" t="s">
        <v>260</v>
      </c>
      <c r="E44" s="16" t="s">
        <v>261</v>
      </c>
      <c r="F44" s="16" t="s">
        <v>180</v>
      </c>
      <c r="G44" s="16" t="s">
        <v>181</v>
      </c>
      <c r="H44" s="16" t="s">
        <v>191</v>
      </c>
      <c r="I44" s="16"/>
      <c r="J44" s="23" t="n">
        <v>60</v>
      </c>
      <c r="K44" s="23" t="n">
        <v>22.8</v>
      </c>
      <c r="L44" s="16" t="n">
        <v>6</v>
      </c>
      <c r="M44" s="16" t="n">
        <v>0</v>
      </c>
      <c r="N44" s="16"/>
      <c r="O44" s="16"/>
      <c r="P44" s="16" t="s">
        <v>183</v>
      </c>
      <c r="Q44" s="16" t="s">
        <v>196</v>
      </c>
      <c r="R44" s="16"/>
      <c r="S44" s="20"/>
      <c r="T44" s="16"/>
      <c r="U44" s="16"/>
      <c r="V44" s="16"/>
      <c r="W44" s="16"/>
      <c r="X44" s="16"/>
      <c r="Y44" s="16" t="s">
        <v>197</v>
      </c>
    </row>
    <row r="45" customFormat="false" ht="15" hidden="false" customHeight="false" outlineLevel="0" collapsed="false">
      <c r="A45" s="16" t="s">
        <v>275</v>
      </c>
      <c r="B45" s="16" t="s">
        <v>270</v>
      </c>
      <c r="C45" s="16" t="s">
        <v>190</v>
      </c>
      <c r="D45" s="16" t="s">
        <v>264</v>
      </c>
      <c r="E45" s="16" t="s">
        <v>261</v>
      </c>
      <c r="F45" s="16" t="s">
        <v>180</v>
      </c>
      <c r="G45" s="16" t="s">
        <v>181</v>
      </c>
      <c r="H45" s="16" t="s">
        <v>191</v>
      </c>
      <c r="I45" s="16"/>
      <c r="J45" s="23" t="n">
        <v>55</v>
      </c>
      <c r="K45" s="23" t="n">
        <v>20.9</v>
      </c>
      <c r="L45" s="16" t="n">
        <v>6</v>
      </c>
      <c r="M45" s="16" t="n">
        <v>0</v>
      </c>
      <c r="N45" s="16"/>
      <c r="O45" s="16"/>
      <c r="P45" s="16" t="s">
        <v>183</v>
      </c>
      <c r="Q45" s="16" t="s">
        <v>183</v>
      </c>
      <c r="R45" s="16"/>
      <c r="S45" s="20"/>
      <c r="T45" s="16"/>
      <c r="U45" s="16"/>
      <c r="V45" s="16"/>
      <c r="W45" s="16"/>
      <c r="X45" s="16"/>
      <c r="Y45" s="16"/>
    </row>
    <row r="46" customFormat="false" ht="15" hidden="false" customHeight="false" outlineLevel="0" collapsed="false">
      <c r="A46" s="16" t="s">
        <v>276</v>
      </c>
      <c r="B46" s="16" t="s">
        <v>266</v>
      </c>
      <c r="C46" s="16" t="s">
        <v>195</v>
      </c>
      <c r="D46" s="16" t="s">
        <v>260</v>
      </c>
      <c r="E46" s="16" t="s">
        <v>261</v>
      </c>
      <c r="F46" s="16" t="s">
        <v>180</v>
      </c>
      <c r="G46" s="16" t="s">
        <v>181</v>
      </c>
      <c r="H46" s="16" t="s">
        <v>191</v>
      </c>
      <c r="I46" s="16"/>
      <c r="J46" s="23" t="n">
        <v>55</v>
      </c>
      <c r="K46" s="23" t="n">
        <v>20.9</v>
      </c>
      <c r="L46" s="16"/>
      <c r="M46" s="16" t="n">
        <v>0</v>
      </c>
      <c r="N46" s="16"/>
      <c r="O46" s="16"/>
      <c r="P46" s="16" t="s">
        <v>183</v>
      </c>
      <c r="Q46" s="16" t="s">
        <v>183</v>
      </c>
      <c r="R46" s="16"/>
      <c r="S46" s="20"/>
      <c r="T46" s="16"/>
      <c r="U46" s="16"/>
      <c r="V46" s="16"/>
      <c r="W46" s="16"/>
      <c r="X46" s="16"/>
      <c r="Y46" s="16"/>
    </row>
    <row r="47" customFormat="false" ht="15" hidden="false" customHeight="false" outlineLevel="0" collapsed="false">
      <c r="A47" s="16" t="s">
        <v>277</v>
      </c>
      <c r="B47" s="16" t="s">
        <v>270</v>
      </c>
      <c r="C47" s="16" t="s">
        <v>200</v>
      </c>
      <c r="D47" s="16" t="s">
        <v>264</v>
      </c>
      <c r="E47" s="16" t="s">
        <v>261</v>
      </c>
      <c r="F47" s="16" t="s">
        <v>210</v>
      </c>
      <c r="G47" s="16" t="s">
        <v>181</v>
      </c>
      <c r="H47" s="16" t="s">
        <v>191</v>
      </c>
      <c r="I47" s="16"/>
      <c r="J47" s="23" t="n">
        <v>55</v>
      </c>
      <c r="K47" s="23" t="n">
        <v>20.9</v>
      </c>
      <c r="L47" s="16"/>
      <c r="M47" s="16" t="n">
        <v>0</v>
      </c>
      <c r="N47" s="16"/>
      <c r="O47" s="16"/>
      <c r="P47" s="16" t="s">
        <v>183</v>
      </c>
      <c r="Q47" s="16" t="s">
        <v>183</v>
      </c>
      <c r="R47" s="16"/>
      <c r="S47" s="20"/>
      <c r="T47" s="16"/>
      <c r="U47" s="16"/>
      <c r="V47" s="16"/>
      <c r="W47" s="16"/>
      <c r="X47" s="16"/>
      <c r="Y47" s="16"/>
    </row>
    <row r="48" customFormat="false" ht="15" hidden="false" customHeight="false" outlineLevel="0" collapsed="false">
      <c r="A48" s="16" t="s">
        <v>278</v>
      </c>
      <c r="B48" s="16" t="s">
        <v>266</v>
      </c>
      <c r="C48" s="16" t="s">
        <v>204</v>
      </c>
      <c r="D48" s="16" t="s">
        <v>260</v>
      </c>
      <c r="E48" s="16" t="s">
        <v>261</v>
      </c>
      <c r="F48" s="16" t="s">
        <v>180</v>
      </c>
      <c r="G48" s="16" t="s">
        <v>181</v>
      </c>
      <c r="H48" s="16" t="s">
        <v>191</v>
      </c>
      <c r="I48" s="16"/>
      <c r="J48" s="23" t="n">
        <v>60</v>
      </c>
      <c r="K48" s="23" t="n">
        <v>22.8</v>
      </c>
      <c r="L48" s="16" t="n">
        <v>6</v>
      </c>
      <c r="M48" s="16" t="n">
        <v>0</v>
      </c>
      <c r="N48" s="16"/>
      <c r="O48" s="16" t="s">
        <v>183</v>
      </c>
      <c r="P48" s="16" t="s">
        <v>183</v>
      </c>
      <c r="Q48" s="16" t="s">
        <v>183</v>
      </c>
      <c r="R48" s="16"/>
      <c r="S48" s="20"/>
      <c r="T48" s="16"/>
      <c r="U48" s="16"/>
      <c r="V48" s="16"/>
      <c r="W48" s="16"/>
      <c r="X48" s="16"/>
      <c r="Y48" s="16" t="s">
        <v>279</v>
      </c>
    </row>
    <row r="49" customFormat="false" ht="15" hidden="false" customHeight="false" outlineLevel="0" collapsed="false">
      <c r="A49" s="16" t="s">
        <v>280</v>
      </c>
      <c r="B49" s="16" t="s">
        <v>263</v>
      </c>
      <c r="C49" s="16" t="s">
        <v>251</v>
      </c>
      <c r="D49" s="16" t="s">
        <v>264</v>
      </c>
      <c r="E49" s="16" t="s">
        <v>261</v>
      </c>
      <c r="F49" s="16" t="s">
        <v>180</v>
      </c>
      <c r="G49" s="16" t="s">
        <v>181</v>
      </c>
      <c r="H49" s="16" t="s">
        <v>191</v>
      </c>
      <c r="I49" s="16" t="s">
        <v>183</v>
      </c>
      <c r="J49" s="23" t="n">
        <v>60</v>
      </c>
      <c r="K49" s="23" t="n">
        <v>22.8</v>
      </c>
      <c r="L49" s="16" t="n">
        <v>10</v>
      </c>
      <c r="M49" s="16" t="n">
        <v>0</v>
      </c>
      <c r="N49" s="16"/>
      <c r="O49" s="16"/>
      <c r="P49" s="16" t="s">
        <v>183</v>
      </c>
      <c r="Q49" s="16" t="s">
        <v>183</v>
      </c>
      <c r="R49" s="16"/>
      <c r="S49" s="20"/>
      <c r="T49" s="16"/>
      <c r="U49" s="16"/>
      <c r="V49" s="16"/>
      <c r="W49" s="16"/>
      <c r="X49" s="16"/>
      <c r="Y49" s="16" t="s">
        <v>222</v>
      </c>
    </row>
    <row r="50" customFormat="false" ht="15" hidden="false" customHeight="false" outlineLevel="0" collapsed="false">
      <c r="A50" s="16" t="s">
        <v>281</v>
      </c>
      <c r="B50" s="16" t="s">
        <v>259</v>
      </c>
      <c r="C50" s="16" t="s">
        <v>209</v>
      </c>
      <c r="D50" s="16" t="s">
        <v>260</v>
      </c>
      <c r="E50" s="16" t="s">
        <v>261</v>
      </c>
      <c r="F50" s="16" t="s">
        <v>210</v>
      </c>
      <c r="G50" s="16" t="s">
        <v>181</v>
      </c>
      <c r="H50" s="16" t="s">
        <v>249</v>
      </c>
      <c r="I50" s="16"/>
      <c r="J50" s="23" t="n">
        <v>55</v>
      </c>
      <c r="K50" s="23" t="n">
        <v>20.9</v>
      </c>
      <c r="L50" s="16"/>
      <c r="M50" s="16" t="n">
        <v>0</v>
      </c>
      <c r="N50" s="16"/>
      <c r="O50" s="16"/>
      <c r="P50" s="16" t="s">
        <v>183</v>
      </c>
      <c r="Q50" s="16" t="s">
        <v>183</v>
      </c>
      <c r="R50" s="16"/>
      <c r="S50" s="20"/>
      <c r="T50" s="16"/>
      <c r="U50" s="16"/>
      <c r="V50" s="16"/>
      <c r="W50" s="16"/>
      <c r="X50" s="16"/>
      <c r="Y50" s="16" t="s">
        <v>282</v>
      </c>
    </row>
    <row r="51" customFormat="false" ht="15" hidden="false" customHeight="false" outlineLevel="0" collapsed="false">
      <c r="A51" s="16" t="s">
        <v>283</v>
      </c>
      <c r="B51" s="16" t="s">
        <v>284</v>
      </c>
      <c r="C51" s="16" t="s">
        <v>251</v>
      </c>
      <c r="D51" s="16" t="s">
        <v>285</v>
      </c>
      <c r="E51" s="16" t="s">
        <v>286</v>
      </c>
      <c r="F51" s="16" t="s">
        <v>180</v>
      </c>
      <c r="G51" s="16" t="s">
        <v>287</v>
      </c>
      <c r="H51" s="16" t="s">
        <v>191</v>
      </c>
      <c r="I51" s="16"/>
      <c r="J51" s="23" t="n">
        <v>70</v>
      </c>
      <c r="K51" s="23" t="n">
        <v>26.6</v>
      </c>
      <c r="L51" s="16" t="n">
        <v>6</v>
      </c>
      <c r="M51" s="16" t="n">
        <v>0</v>
      </c>
      <c r="N51" s="16"/>
      <c r="O51" s="16"/>
      <c r="P51" s="16" t="s">
        <v>183</v>
      </c>
      <c r="Q51" s="16" t="s">
        <v>183</v>
      </c>
      <c r="R51" s="16"/>
      <c r="S51" s="20"/>
      <c r="T51" s="16"/>
      <c r="U51" s="16"/>
      <c r="V51" s="16"/>
      <c r="W51" s="16"/>
      <c r="X51" s="16"/>
      <c r="Y51" s="16"/>
    </row>
    <row r="52" customFormat="false" ht="15" hidden="false" customHeight="false" outlineLevel="0" collapsed="false">
      <c r="A52" s="16" t="s">
        <v>288</v>
      </c>
      <c r="B52" s="16" t="s">
        <v>289</v>
      </c>
      <c r="C52" s="16" t="s">
        <v>225</v>
      </c>
      <c r="D52" s="16" t="s">
        <v>290</v>
      </c>
      <c r="E52" s="16" t="s">
        <v>286</v>
      </c>
      <c r="F52" s="16" t="s">
        <v>180</v>
      </c>
      <c r="G52" s="16" t="s">
        <v>287</v>
      </c>
      <c r="H52" s="16" t="s">
        <v>191</v>
      </c>
      <c r="I52" s="16"/>
      <c r="J52" s="23" t="n">
        <v>65</v>
      </c>
      <c r="K52" s="23" t="n">
        <v>24.7</v>
      </c>
      <c r="L52" s="16" t="n">
        <v>6</v>
      </c>
      <c r="M52" s="16" t="n">
        <v>0</v>
      </c>
      <c r="N52" s="16"/>
      <c r="O52" s="16"/>
      <c r="P52" s="16" t="s">
        <v>183</v>
      </c>
      <c r="Q52" s="16" t="s">
        <v>183</v>
      </c>
      <c r="R52" s="16"/>
      <c r="S52" s="20"/>
      <c r="T52" s="16"/>
      <c r="U52" s="16"/>
      <c r="V52" s="16"/>
      <c r="W52" s="16"/>
      <c r="X52" s="16"/>
      <c r="Y52" s="16"/>
    </row>
    <row r="53" customFormat="false" ht="15" hidden="false" customHeight="false" outlineLevel="0" collapsed="false">
      <c r="A53" s="16" t="s">
        <v>291</v>
      </c>
      <c r="B53" s="16" t="s">
        <v>292</v>
      </c>
      <c r="C53" s="16" t="s">
        <v>228</v>
      </c>
      <c r="D53" s="16" t="s">
        <v>285</v>
      </c>
      <c r="E53" s="16" t="s">
        <v>286</v>
      </c>
      <c r="F53" s="16" t="s">
        <v>180</v>
      </c>
      <c r="G53" s="16" t="s">
        <v>287</v>
      </c>
      <c r="H53" s="16" t="s">
        <v>191</v>
      </c>
      <c r="I53" s="16"/>
      <c r="J53" s="23" t="n">
        <v>65</v>
      </c>
      <c r="K53" s="23" t="n">
        <v>24.7</v>
      </c>
      <c r="L53" s="16"/>
      <c r="M53" s="16" t="n">
        <v>0</v>
      </c>
      <c r="N53" s="16"/>
      <c r="O53" s="16"/>
      <c r="P53" s="16" t="s">
        <v>183</v>
      </c>
      <c r="Q53" s="16" t="s">
        <v>183</v>
      </c>
      <c r="R53" s="16"/>
      <c r="S53" s="20"/>
      <c r="T53" s="16"/>
      <c r="U53" s="16"/>
      <c r="V53" s="16"/>
      <c r="W53" s="16"/>
      <c r="X53" s="16"/>
      <c r="Y53" s="16"/>
    </row>
    <row r="54" customFormat="false" ht="15" hidden="false" customHeight="false" outlineLevel="0" collapsed="false">
      <c r="A54" s="16" t="s">
        <v>293</v>
      </c>
      <c r="B54" s="16" t="s">
        <v>289</v>
      </c>
      <c r="C54" s="16" t="s">
        <v>177</v>
      </c>
      <c r="D54" s="16" t="s">
        <v>290</v>
      </c>
      <c r="E54" s="16" t="s">
        <v>286</v>
      </c>
      <c r="F54" s="16" t="s">
        <v>180</v>
      </c>
      <c r="G54" s="16" t="s">
        <v>287</v>
      </c>
      <c r="H54" s="16" t="s">
        <v>182</v>
      </c>
      <c r="I54" s="16"/>
      <c r="J54" s="23" t="n">
        <v>70</v>
      </c>
      <c r="K54" s="23" t="n">
        <v>26.6</v>
      </c>
      <c r="L54" s="16"/>
      <c r="M54" s="16" t="n">
        <v>0</v>
      </c>
      <c r="N54" s="16"/>
      <c r="O54" s="16"/>
      <c r="P54" s="16" t="s">
        <v>183</v>
      </c>
      <c r="Q54" s="16" t="s">
        <v>183</v>
      </c>
      <c r="R54" s="16"/>
      <c r="S54" s="20"/>
      <c r="T54" s="16"/>
      <c r="U54" s="16"/>
      <c r="V54" s="16"/>
      <c r="W54" s="16"/>
      <c r="X54" s="16"/>
      <c r="Y54" s="16" t="s">
        <v>294</v>
      </c>
    </row>
    <row r="55" customFormat="false" ht="15" hidden="false" customHeight="false" outlineLevel="0" collapsed="false">
      <c r="A55" s="16" t="s">
        <v>295</v>
      </c>
      <c r="B55" s="16" t="s">
        <v>284</v>
      </c>
      <c r="C55" s="16" t="s">
        <v>187</v>
      </c>
      <c r="D55" s="16" t="s">
        <v>285</v>
      </c>
      <c r="E55" s="16" t="s">
        <v>286</v>
      </c>
      <c r="F55" s="16" t="s">
        <v>180</v>
      </c>
      <c r="G55" s="16" t="s">
        <v>287</v>
      </c>
      <c r="H55" s="16" t="s">
        <v>191</v>
      </c>
      <c r="I55" s="16"/>
      <c r="J55" s="23" t="n">
        <v>70</v>
      </c>
      <c r="K55" s="23" t="n">
        <v>26.6</v>
      </c>
      <c r="L55" s="16"/>
      <c r="M55" s="16" t="n">
        <v>0</v>
      </c>
      <c r="N55" s="16"/>
      <c r="O55" s="16"/>
      <c r="P55" s="16" t="s">
        <v>183</v>
      </c>
      <c r="Q55" s="16" t="s">
        <v>183</v>
      </c>
      <c r="R55" s="16"/>
      <c r="S55" s="20"/>
      <c r="T55" s="16"/>
      <c r="U55" s="16"/>
      <c r="V55" s="16"/>
      <c r="W55" s="16"/>
      <c r="X55" s="16"/>
      <c r="Y55" s="16" t="s">
        <v>220</v>
      </c>
    </row>
    <row r="56" customFormat="false" ht="15" hidden="false" customHeight="false" outlineLevel="0" collapsed="false">
      <c r="A56" s="16" t="s">
        <v>296</v>
      </c>
      <c r="B56" s="16" t="s">
        <v>289</v>
      </c>
      <c r="C56" s="16" t="s">
        <v>190</v>
      </c>
      <c r="D56" s="16" t="s">
        <v>290</v>
      </c>
      <c r="E56" s="16" t="s">
        <v>286</v>
      </c>
      <c r="F56" s="16" t="s">
        <v>180</v>
      </c>
      <c r="G56" s="16" t="s">
        <v>287</v>
      </c>
      <c r="H56" s="16" t="s">
        <v>191</v>
      </c>
      <c r="I56" s="16"/>
      <c r="J56" s="23" t="n">
        <v>65</v>
      </c>
      <c r="K56" s="23" t="n">
        <v>24.7</v>
      </c>
      <c r="L56" s="16" t="n">
        <v>10</v>
      </c>
      <c r="M56" s="16" t="n">
        <v>0</v>
      </c>
      <c r="N56" s="16"/>
      <c r="O56" s="16"/>
      <c r="P56" s="16" t="s">
        <v>183</v>
      </c>
      <c r="Q56" s="16" t="s">
        <v>183</v>
      </c>
      <c r="R56" s="16"/>
      <c r="S56" s="20"/>
      <c r="T56" s="16"/>
      <c r="U56" s="16"/>
      <c r="V56" s="16"/>
      <c r="W56" s="16"/>
      <c r="X56" s="16"/>
      <c r="Y56" s="16"/>
    </row>
    <row r="57" customFormat="false" ht="15" hidden="false" customHeight="false" outlineLevel="0" collapsed="false">
      <c r="A57" s="16" t="s">
        <v>297</v>
      </c>
      <c r="B57" s="16" t="s">
        <v>284</v>
      </c>
      <c r="C57" s="16" t="s">
        <v>195</v>
      </c>
      <c r="D57" s="16" t="s">
        <v>285</v>
      </c>
      <c r="E57" s="16" t="s">
        <v>286</v>
      </c>
      <c r="F57" s="16" t="s">
        <v>180</v>
      </c>
      <c r="G57" s="16" t="s">
        <v>287</v>
      </c>
      <c r="H57" s="16" t="s">
        <v>191</v>
      </c>
      <c r="I57" s="16"/>
      <c r="J57" s="23" t="n">
        <v>65</v>
      </c>
      <c r="K57" s="23" t="n">
        <v>24.7</v>
      </c>
      <c r="L57" s="16" t="n">
        <v>6</v>
      </c>
      <c r="M57" s="16" t="n">
        <v>0</v>
      </c>
      <c r="N57" s="16"/>
      <c r="O57" s="16"/>
      <c r="P57" s="16" t="s">
        <v>183</v>
      </c>
      <c r="Q57" s="16" t="s">
        <v>183</v>
      </c>
      <c r="R57" s="16"/>
      <c r="S57" s="20"/>
      <c r="T57" s="16"/>
      <c r="U57" s="16"/>
      <c r="V57" s="16"/>
      <c r="W57" s="16"/>
      <c r="X57" s="16"/>
      <c r="Y57" s="16"/>
    </row>
    <row r="58" customFormat="false" ht="15" hidden="false" customHeight="false" outlineLevel="0" collapsed="false">
      <c r="A58" s="16" t="s">
        <v>298</v>
      </c>
      <c r="B58" s="16" t="s">
        <v>289</v>
      </c>
      <c r="C58" s="16" t="s">
        <v>200</v>
      </c>
      <c r="D58" s="16" t="s">
        <v>290</v>
      </c>
      <c r="E58" s="16" t="s">
        <v>286</v>
      </c>
      <c r="F58" s="16" t="s">
        <v>180</v>
      </c>
      <c r="G58" s="16" t="s">
        <v>287</v>
      </c>
      <c r="H58" s="16" t="s">
        <v>191</v>
      </c>
      <c r="I58" s="16"/>
      <c r="J58" s="23" t="n">
        <v>65</v>
      </c>
      <c r="K58" s="23" t="n">
        <v>24.7</v>
      </c>
      <c r="L58" s="16"/>
      <c r="M58" s="16" t="n">
        <v>120</v>
      </c>
      <c r="N58" s="16" t="n">
        <v>3</v>
      </c>
      <c r="O58" s="16"/>
      <c r="P58" s="16" t="s">
        <v>183</v>
      </c>
      <c r="Q58" s="16" t="s">
        <v>183</v>
      </c>
      <c r="R58" s="16"/>
      <c r="S58" s="20"/>
      <c r="T58" s="16"/>
      <c r="U58" s="16"/>
      <c r="V58" s="16"/>
      <c r="W58" s="16"/>
      <c r="X58" s="16"/>
      <c r="Y58" s="16" t="s">
        <v>238</v>
      </c>
    </row>
    <row r="59" customFormat="false" ht="15" hidden="false" customHeight="false" outlineLevel="0" collapsed="false">
      <c r="A59" s="16" t="s">
        <v>299</v>
      </c>
      <c r="B59" s="16" t="s">
        <v>292</v>
      </c>
      <c r="C59" s="16" t="s">
        <v>204</v>
      </c>
      <c r="D59" s="16" t="s">
        <v>285</v>
      </c>
      <c r="E59" s="16" t="s">
        <v>286</v>
      </c>
      <c r="F59" s="16" t="s">
        <v>180</v>
      </c>
      <c r="G59" s="16" t="s">
        <v>287</v>
      </c>
      <c r="H59" s="16" t="s">
        <v>191</v>
      </c>
      <c r="I59" s="16"/>
      <c r="J59" s="23" t="n">
        <v>65</v>
      </c>
      <c r="K59" s="23" t="n">
        <v>24.7</v>
      </c>
      <c r="L59" s="16" t="n">
        <v>10</v>
      </c>
      <c r="M59" s="16" t="n">
        <v>120</v>
      </c>
      <c r="N59" s="16" t="n">
        <v>3</v>
      </c>
      <c r="O59" s="16"/>
      <c r="P59" s="16" t="s">
        <v>183</v>
      </c>
      <c r="Q59" s="16" t="s">
        <v>183</v>
      </c>
      <c r="R59" s="16"/>
      <c r="S59" s="20"/>
      <c r="T59" s="16"/>
      <c r="U59" s="16"/>
      <c r="V59" s="16"/>
      <c r="W59" s="16"/>
      <c r="X59" s="16"/>
      <c r="Y59" s="16" t="s">
        <v>238</v>
      </c>
    </row>
    <row r="60" customFormat="false" ht="15" hidden="false" customHeight="false" outlineLevel="0" collapsed="false">
      <c r="A60" s="16" t="s">
        <v>300</v>
      </c>
      <c r="B60" s="16" t="s">
        <v>289</v>
      </c>
      <c r="C60" s="16" t="s">
        <v>206</v>
      </c>
      <c r="D60" s="16" t="s">
        <v>290</v>
      </c>
      <c r="E60" s="16" t="s">
        <v>286</v>
      </c>
      <c r="F60" s="16" t="s">
        <v>210</v>
      </c>
      <c r="G60" s="16" t="s">
        <v>287</v>
      </c>
      <c r="H60" s="16" t="s">
        <v>191</v>
      </c>
      <c r="I60" s="16"/>
      <c r="J60" s="23" t="n">
        <v>70</v>
      </c>
      <c r="K60" s="23" t="n">
        <v>26.6</v>
      </c>
      <c r="L60" s="16"/>
      <c r="M60" s="16" t="n">
        <v>0</v>
      </c>
      <c r="N60" s="16"/>
      <c r="O60" s="16"/>
      <c r="P60" s="16" t="s">
        <v>183</v>
      </c>
      <c r="Q60" s="16" t="s">
        <v>183</v>
      </c>
      <c r="R60" s="16"/>
      <c r="S60" s="20"/>
      <c r="T60" s="16"/>
      <c r="U60" s="16"/>
      <c r="V60" s="16"/>
      <c r="W60" s="16"/>
      <c r="X60" s="16"/>
      <c r="Y60" s="16"/>
    </row>
    <row r="61" customFormat="false" ht="15" hidden="false" customHeight="false" outlineLevel="0" collapsed="false">
      <c r="A61" s="16" t="s">
        <v>301</v>
      </c>
      <c r="B61" s="16" t="s">
        <v>284</v>
      </c>
      <c r="C61" s="16" t="s">
        <v>209</v>
      </c>
      <c r="D61" s="16" t="s">
        <v>285</v>
      </c>
      <c r="E61" s="16" t="s">
        <v>286</v>
      </c>
      <c r="F61" s="16" t="s">
        <v>210</v>
      </c>
      <c r="G61" s="16" t="s">
        <v>287</v>
      </c>
      <c r="H61" s="16" t="s">
        <v>191</v>
      </c>
      <c r="I61" s="16"/>
      <c r="J61" s="23" t="n">
        <v>70</v>
      </c>
      <c r="K61" s="23" t="n">
        <v>26.6</v>
      </c>
      <c r="L61" s="16"/>
      <c r="M61" s="16" t="n">
        <v>0</v>
      </c>
      <c r="N61" s="16"/>
      <c r="O61" s="16"/>
      <c r="P61" s="16" t="s">
        <v>183</v>
      </c>
      <c r="Q61" s="16" t="s">
        <v>183</v>
      </c>
      <c r="R61" s="16"/>
      <c r="S61" s="20"/>
      <c r="T61" s="16" t="s">
        <v>302</v>
      </c>
      <c r="U61" s="16" t="n">
        <v>3</v>
      </c>
      <c r="V61" s="16" t="n">
        <v>250</v>
      </c>
      <c r="W61" s="16"/>
      <c r="X61" s="16"/>
      <c r="Y61" s="16" t="s">
        <v>244</v>
      </c>
    </row>
    <row r="62" customFormat="false" ht="15" hidden="false" customHeight="false" outlineLevel="0" collapsed="false">
      <c r="A62" s="16" t="s">
        <v>303</v>
      </c>
      <c r="B62" s="16" t="s">
        <v>304</v>
      </c>
      <c r="C62" s="16" t="s">
        <v>212</v>
      </c>
      <c r="D62" s="16" t="s">
        <v>290</v>
      </c>
      <c r="E62" s="16" t="s">
        <v>286</v>
      </c>
      <c r="F62" s="16" t="s">
        <v>210</v>
      </c>
      <c r="G62" s="16" t="s">
        <v>287</v>
      </c>
      <c r="H62" s="16" t="s">
        <v>191</v>
      </c>
      <c r="I62" s="16"/>
      <c r="J62" s="23" t="n">
        <v>65</v>
      </c>
      <c r="K62" s="23" t="n">
        <v>24.7</v>
      </c>
      <c r="L62" s="16" t="n">
        <v>10</v>
      </c>
      <c r="M62" s="16" t="n">
        <v>0</v>
      </c>
      <c r="N62" s="16"/>
      <c r="O62" s="16"/>
      <c r="P62" s="16" t="s">
        <v>183</v>
      </c>
      <c r="Q62" s="16" t="s">
        <v>183</v>
      </c>
      <c r="R62" s="16"/>
      <c r="S62" s="20"/>
      <c r="T62" s="16"/>
      <c r="U62" s="16"/>
      <c r="V62" s="16"/>
      <c r="W62" s="16"/>
      <c r="X62" s="16"/>
      <c r="Y62" s="16" t="s">
        <v>305</v>
      </c>
    </row>
    <row r="63" customFormat="false" ht="15" hidden="false" customHeight="false" outlineLevel="0" collapsed="false">
      <c r="A63" s="16" t="s">
        <v>306</v>
      </c>
      <c r="B63" s="16" t="s">
        <v>284</v>
      </c>
      <c r="C63" s="16" t="s">
        <v>214</v>
      </c>
      <c r="D63" s="16" t="s">
        <v>285</v>
      </c>
      <c r="E63" s="16" t="s">
        <v>286</v>
      </c>
      <c r="F63" s="16" t="s">
        <v>180</v>
      </c>
      <c r="G63" s="16" t="s">
        <v>287</v>
      </c>
      <c r="H63" s="16" t="s">
        <v>191</v>
      </c>
      <c r="I63" s="16"/>
      <c r="J63" s="23" t="n">
        <v>65</v>
      </c>
      <c r="K63" s="23" t="n">
        <v>24.7</v>
      </c>
      <c r="L63" s="16" t="n">
        <v>6</v>
      </c>
      <c r="M63" s="16" t="n">
        <v>0</v>
      </c>
      <c r="N63" s="16"/>
      <c r="O63" s="16"/>
      <c r="P63" s="16" t="s">
        <v>183</v>
      </c>
      <c r="Q63" s="16" t="s">
        <v>183</v>
      </c>
      <c r="R63" s="16"/>
      <c r="S63" s="20"/>
      <c r="T63" s="16"/>
      <c r="U63" s="16"/>
      <c r="V63" s="16"/>
      <c r="W63" s="16"/>
      <c r="X63" s="16"/>
      <c r="Y63" s="16"/>
    </row>
    <row r="64" customFormat="false" ht="15" hidden="false" customHeight="false" outlineLevel="0" collapsed="false">
      <c r="A64" s="16" t="s">
        <v>307</v>
      </c>
      <c r="B64" s="16" t="s">
        <v>304</v>
      </c>
      <c r="C64" s="16" t="s">
        <v>217</v>
      </c>
      <c r="D64" s="16" t="s">
        <v>290</v>
      </c>
      <c r="E64" s="16" t="s">
        <v>286</v>
      </c>
      <c r="F64" s="16" t="s">
        <v>180</v>
      </c>
      <c r="G64" s="16" t="s">
        <v>287</v>
      </c>
      <c r="H64" s="16" t="s">
        <v>191</v>
      </c>
      <c r="I64" s="16"/>
      <c r="J64" s="23" t="n">
        <v>65</v>
      </c>
      <c r="K64" s="23" t="n">
        <v>24.7</v>
      </c>
      <c r="L64" s="16" t="n">
        <v>3</v>
      </c>
      <c r="M64" s="16" t="n">
        <v>0</v>
      </c>
      <c r="N64" s="16"/>
      <c r="O64" s="16"/>
      <c r="P64" s="16" t="s">
        <v>183</v>
      </c>
      <c r="Q64" s="16" t="s">
        <v>183</v>
      </c>
      <c r="R64" s="16"/>
      <c r="S64" s="20"/>
      <c r="T64" s="16"/>
      <c r="U64" s="16"/>
      <c r="V64" s="16"/>
      <c r="W64" s="16"/>
      <c r="X64" s="16"/>
      <c r="Y64" s="16" t="s">
        <v>308</v>
      </c>
    </row>
    <row r="65" customFormat="false" ht="15" hidden="false" customHeight="false" outlineLevel="0" collapsed="false">
      <c r="A65" s="16" t="s">
        <v>309</v>
      </c>
      <c r="B65" s="16" t="s">
        <v>284</v>
      </c>
      <c r="C65" s="16" t="s">
        <v>219</v>
      </c>
      <c r="D65" s="16" t="s">
        <v>285</v>
      </c>
      <c r="E65" s="16" t="s">
        <v>286</v>
      </c>
      <c r="F65" s="16" t="s">
        <v>180</v>
      </c>
      <c r="G65" s="16" t="s">
        <v>287</v>
      </c>
      <c r="H65" s="16" t="s">
        <v>191</v>
      </c>
      <c r="I65" s="16"/>
      <c r="J65" s="23" t="n">
        <v>65</v>
      </c>
      <c r="K65" s="23" t="n">
        <v>24.7</v>
      </c>
      <c r="L65" s="16"/>
      <c r="M65" s="16" t="n">
        <v>0</v>
      </c>
      <c r="N65" s="16"/>
      <c r="O65" s="16"/>
      <c r="P65" s="16" t="s">
        <v>183</v>
      </c>
      <c r="Q65" s="16" t="s">
        <v>183</v>
      </c>
      <c r="R65" s="16"/>
      <c r="S65" s="20"/>
      <c r="T65" s="16"/>
      <c r="U65" s="16"/>
      <c r="V65" s="16"/>
      <c r="W65" s="16"/>
      <c r="X65" s="16"/>
      <c r="Y65" s="16"/>
    </row>
    <row r="66" customFormat="false" ht="15" hidden="false" customHeight="false" outlineLevel="0" collapsed="false">
      <c r="A66" s="16"/>
      <c r="B66" s="16"/>
      <c r="C66" s="16"/>
      <c r="D66" s="16"/>
      <c r="E66" s="16"/>
      <c r="F66" s="16"/>
      <c r="G66" s="16"/>
      <c r="H66" s="16"/>
      <c r="I66" s="16"/>
      <c r="J66" s="23"/>
      <c r="K66" s="23"/>
      <c r="L66" s="16"/>
      <c r="M66" s="16"/>
      <c r="N66" s="16"/>
      <c r="O66" s="16"/>
      <c r="P66" s="16"/>
      <c r="Q66" s="16"/>
      <c r="R66" s="16"/>
      <c r="S66" s="20"/>
      <c r="T66" s="16"/>
      <c r="U66" s="16"/>
      <c r="V66" s="16"/>
      <c r="W66" s="16"/>
      <c r="X66" s="16"/>
      <c r="Y66" s="16"/>
    </row>
    <row r="67" customFormat="false" ht="15" hidden="false" customHeight="false" outlineLevel="0" collapsed="false">
      <c r="A67" s="16"/>
      <c r="B67" s="16"/>
      <c r="C67" s="16"/>
      <c r="D67" s="16"/>
      <c r="E67" s="16"/>
      <c r="F67" s="16"/>
      <c r="G67" s="16"/>
      <c r="H67" s="16"/>
      <c r="I67" s="16"/>
      <c r="J67" s="23"/>
      <c r="K67" s="23"/>
      <c r="L67" s="16"/>
      <c r="M67" s="16"/>
      <c r="N67" s="16"/>
      <c r="O67" s="16"/>
      <c r="P67" s="16"/>
      <c r="Q67" s="16"/>
      <c r="R67" s="16"/>
      <c r="S67" s="20"/>
      <c r="T67" s="16"/>
      <c r="U67" s="16"/>
      <c r="V67" s="16"/>
      <c r="W67" s="16"/>
      <c r="X67" s="16"/>
      <c r="Y67" s="16"/>
    </row>
    <row r="68" customFormat="false" ht="15" hidden="false" customHeight="false" outlineLevel="0" collapsed="false">
      <c r="A68" s="16"/>
      <c r="B68" s="16"/>
      <c r="C68" s="16"/>
      <c r="D68" s="16"/>
      <c r="E68" s="16"/>
      <c r="F68" s="16"/>
      <c r="G68" s="16"/>
      <c r="H68" s="16"/>
      <c r="I68" s="16"/>
      <c r="J68" s="23"/>
      <c r="K68" s="23"/>
      <c r="L68" s="16"/>
      <c r="M68" s="16"/>
      <c r="N68" s="16"/>
      <c r="O68" s="16"/>
      <c r="P68" s="16"/>
      <c r="Q68" s="16"/>
      <c r="R68" s="16"/>
      <c r="S68" s="20"/>
      <c r="T68" s="16"/>
      <c r="U68" s="16"/>
      <c r="V68" s="16"/>
      <c r="W68" s="16"/>
      <c r="X68" s="16"/>
      <c r="Y68" s="16"/>
    </row>
    <row r="69" customFormat="false" ht="15" hidden="false" customHeight="false" outlineLevel="0" collapsed="false">
      <c r="A69" s="16"/>
      <c r="B69" s="16"/>
      <c r="C69" s="16"/>
      <c r="D69" s="16"/>
      <c r="E69" s="16"/>
      <c r="F69" s="16"/>
      <c r="G69" s="16"/>
      <c r="H69" s="16"/>
      <c r="I69" s="16"/>
      <c r="J69" s="23"/>
      <c r="K69" s="23"/>
      <c r="L69" s="16"/>
      <c r="M69" s="16"/>
      <c r="N69" s="16"/>
      <c r="O69" s="16"/>
      <c r="P69" s="16"/>
      <c r="Q69" s="16"/>
      <c r="R69" s="16"/>
      <c r="S69" s="20"/>
      <c r="T69" s="16"/>
      <c r="U69" s="16"/>
      <c r="V69" s="16"/>
      <c r="W69" s="16"/>
      <c r="X69" s="16"/>
      <c r="Y69" s="16"/>
    </row>
    <row r="70" customFormat="false" ht="15" hidden="false" customHeight="false" outlineLevel="0" collapsed="false">
      <c r="A70" s="16"/>
      <c r="B70" s="16"/>
      <c r="C70" s="16"/>
      <c r="D70" s="16"/>
      <c r="E70" s="16"/>
      <c r="F70" s="16"/>
      <c r="G70" s="16"/>
      <c r="H70" s="16"/>
      <c r="I70" s="16"/>
      <c r="J70" s="23"/>
      <c r="K70" s="23"/>
      <c r="L70" s="16"/>
      <c r="M70" s="16"/>
      <c r="N70" s="16"/>
      <c r="O70" s="16"/>
      <c r="P70" s="16"/>
      <c r="Q70" s="16"/>
      <c r="R70" s="16"/>
      <c r="S70" s="20"/>
      <c r="T70" s="16"/>
      <c r="U70" s="16"/>
      <c r="V70" s="16"/>
      <c r="W70" s="16"/>
      <c r="X70" s="16"/>
      <c r="Y70" s="16"/>
    </row>
    <row r="71" customFormat="false" ht="15" hidden="false" customHeight="false" outlineLevel="0" collapsed="false">
      <c r="A71" s="16"/>
      <c r="B71" s="16"/>
      <c r="C71" s="16"/>
      <c r="D71" s="16"/>
      <c r="E71" s="16"/>
      <c r="F71" s="16"/>
      <c r="G71" s="16"/>
      <c r="H71" s="16"/>
      <c r="I71" s="16"/>
      <c r="J71" s="23"/>
      <c r="K71" s="23"/>
      <c r="L71" s="16"/>
      <c r="M71" s="16"/>
      <c r="N71" s="16"/>
      <c r="O71" s="16"/>
      <c r="P71" s="16"/>
      <c r="Q71" s="16"/>
      <c r="R71" s="16"/>
      <c r="S71" s="20"/>
      <c r="T71" s="16"/>
      <c r="U71" s="16"/>
      <c r="V71" s="16"/>
      <c r="W71" s="16"/>
      <c r="X71" s="16"/>
      <c r="Y71" s="16"/>
    </row>
    <row r="72" customFormat="false" ht="15" hidden="false" customHeight="false" outlineLevel="0" collapsed="false">
      <c r="A72" s="16"/>
      <c r="B72" s="16"/>
      <c r="C72" s="16"/>
      <c r="D72" s="16"/>
      <c r="E72" s="16"/>
      <c r="F72" s="16"/>
      <c r="G72" s="16"/>
      <c r="H72" s="16"/>
      <c r="I72" s="16"/>
      <c r="J72" s="23"/>
      <c r="K72" s="23"/>
      <c r="L72" s="16"/>
      <c r="M72" s="16"/>
      <c r="N72" s="16"/>
      <c r="O72" s="16"/>
      <c r="P72" s="16"/>
      <c r="Q72" s="16"/>
      <c r="R72" s="16"/>
      <c r="S72" s="20"/>
      <c r="T72" s="16"/>
      <c r="U72" s="16"/>
      <c r="V72" s="16"/>
      <c r="W72" s="16"/>
      <c r="X72" s="16"/>
      <c r="Y72" s="16"/>
    </row>
    <row r="73" customFormat="false" ht="15" hidden="false" customHeight="false" outlineLevel="0" collapsed="false">
      <c r="A73" s="16"/>
      <c r="B73" s="16"/>
      <c r="C73" s="16"/>
      <c r="D73" s="16"/>
      <c r="E73" s="16"/>
      <c r="F73" s="16"/>
      <c r="G73" s="16"/>
      <c r="H73" s="16"/>
      <c r="I73" s="16"/>
      <c r="J73" s="23"/>
      <c r="K73" s="23"/>
      <c r="L73" s="16"/>
      <c r="M73" s="16"/>
      <c r="N73" s="16"/>
      <c r="O73" s="16"/>
      <c r="P73" s="16"/>
      <c r="Q73" s="16"/>
      <c r="R73" s="16"/>
      <c r="S73" s="20"/>
      <c r="T73" s="16"/>
      <c r="U73" s="16"/>
      <c r="V73" s="16"/>
      <c r="W73" s="16"/>
      <c r="X73" s="16"/>
      <c r="Y73" s="16"/>
    </row>
    <row r="74" customFormat="false" ht="15" hidden="false" customHeight="false" outlineLevel="0" collapsed="false">
      <c r="A74" s="16"/>
      <c r="B74" s="16"/>
      <c r="C74" s="16"/>
      <c r="D74" s="16"/>
      <c r="E74" s="16"/>
      <c r="F74" s="16"/>
      <c r="G74" s="16"/>
      <c r="H74" s="16"/>
      <c r="I74" s="16"/>
      <c r="J74" s="23"/>
      <c r="K74" s="23"/>
      <c r="L74" s="16"/>
      <c r="M74" s="16"/>
      <c r="N74" s="16"/>
      <c r="O74" s="16"/>
      <c r="P74" s="16"/>
      <c r="Q74" s="16"/>
      <c r="R74" s="16"/>
      <c r="S74" s="20"/>
      <c r="T74" s="16"/>
      <c r="U74" s="16"/>
      <c r="V74" s="16"/>
      <c r="W74" s="16"/>
      <c r="X74" s="16"/>
      <c r="Y74" s="16"/>
    </row>
    <row r="75" customFormat="false" ht="15" hidden="false" customHeight="false" outlineLevel="0" collapsed="false">
      <c r="A75" s="16"/>
      <c r="B75" s="16"/>
      <c r="C75" s="16"/>
      <c r="D75" s="16"/>
      <c r="E75" s="16"/>
      <c r="F75" s="16"/>
      <c r="G75" s="16"/>
      <c r="H75" s="16"/>
      <c r="I75" s="16"/>
      <c r="J75" s="23"/>
      <c r="K75" s="23"/>
      <c r="L75" s="16"/>
      <c r="M75" s="16"/>
      <c r="N75" s="16"/>
      <c r="O75" s="16"/>
      <c r="P75" s="16"/>
      <c r="Q75" s="16"/>
      <c r="R75" s="16"/>
      <c r="S75" s="20"/>
      <c r="T75" s="16"/>
      <c r="U75" s="16"/>
      <c r="V75" s="16"/>
      <c r="W75" s="16"/>
      <c r="X75" s="16"/>
      <c r="Y75" s="16"/>
    </row>
    <row r="76" customFormat="false" ht="15" hidden="false" customHeight="false" outlineLevel="0" collapsed="false">
      <c r="A76" s="16"/>
      <c r="B76" s="16"/>
      <c r="C76" s="16"/>
      <c r="D76" s="16"/>
      <c r="E76" s="16"/>
      <c r="F76" s="16"/>
      <c r="G76" s="16"/>
      <c r="H76" s="16"/>
      <c r="I76" s="16"/>
      <c r="J76" s="23"/>
      <c r="K76" s="23"/>
      <c r="L76" s="16"/>
      <c r="M76" s="16"/>
      <c r="N76" s="16"/>
      <c r="O76" s="16"/>
      <c r="P76" s="16"/>
      <c r="Q76" s="16"/>
      <c r="R76" s="16"/>
      <c r="S76" s="20"/>
      <c r="T76" s="16"/>
      <c r="U76" s="16"/>
      <c r="V76" s="16"/>
      <c r="W76" s="16"/>
      <c r="X76" s="16"/>
      <c r="Y76" s="16"/>
    </row>
    <row r="77" customFormat="false" ht="15" hidden="false" customHeight="false" outlineLevel="0" collapsed="false">
      <c r="A77" s="16"/>
      <c r="B77" s="16"/>
      <c r="C77" s="16"/>
      <c r="D77" s="16"/>
      <c r="E77" s="16"/>
      <c r="F77" s="16"/>
      <c r="G77" s="16"/>
      <c r="H77" s="16"/>
      <c r="I77" s="16"/>
      <c r="J77" s="23"/>
      <c r="K77" s="23"/>
      <c r="L77" s="16"/>
      <c r="M77" s="16"/>
      <c r="N77" s="16"/>
      <c r="O77" s="16"/>
      <c r="P77" s="16"/>
      <c r="Q77" s="16"/>
      <c r="R77" s="16"/>
      <c r="S77" s="20"/>
      <c r="T77" s="16"/>
      <c r="U77" s="16"/>
      <c r="V77" s="16"/>
      <c r="W77" s="16"/>
      <c r="X77" s="16"/>
      <c r="Y77" s="16"/>
    </row>
    <row r="78" customFormat="false" ht="15" hidden="false" customHeight="false" outlineLevel="0" collapsed="false">
      <c r="A78" s="16"/>
      <c r="B78" s="16"/>
      <c r="C78" s="16"/>
      <c r="D78" s="16"/>
      <c r="E78" s="16"/>
      <c r="F78" s="16"/>
      <c r="G78" s="16"/>
      <c r="H78" s="16"/>
      <c r="I78" s="16"/>
      <c r="J78" s="23"/>
      <c r="K78" s="23"/>
      <c r="L78" s="16"/>
      <c r="M78" s="16"/>
      <c r="N78" s="16"/>
      <c r="O78" s="16"/>
      <c r="P78" s="16"/>
      <c r="Q78" s="16"/>
      <c r="R78" s="16"/>
      <c r="S78" s="20"/>
      <c r="T78" s="16"/>
      <c r="U78" s="16"/>
      <c r="V78" s="16"/>
      <c r="W78" s="16"/>
      <c r="X78" s="16"/>
      <c r="Y78" s="16"/>
    </row>
    <row r="79" customFormat="false" ht="15" hidden="false" customHeight="false" outlineLevel="0" collapsed="false">
      <c r="A79" s="16"/>
      <c r="B79" s="16"/>
      <c r="C79" s="16"/>
      <c r="D79" s="16"/>
      <c r="E79" s="16"/>
      <c r="F79" s="16"/>
      <c r="G79" s="16"/>
      <c r="H79" s="16"/>
      <c r="I79" s="16"/>
      <c r="J79" s="23"/>
      <c r="K79" s="23"/>
      <c r="L79" s="16"/>
      <c r="M79" s="16"/>
      <c r="N79" s="16"/>
      <c r="O79" s="16"/>
      <c r="P79" s="16"/>
      <c r="Q79" s="16"/>
      <c r="R79" s="16"/>
      <c r="S79" s="20"/>
      <c r="T79" s="16"/>
      <c r="U79" s="16"/>
      <c r="V79" s="16"/>
      <c r="W79" s="16"/>
      <c r="X79" s="16"/>
      <c r="Y79" s="16"/>
    </row>
    <row r="80" customFormat="false" ht="15" hidden="false" customHeight="false" outlineLevel="0" collapsed="false">
      <c r="A80" s="16"/>
      <c r="B80" s="16"/>
      <c r="C80" s="16"/>
      <c r="D80" s="16"/>
      <c r="E80" s="16"/>
      <c r="F80" s="16"/>
      <c r="G80" s="16"/>
      <c r="H80" s="16"/>
      <c r="I80" s="16"/>
      <c r="J80" s="23"/>
      <c r="K80" s="23"/>
      <c r="L80" s="16"/>
      <c r="M80" s="16"/>
      <c r="N80" s="16"/>
      <c r="O80" s="16"/>
      <c r="P80" s="16"/>
      <c r="Q80" s="16"/>
      <c r="R80" s="16"/>
      <c r="S80" s="20"/>
      <c r="T80" s="16"/>
      <c r="U80" s="16"/>
      <c r="V80" s="16"/>
      <c r="W80" s="16"/>
      <c r="X80" s="16"/>
      <c r="Y80" s="16"/>
    </row>
    <row r="81" customFormat="false" ht="15" hidden="false" customHeight="false" outlineLevel="0" collapsed="false">
      <c r="A81" s="16"/>
      <c r="B81" s="16"/>
      <c r="C81" s="16"/>
      <c r="D81" s="16"/>
      <c r="E81" s="16"/>
      <c r="F81" s="16"/>
      <c r="G81" s="16"/>
      <c r="H81" s="16"/>
      <c r="I81" s="16"/>
      <c r="J81" s="23"/>
      <c r="K81" s="23"/>
      <c r="L81" s="16"/>
      <c r="M81" s="16"/>
      <c r="N81" s="16"/>
      <c r="O81" s="16"/>
      <c r="P81" s="16"/>
      <c r="Q81" s="16"/>
      <c r="R81" s="16"/>
      <c r="S81" s="20"/>
      <c r="T81" s="16"/>
      <c r="U81" s="16"/>
      <c r="V81" s="16"/>
      <c r="W81" s="16"/>
      <c r="X81" s="16"/>
      <c r="Y81" s="16"/>
    </row>
    <row r="82" customFormat="false" ht="15" hidden="false" customHeight="false" outlineLevel="0" collapsed="false">
      <c r="A82" s="16"/>
      <c r="B82" s="16"/>
      <c r="C82" s="16"/>
      <c r="D82" s="16"/>
      <c r="E82" s="16"/>
      <c r="F82" s="16"/>
      <c r="G82" s="16"/>
      <c r="H82" s="16"/>
      <c r="I82" s="16"/>
      <c r="J82" s="23"/>
      <c r="K82" s="23"/>
      <c r="L82" s="16"/>
      <c r="M82" s="16"/>
      <c r="N82" s="16"/>
      <c r="O82" s="16"/>
      <c r="P82" s="16"/>
      <c r="Q82" s="16"/>
      <c r="R82" s="16"/>
      <c r="S82" s="20"/>
      <c r="T82" s="16"/>
      <c r="U82" s="16"/>
      <c r="V82" s="16"/>
      <c r="W82" s="16"/>
      <c r="X82" s="16"/>
      <c r="Y82" s="16"/>
    </row>
    <row r="83" customFormat="false" ht="15" hidden="false" customHeight="false" outlineLevel="0" collapsed="false">
      <c r="A83" s="16"/>
      <c r="B83" s="16"/>
      <c r="C83" s="16"/>
      <c r="D83" s="16"/>
      <c r="E83" s="16"/>
      <c r="F83" s="16"/>
      <c r="G83" s="16"/>
      <c r="H83" s="16"/>
      <c r="I83" s="16"/>
      <c r="J83" s="23"/>
      <c r="K83" s="23"/>
      <c r="L83" s="16"/>
      <c r="M83" s="16"/>
      <c r="N83" s="16"/>
      <c r="O83" s="16"/>
      <c r="P83" s="16"/>
      <c r="Q83" s="16"/>
      <c r="R83" s="16"/>
      <c r="S83" s="20"/>
      <c r="T83" s="16"/>
      <c r="U83" s="16"/>
      <c r="V83" s="16"/>
      <c r="W83" s="16"/>
      <c r="X83" s="16"/>
      <c r="Y83" s="16"/>
    </row>
    <row r="84" customFormat="false" ht="15" hidden="false" customHeight="false" outlineLevel="0" collapsed="false">
      <c r="A84" s="16"/>
      <c r="B84" s="16"/>
      <c r="C84" s="16"/>
      <c r="D84" s="16"/>
      <c r="E84" s="16"/>
      <c r="F84" s="16"/>
      <c r="G84" s="16"/>
      <c r="H84" s="16"/>
      <c r="I84" s="16"/>
      <c r="J84" s="23"/>
      <c r="K84" s="23"/>
      <c r="L84" s="16"/>
      <c r="M84" s="16"/>
      <c r="N84" s="16"/>
      <c r="O84" s="16"/>
      <c r="P84" s="16"/>
      <c r="Q84" s="16"/>
      <c r="R84" s="16"/>
      <c r="S84" s="20"/>
      <c r="T84" s="16"/>
      <c r="U84" s="16"/>
      <c r="V84" s="16"/>
      <c r="W84" s="16"/>
      <c r="X84" s="16"/>
      <c r="Y84" s="16"/>
    </row>
    <row r="85" customFormat="false" ht="15" hidden="false" customHeight="false" outlineLevel="0" collapsed="false">
      <c r="A85" s="16"/>
      <c r="B85" s="16"/>
      <c r="C85" s="16"/>
      <c r="D85" s="16"/>
      <c r="E85" s="16"/>
      <c r="F85" s="16"/>
      <c r="G85" s="16"/>
      <c r="H85" s="16"/>
      <c r="I85" s="16"/>
      <c r="J85" s="23"/>
      <c r="K85" s="23"/>
      <c r="L85" s="16"/>
      <c r="M85" s="16"/>
      <c r="N85" s="16"/>
      <c r="O85" s="16"/>
      <c r="P85" s="16"/>
      <c r="Q85" s="16"/>
      <c r="R85" s="16"/>
      <c r="S85" s="20"/>
      <c r="T85" s="16"/>
      <c r="U85" s="16"/>
      <c r="V85" s="16"/>
      <c r="W85" s="16"/>
      <c r="X85" s="16"/>
      <c r="Y85" s="16"/>
    </row>
  </sheetData>
  <sheetProtection sheet="true" formatColumns="false" formatRows="false" sort="false" autoFilter="false"/>
  <dataValidations count="6">
    <dataValidation allowBlank="true" errorStyle="stop" operator="between" showDropDown="false" showErrorMessage="false" showInputMessage="false" sqref="G6:G85" type="list">
      <formula1>"Letter,Waist"</formula1>
      <formula2>0</formula2>
    </dataValidation>
    <dataValidation allowBlank="true" errorStyle="stop" operator="between" showDropDown="false" showErrorMessage="false" showInputMessage="false" sqref="H6:H85" type="list">
      <formula1>"Core,Seasonal,End of life"</formula1>
      <formula2>0</formula2>
    </dataValidation>
    <dataValidation allowBlank="true" errorStyle="stop" operator="between" showDropDown="false" showErrorMessage="false" showInputMessage="false" sqref="I6:I85 O6:O85" type="list">
      <formula1>"Y"</formula1>
      <formula2>0</formula2>
    </dataValidation>
    <dataValidation allowBlank="true" errorStyle="stop" operator="between" showDropDown="false" showErrorMessage="false" showInputMessage="false" sqref="P6:P85" type="list">
      <formula1>"Y,N"</formula1>
      <formula2>0</formula2>
    </dataValidation>
    <dataValidation allowBlank="true" errorStyle="stop" operator="between" showDropDown="false" showErrorMessage="false" showInputMessage="false" sqref="Q6:Q85" type="list">
      <formula1>"Y,N"</formula1>
      <formula2>0</formula2>
    </dataValidation>
    <dataValidation allowBlank="true" errorStyle="stop" operator="between" showDropDown="false" showErrorMessage="false" showInputMessage="false" sqref="W6:W85" type="list">
      <formula1>Settings!$A$27:$A$48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9"/>
    <col collapsed="false" customWidth="true" hidden="false" outlineLevel="0" max="3" min="3" style="0" width="6"/>
    <col collapsed="false" customWidth="true" hidden="false" outlineLevel="0" max="4" min="4" style="0" width="8"/>
    <col collapsed="false" customWidth="true" hidden="false" outlineLevel="0" max="23" min="5" style="0" width="11"/>
  </cols>
  <sheetData>
    <row r="1" customFormat="false" ht="17.35" hidden="false" customHeight="false" outlineLevel="0" collapsed="false">
      <c r="A1" s="1" t="s">
        <v>310</v>
      </c>
    </row>
    <row r="2" customFormat="false" ht="15" hidden="false" customHeight="false" outlineLevel="0" collapsed="false">
      <c r="A2" s="2" t="s">
        <v>311</v>
      </c>
    </row>
    <row r="5" customFormat="false" ht="60" hidden="false" customHeight="true" outlineLevel="0" collapsed="false">
      <c r="A5" s="15" t="s">
        <v>312</v>
      </c>
      <c r="B5" s="15" t="s">
        <v>150</v>
      </c>
      <c r="C5" s="15" t="s">
        <v>313</v>
      </c>
      <c r="D5" s="15" t="s">
        <v>314</v>
      </c>
      <c r="E5" s="15" t="s">
        <v>315</v>
      </c>
      <c r="F5" s="15" t="s">
        <v>316</v>
      </c>
      <c r="G5" s="15" t="s">
        <v>37</v>
      </c>
      <c r="H5" s="15" t="s">
        <v>317</v>
      </c>
      <c r="I5" s="15" t="s">
        <v>318</v>
      </c>
      <c r="J5" s="15" t="s">
        <v>319</v>
      </c>
      <c r="K5" s="15" t="s">
        <v>320</v>
      </c>
      <c r="L5" s="15" t="s">
        <v>321</v>
      </c>
      <c r="M5" s="15" t="s">
        <v>322</v>
      </c>
      <c r="N5" s="15" t="s">
        <v>323</v>
      </c>
      <c r="O5" s="15" t="s">
        <v>156</v>
      </c>
      <c r="P5" s="15" t="s">
        <v>157</v>
      </c>
      <c r="Q5" s="15" t="s">
        <v>159</v>
      </c>
      <c r="R5" s="15" t="s">
        <v>324</v>
      </c>
      <c r="S5" s="15" t="s">
        <v>325</v>
      </c>
      <c r="T5" s="15" t="s">
        <v>326</v>
      </c>
      <c r="U5" s="15" t="s">
        <v>327</v>
      </c>
      <c r="V5" s="15" t="s">
        <v>328</v>
      </c>
      <c r="W5" s="15" t="s">
        <v>329</v>
      </c>
    </row>
    <row r="6" customFormat="false" ht="15" hidden="false" customHeight="false" outlineLevel="0" collapsed="false">
      <c r="A6" s="16" t="s">
        <v>330</v>
      </c>
      <c r="B6" s="16" t="s">
        <v>175</v>
      </c>
      <c r="C6" s="16" t="s">
        <v>331</v>
      </c>
      <c r="D6" s="16"/>
      <c r="E6" s="16" t="n">
        <v>54</v>
      </c>
      <c r="F6" s="16" t="n">
        <v>0</v>
      </c>
      <c r="G6" s="16" t="n">
        <v>39</v>
      </c>
      <c r="H6" s="16" t="n">
        <v>0</v>
      </c>
      <c r="I6" s="16" t="n">
        <v>0</v>
      </c>
      <c r="J6" s="16" t="n">
        <v>0</v>
      </c>
      <c r="K6" s="16" t="n">
        <v>0</v>
      </c>
      <c r="L6" s="16" t="n">
        <v>15</v>
      </c>
      <c r="M6" s="16" t="n">
        <v>9</v>
      </c>
      <c r="N6" s="16" t="n">
        <v>0</v>
      </c>
      <c r="O6" s="9" t="str">
        <f aca="false">IF(B6="","",IFERROR(INDEX(Options!$G$6:$G$85,MATCH($B6,Options!$A$6:$A$85,0)),""))</f>
        <v>Letter</v>
      </c>
      <c r="P6" s="9" t="str">
        <f aca="false">IF(B6="","",IFERROR(INDEX(Options!$H$6:$H$85,MATCH($B6,Options!$A$6:$A$85,0)),""))</f>
        <v>End of life</v>
      </c>
      <c r="Q6" s="24" t="n">
        <f aca="false">IF(B6="",0,N(IFERROR(INDEX(Options!$J$6:$J$85,MATCH($B6,Options!$A$6:$A$85,0)),"")))</f>
        <v>220</v>
      </c>
      <c r="R6" s="25" t="n">
        <f aca="false">K6*Settings!$B$10+J6*Settings!$B$11+I6*Settings!$B$12+H6*Settings!$B$13</f>
        <v>0</v>
      </c>
      <c r="S6" s="25" t="n">
        <f aca="false">IFERROR(L6/Settings!$B$8,0)</f>
        <v>0.681818181818182</v>
      </c>
      <c r="T6" s="26" t="n">
        <f aca="false">IF(OR(B6="",P6="End of life"),0,W6*MIN(4,N6))</f>
        <v>0</v>
      </c>
      <c r="U6" s="27" t="n">
        <f aca="false">T6*Q6</f>
        <v>0</v>
      </c>
      <c r="V6" s="14" t="n">
        <f aca="false">IF(B6="",0,G6*N(IFERROR(INDEX(Options!$K$6:$K$85,MATCH($B6,Options!$A$6:$A$85,0)),"")))</f>
        <v>3260.4</v>
      </c>
      <c r="W6" s="26" t="n">
        <f aca="false">IF(B6="",0,IF(N6&gt;=4,S6,(H6+I6+J6+K6)/(4-N6)))</f>
        <v>0</v>
      </c>
    </row>
    <row r="7" customFormat="false" ht="15" hidden="false" customHeight="false" outlineLevel="0" collapsed="false">
      <c r="A7" s="16" t="s">
        <v>332</v>
      </c>
      <c r="B7" s="16" t="s">
        <v>175</v>
      </c>
      <c r="C7" s="16" t="s">
        <v>333</v>
      </c>
      <c r="D7" s="16" t="s">
        <v>183</v>
      </c>
      <c r="E7" s="16" t="n">
        <v>119</v>
      </c>
      <c r="F7" s="16" t="n">
        <v>0</v>
      </c>
      <c r="G7" s="16" t="n">
        <v>72</v>
      </c>
      <c r="H7" s="16" t="n">
        <v>1</v>
      </c>
      <c r="I7" s="16" t="n">
        <v>1</v>
      </c>
      <c r="J7" s="16" t="n">
        <v>1</v>
      </c>
      <c r="K7" s="16" t="n">
        <v>1</v>
      </c>
      <c r="L7" s="16" t="n">
        <v>47</v>
      </c>
      <c r="M7" s="16" t="n">
        <v>28</v>
      </c>
      <c r="N7" s="16" t="n">
        <v>0</v>
      </c>
      <c r="O7" s="9" t="str">
        <f aca="false">IF(B7="","",IFERROR(INDEX(Options!$G$6:$G$85,MATCH($B7,Options!$A$6:$A$85,0)),""))</f>
        <v>Letter</v>
      </c>
      <c r="P7" s="9" t="str">
        <f aca="false">IF(B7="","",IFERROR(INDEX(Options!$H$6:$H$85,MATCH($B7,Options!$A$6:$A$85,0)),""))</f>
        <v>End of life</v>
      </c>
      <c r="Q7" s="24" t="n">
        <f aca="false">IF(B7="",0,N(IFERROR(INDEX(Options!$J$6:$J$85,MATCH($B7,Options!$A$6:$A$85,0)),"")))</f>
        <v>220</v>
      </c>
      <c r="R7" s="25" t="n">
        <f aca="false">K7*Settings!$B$10+J7*Settings!$B$11+I7*Settings!$B$12+H7*Settings!$B$13</f>
        <v>1</v>
      </c>
      <c r="S7" s="25" t="n">
        <f aca="false">IFERROR(L7/Settings!$B$8,0)</f>
        <v>2.13636363636364</v>
      </c>
      <c r="T7" s="26" t="n">
        <f aca="false">IF(OR(B7="",P7="End of life"),0,W7*MIN(4,N7))</f>
        <v>0</v>
      </c>
      <c r="U7" s="27" t="n">
        <f aca="false">T7*Q7</f>
        <v>0</v>
      </c>
      <c r="V7" s="14" t="n">
        <f aca="false">IF(B7="",0,G7*N(IFERROR(INDEX(Options!$K$6:$K$85,MATCH($B7,Options!$A$6:$A$85,0)),"")))</f>
        <v>6019.2</v>
      </c>
      <c r="W7" s="26" t="n">
        <f aca="false">IF(B7="",0,IF(N7&gt;=4,S7,(H7+I7+J7+K7)/(4-N7)))</f>
        <v>1</v>
      </c>
    </row>
    <row r="8" customFormat="false" ht="15" hidden="false" customHeight="false" outlineLevel="0" collapsed="false">
      <c r="A8" s="16" t="s">
        <v>334</v>
      </c>
      <c r="B8" s="16" t="s">
        <v>175</v>
      </c>
      <c r="C8" s="16" t="s">
        <v>335</v>
      </c>
      <c r="D8" s="16" t="s">
        <v>183</v>
      </c>
      <c r="E8" s="16" t="n">
        <v>199</v>
      </c>
      <c r="F8" s="16" t="n">
        <v>0</v>
      </c>
      <c r="G8" s="16" t="n">
        <v>122</v>
      </c>
      <c r="H8" s="16" t="n">
        <v>2</v>
      </c>
      <c r="I8" s="16" t="n">
        <v>2</v>
      </c>
      <c r="J8" s="16" t="n">
        <v>2</v>
      </c>
      <c r="K8" s="16" t="n">
        <v>2</v>
      </c>
      <c r="L8" s="16" t="n">
        <v>77</v>
      </c>
      <c r="M8" s="16" t="n">
        <v>46</v>
      </c>
      <c r="N8" s="16" t="n">
        <v>0</v>
      </c>
      <c r="O8" s="9" t="str">
        <f aca="false">IF(B8="","",IFERROR(INDEX(Options!$G$6:$G$85,MATCH($B8,Options!$A$6:$A$85,0)),""))</f>
        <v>Letter</v>
      </c>
      <c r="P8" s="9" t="str">
        <f aca="false">IF(B8="","",IFERROR(INDEX(Options!$H$6:$H$85,MATCH($B8,Options!$A$6:$A$85,0)),""))</f>
        <v>End of life</v>
      </c>
      <c r="Q8" s="24" t="n">
        <f aca="false">IF(B8="",0,N(IFERROR(INDEX(Options!$J$6:$J$85,MATCH($B8,Options!$A$6:$A$85,0)),"")))</f>
        <v>220</v>
      </c>
      <c r="R8" s="25" t="n">
        <f aca="false">K8*Settings!$B$10+J8*Settings!$B$11+I8*Settings!$B$12+H8*Settings!$B$13</f>
        <v>2</v>
      </c>
      <c r="S8" s="25" t="n">
        <f aca="false">IFERROR(L8/Settings!$B$8,0)</f>
        <v>3.5</v>
      </c>
      <c r="T8" s="26" t="n">
        <f aca="false">IF(OR(B8="",P8="End of life"),0,W8*MIN(4,N8))</f>
        <v>0</v>
      </c>
      <c r="U8" s="27" t="n">
        <f aca="false">T8*Q8</f>
        <v>0</v>
      </c>
      <c r="V8" s="14" t="n">
        <f aca="false">IF(B8="",0,G8*N(IFERROR(INDEX(Options!$K$6:$K$85,MATCH($B8,Options!$A$6:$A$85,0)),"")))</f>
        <v>10199.2</v>
      </c>
      <c r="W8" s="26" t="n">
        <f aca="false">IF(B8="",0,IF(N8&gt;=4,S8,(H8+I8+J8+K8)/(4-N8)))</f>
        <v>2</v>
      </c>
    </row>
    <row r="9" customFormat="false" ht="15" hidden="false" customHeight="false" outlineLevel="0" collapsed="false">
      <c r="A9" s="16" t="s">
        <v>336</v>
      </c>
      <c r="B9" s="16" t="s">
        <v>175</v>
      </c>
      <c r="C9" s="16" t="s">
        <v>337</v>
      </c>
      <c r="D9" s="16" t="s">
        <v>183</v>
      </c>
      <c r="E9" s="16" t="n">
        <v>173</v>
      </c>
      <c r="F9" s="16" t="n">
        <v>0</v>
      </c>
      <c r="G9" s="16" t="n">
        <v>110</v>
      </c>
      <c r="H9" s="16" t="n">
        <v>1</v>
      </c>
      <c r="I9" s="16" t="n">
        <v>2</v>
      </c>
      <c r="J9" s="16" t="n">
        <v>1</v>
      </c>
      <c r="K9" s="16" t="n">
        <v>1</v>
      </c>
      <c r="L9" s="16" t="n">
        <v>63</v>
      </c>
      <c r="M9" s="16" t="n">
        <v>38</v>
      </c>
      <c r="N9" s="16" t="n">
        <v>0</v>
      </c>
      <c r="O9" s="9" t="str">
        <f aca="false">IF(B9="","",IFERROR(INDEX(Options!$G$6:$G$85,MATCH($B9,Options!$A$6:$A$85,0)),""))</f>
        <v>Letter</v>
      </c>
      <c r="P9" s="9" t="str">
        <f aca="false">IF(B9="","",IFERROR(INDEX(Options!$H$6:$H$85,MATCH($B9,Options!$A$6:$A$85,0)),""))</f>
        <v>End of life</v>
      </c>
      <c r="Q9" s="24" t="n">
        <f aca="false">IF(B9="",0,N(IFERROR(INDEX(Options!$J$6:$J$85,MATCH($B9,Options!$A$6:$A$85,0)),"")))</f>
        <v>220</v>
      </c>
      <c r="R9" s="25" t="n">
        <f aca="false">K9*Settings!$B$10+J9*Settings!$B$11+I9*Settings!$B$12+H9*Settings!$B$13</f>
        <v>1.2</v>
      </c>
      <c r="S9" s="25" t="n">
        <f aca="false">IFERROR(L9/Settings!$B$8,0)</f>
        <v>2.86363636363636</v>
      </c>
      <c r="T9" s="26" t="n">
        <f aca="false">IF(OR(B9="",P9="End of life"),0,W9*MIN(4,N9))</f>
        <v>0</v>
      </c>
      <c r="U9" s="27" t="n">
        <f aca="false">T9*Q9</f>
        <v>0</v>
      </c>
      <c r="V9" s="14" t="n">
        <f aca="false">IF(B9="",0,G9*N(IFERROR(INDEX(Options!$K$6:$K$85,MATCH($B9,Options!$A$6:$A$85,0)),"")))</f>
        <v>9196</v>
      </c>
      <c r="W9" s="26" t="n">
        <f aca="false">IF(B9="",0,IF(N9&gt;=4,S9,(H9+I9+J9+K9)/(4-N9)))</f>
        <v>1.25</v>
      </c>
    </row>
    <row r="10" customFormat="false" ht="15" hidden="false" customHeight="false" outlineLevel="0" collapsed="false">
      <c r="A10" s="16" t="s">
        <v>338</v>
      </c>
      <c r="B10" s="16" t="s">
        <v>175</v>
      </c>
      <c r="C10" s="16" t="s">
        <v>339</v>
      </c>
      <c r="D10" s="16"/>
      <c r="E10" s="16" t="n">
        <v>93</v>
      </c>
      <c r="F10" s="16" t="n">
        <v>0</v>
      </c>
      <c r="G10" s="16" t="n">
        <v>61</v>
      </c>
      <c r="H10" s="16" t="n">
        <v>1</v>
      </c>
      <c r="I10" s="16" t="n">
        <v>1</v>
      </c>
      <c r="J10" s="16" t="n">
        <v>1</v>
      </c>
      <c r="K10" s="16" t="n">
        <v>1</v>
      </c>
      <c r="L10" s="16" t="n">
        <v>32</v>
      </c>
      <c r="M10" s="16" t="n">
        <v>19</v>
      </c>
      <c r="N10" s="16" t="n">
        <v>0</v>
      </c>
      <c r="O10" s="9" t="str">
        <f aca="false">IF(B10="","",IFERROR(INDEX(Options!$G$6:$G$85,MATCH($B10,Options!$A$6:$A$85,0)),""))</f>
        <v>Letter</v>
      </c>
      <c r="P10" s="9" t="str">
        <f aca="false">IF(B10="","",IFERROR(INDEX(Options!$H$6:$H$85,MATCH($B10,Options!$A$6:$A$85,0)),""))</f>
        <v>End of life</v>
      </c>
      <c r="Q10" s="24" t="n">
        <f aca="false">IF(B10="",0,N(IFERROR(INDEX(Options!$J$6:$J$85,MATCH($B10,Options!$A$6:$A$85,0)),"")))</f>
        <v>220</v>
      </c>
      <c r="R10" s="25" t="n">
        <f aca="false">K10*Settings!$B$10+J10*Settings!$B$11+I10*Settings!$B$12+H10*Settings!$B$13</f>
        <v>1</v>
      </c>
      <c r="S10" s="25" t="n">
        <f aca="false">IFERROR(L10/Settings!$B$8,0)</f>
        <v>1.45454545454545</v>
      </c>
      <c r="T10" s="26" t="n">
        <f aca="false">IF(OR(B10="",P10="End of life"),0,W10*MIN(4,N10))</f>
        <v>0</v>
      </c>
      <c r="U10" s="27" t="n">
        <f aca="false">T10*Q10</f>
        <v>0</v>
      </c>
      <c r="V10" s="14" t="n">
        <f aca="false">IF(B10="",0,G10*N(IFERROR(INDEX(Options!$K$6:$K$85,MATCH($B10,Options!$A$6:$A$85,0)),"")))</f>
        <v>5099.6</v>
      </c>
      <c r="W10" s="26" t="n">
        <f aca="false">IF(B10="",0,IF(N10&gt;=4,S10,(H10+I10+J10+K10)/(4-N10)))</f>
        <v>1</v>
      </c>
    </row>
    <row r="11" customFormat="false" ht="15" hidden="false" customHeight="false" outlineLevel="0" collapsed="false">
      <c r="A11" s="16" t="s">
        <v>340</v>
      </c>
      <c r="B11" s="16" t="s">
        <v>175</v>
      </c>
      <c r="C11" s="16" t="s">
        <v>341</v>
      </c>
      <c r="D11" s="16"/>
      <c r="E11" s="16" t="n">
        <v>54</v>
      </c>
      <c r="F11" s="16" t="n">
        <v>0</v>
      </c>
      <c r="G11" s="16" t="n">
        <v>40</v>
      </c>
      <c r="H11" s="16" t="n">
        <v>0</v>
      </c>
      <c r="I11" s="16" t="n">
        <v>0</v>
      </c>
      <c r="J11" s="16" t="n">
        <v>0</v>
      </c>
      <c r="K11" s="16" t="n">
        <v>0</v>
      </c>
      <c r="L11" s="16" t="n">
        <v>14</v>
      </c>
      <c r="M11" s="16" t="n">
        <v>8</v>
      </c>
      <c r="N11" s="16" t="n">
        <v>0</v>
      </c>
      <c r="O11" s="9" t="str">
        <f aca="false">IF(B11="","",IFERROR(INDEX(Options!$G$6:$G$85,MATCH($B11,Options!$A$6:$A$85,0)),""))</f>
        <v>Letter</v>
      </c>
      <c r="P11" s="9" t="str">
        <f aca="false">IF(B11="","",IFERROR(INDEX(Options!$H$6:$H$85,MATCH($B11,Options!$A$6:$A$85,0)),""))</f>
        <v>End of life</v>
      </c>
      <c r="Q11" s="24" t="n">
        <f aca="false">IF(B11="",0,N(IFERROR(INDEX(Options!$J$6:$J$85,MATCH($B11,Options!$A$6:$A$85,0)),"")))</f>
        <v>220</v>
      </c>
      <c r="R11" s="25" t="n">
        <f aca="false">K11*Settings!$B$10+J11*Settings!$B$11+I11*Settings!$B$12+H11*Settings!$B$13</f>
        <v>0</v>
      </c>
      <c r="S11" s="25" t="n">
        <f aca="false">IFERROR(L11/Settings!$B$8,0)</f>
        <v>0.636363636363636</v>
      </c>
      <c r="T11" s="26" t="n">
        <f aca="false">IF(OR(B11="",P11="End of life"),0,W11*MIN(4,N11))</f>
        <v>0</v>
      </c>
      <c r="U11" s="27" t="n">
        <f aca="false">T11*Q11</f>
        <v>0</v>
      </c>
      <c r="V11" s="14" t="n">
        <f aca="false">IF(B11="",0,G11*N(IFERROR(INDEX(Options!$K$6:$K$85,MATCH($B11,Options!$A$6:$A$85,0)),"")))</f>
        <v>3344</v>
      </c>
      <c r="W11" s="26" t="n">
        <f aca="false">IF(B11="",0,IF(N11&gt;=4,S11,(H11+I11+J11+K11)/(4-N11)))</f>
        <v>0</v>
      </c>
    </row>
    <row r="12" customFormat="false" ht="15" hidden="false" customHeight="false" outlineLevel="0" collapsed="false">
      <c r="A12" s="16" t="s">
        <v>342</v>
      </c>
      <c r="B12" s="16" t="s">
        <v>185</v>
      </c>
      <c r="C12" s="16" t="s">
        <v>331</v>
      </c>
      <c r="D12" s="16"/>
      <c r="E12" s="16" t="n">
        <v>73</v>
      </c>
      <c r="F12" s="16" t="n">
        <v>0</v>
      </c>
      <c r="G12" s="16" t="n">
        <v>49</v>
      </c>
      <c r="H12" s="16" t="n">
        <v>1</v>
      </c>
      <c r="I12" s="16" t="n">
        <v>0</v>
      </c>
      <c r="J12" s="16" t="n">
        <v>1</v>
      </c>
      <c r="K12" s="16" t="n">
        <v>1</v>
      </c>
      <c r="L12" s="16" t="n">
        <v>24</v>
      </c>
      <c r="M12" s="16" t="n">
        <v>14</v>
      </c>
      <c r="N12" s="16" t="n">
        <v>0</v>
      </c>
      <c r="O12" s="9" t="str">
        <f aca="false">IF(B12="","",IFERROR(INDEX(Options!$G$6:$G$85,MATCH($B12,Options!$A$6:$A$85,0)),""))</f>
        <v>Letter</v>
      </c>
      <c r="P12" s="9" t="str">
        <f aca="false">IF(B12="","",IFERROR(INDEX(Options!$H$6:$H$85,MATCH($B12,Options!$A$6:$A$85,0)),""))</f>
        <v>End of life</v>
      </c>
      <c r="Q12" s="24" t="n">
        <f aca="false">IF(B12="",0,N(IFERROR(INDEX(Options!$J$6:$J$85,MATCH($B12,Options!$A$6:$A$85,0)),"")))</f>
        <v>180</v>
      </c>
      <c r="R12" s="25" t="n">
        <f aca="false">K12*Settings!$B$10+J12*Settings!$B$11+I12*Settings!$B$12+H12*Settings!$B$13</f>
        <v>0.8</v>
      </c>
      <c r="S12" s="25" t="n">
        <f aca="false">IFERROR(L12/Settings!$B$8,0)</f>
        <v>1.09090909090909</v>
      </c>
      <c r="T12" s="26" t="n">
        <f aca="false">IF(OR(B12="",P12="End of life"),0,W12*MIN(4,N12))</f>
        <v>0</v>
      </c>
      <c r="U12" s="27" t="n">
        <f aca="false">T12*Q12</f>
        <v>0</v>
      </c>
      <c r="V12" s="14" t="n">
        <f aca="false">IF(B12="",0,G12*N(IFERROR(INDEX(Options!$K$6:$K$85,MATCH($B12,Options!$A$6:$A$85,0)),"")))</f>
        <v>3351.6</v>
      </c>
      <c r="W12" s="26" t="n">
        <f aca="false">IF(B12="",0,IF(N12&gt;=4,S12,(H12+I12+J12+K12)/(4-N12)))</f>
        <v>0.75</v>
      </c>
    </row>
    <row r="13" customFormat="false" ht="15" hidden="false" customHeight="false" outlineLevel="0" collapsed="false">
      <c r="A13" s="16" t="s">
        <v>343</v>
      </c>
      <c r="B13" s="16" t="s">
        <v>185</v>
      </c>
      <c r="C13" s="16" t="s">
        <v>333</v>
      </c>
      <c r="D13" s="16" t="s">
        <v>183</v>
      </c>
      <c r="E13" s="16" t="n">
        <v>161</v>
      </c>
      <c r="F13" s="16" t="n">
        <v>0</v>
      </c>
      <c r="G13" s="16" t="n">
        <v>89</v>
      </c>
      <c r="H13" s="16" t="n">
        <v>2</v>
      </c>
      <c r="I13" s="16" t="n">
        <v>2</v>
      </c>
      <c r="J13" s="16" t="n">
        <v>2</v>
      </c>
      <c r="K13" s="16" t="n">
        <v>2</v>
      </c>
      <c r="L13" s="16" t="n">
        <v>72</v>
      </c>
      <c r="M13" s="16" t="n">
        <v>43</v>
      </c>
      <c r="N13" s="16" t="n">
        <v>0</v>
      </c>
      <c r="O13" s="9" t="str">
        <f aca="false">IF(B13="","",IFERROR(INDEX(Options!$G$6:$G$85,MATCH($B13,Options!$A$6:$A$85,0)),""))</f>
        <v>Letter</v>
      </c>
      <c r="P13" s="9" t="str">
        <f aca="false">IF(B13="","",IFERROR(INDEX(Options!$H$6:$H$85,MATCH($B13,Options!$A$6:$A$85,0)),""))</f>
        <v>End of life</v>
      </c>
      <c r="Q13" s="24" t="n">
        <f aca="false">IF(B13="",0,N(IFERROR(INDEX(Options!$J$6:$J$85,MATCH($B13,Options!$A$6:$A$85,0)),"")))</f>
        <v>180</v>
      </c>
      <c r="R13" s="25" t="n">
        <f aca="false">K13*Settings!$B$10+J13*Settings!$B$11+I13*Settings!$B$12+H13*Settings!$B$13</f>
        <v>2</v>
      </c>
      <c r="S13" s="25" t="n">
        <f aca="false">IFERROR(L13/Settings!$B$8,0)</f>
        <v>3.27272727272727</v>
      </c>
      <c r="T13" s="26" t="n">
        <f aca="false">IF(OR(B13="",P13="End of life"),0,W13*MIN(4,N13))</f>
        <v>0</v>
      </c>
      <c r="U13" s="27" t="n">
        <f aca="false">T13*Q13</f>
        <v>0</v>
      </c>
      <c r="V13" s="14" t="n">
        <f aca="false">IF(B13="",0,G13*N(IFERROR(INDEX(Options!$K$6:$K$85,MATCH($B13,Options!$A$6:$A$85,0)),"")))</f>
        <v>6087.6</v>
      </c>
      <c r="W13" s="26" t="n">
        <f aca="false">IF(B13="",0,IF(N13&gt;=4,S13,(H13+I13+J13+K13)/(4-N13)))</f>
        <v>2</v>
      </c>
    </row>
    <row r="14" customFormat="false" ht="15" hidden="false" customHeight="false" outlineLevel="0" collapsed="false">
      <c r="A14" s="16" t="s">
        <v>344</v>
      </c>
      <c r="B14" s="16" t="s">
        <v>185</v>
      </c>
      <c r="C14" s="16" t="s">
        <v>335</v>
      </c>
      <c r="D14" s="16" t="s">
        <v>183</v>
      </c>
      <c r="E14" s="16" t="n">
        <v>269</v>
      </c>
      <c r="F14" s="16" t="n">
        <v>0</v>
      </c>
      <c r="G14" s="16" t="n">
        <v>148</v>
      </c>
      <c r="H14" s="16" t="n">
        <v>2</v>
      </c>
      <c r="I14" s="16" t="n">
        <v>3</v>
      </c>
      <c r="J14" s="16" t="n">
        <v>3</v>
      </c>
      <c r="K14" s="16" t="n">
        <v>3</v>
      </c>
      <c r="L14" s="16" t="n">
        <v>121</v>
      </c>
      <c r="M14" s="16" t="n">
        <v>73</v>
      </c>
      <c r="N14" s="16" t="n">
        <v>0</v>
      </c>
      <c r="O14" s="9" t="str">
        <f aca="false">IF(B14="","",IFERROR(INDEX(Options!$G$6:$G$85,MATCH($B14,Options!$A$6:$A$85,0)),""))</f>
        <v>Letter</v>
      </c>
      <c r="P14" s="9" t="str">
        <f aca="false">IF(B14="","",IFERROR(INDEX(Options!$H$6:$H$85,MATCH($B14,Options!$A$6:$A$85,0)),""))</f>
        <v>End of life</v>
      </c>
      <c r="Q14" s="24" t="n">
        <f aca="false">IF(B14="",0,N(IFERROR(INDEX(Options!$J$6:$J$85,MATCH($B14,Options!$A$6:$A$85,0)),"")))</f>
        <v>180</v>
      </c>
      <c r="R14" s="25" t="n">
        <f aca="false">K14*Settings!$B$10+J14*Settings!$B$11+I14*Settings!$B$12+H14*Settings!$B$13</f>
        <v>2.9</v>
      </c>
      <c r="S14" s="25" t="n">
        <f aca="false">IFERROR(L14/Settings!$B$8,0)</f>
        <v>5.5</v>
      </c>
      <c r="T14" s="26" t="n">
        <f aca="false">IF(OR(B14="",P14="End of life"),0,W14*MIN(4,N14))</f>
        <v>0</v>
      </c>
      <c r="U14" s="27" t="n">
        <f aca="false">T14*Q14</f>
        <v>0</v>
      </c>
      <c r="V14" s="14" t="n">
        <f aca="false">IF(B14="",0,G14*N(IFERROR(INDEX(Options!$K$6:$K$85,MATCH($B14,Options!$A$6:$A$85,0)),"")))</f>
        <v>10123.2</v>
      </c>
      <c r="W14" s="26" t="n">
        <f aca="false">IF(B14="",0,IF(N14&gt;=4,S14,(H14+I14+J14+K14)/(4-N14)))</f>
        <v>2.75</v>
      </c>
    </row>
    <row r="15" customFormat="false" ht="15" hidden="false" customHeight="false" outlineLevel="0" collapsed="false">
      <c r="A15" s="16" t="s">
        <v>345</v>
      </c>
      <c r="B15" s="16" t="s">
        <v>185</v>
      </c>
      <c r="C15" s="16" t="s">
        <v>337</v>
      </c>
      <c r="D15" s="16" t="s">
        <v>183</v>
      </c>
      <c r="E15" s="16" t="n">
        <v>233</v>
      </c>
      <c r="F15" s="16" t="n">
        <v>0</v>
      </c>
      <c r="G15" s="16" t="n">
        <v>118</v>
      </c>
      <c r="H15" s="16" t="n">
        <v>3</v>
      </c>
      <c r="I15" s="16" t="n">
        <v>3</v>
      </c>
      <c r="J15" s="16" t="n">
        <v>2</v>
      </c>
      <c r="K15" s="16" t="n">
        <v>3</v>
      </c>
      <c r="L15" s="16" t="n">
        <v>115</v>
      </c>
      <c r="M15" s="16" t="n">
        <v>69</v>
      </c>
      <c r="N15" s="16" t="n">
        <v>0</v>
      </c>
      <c r="O15" s="9" t="str">
        <f aca="false">IF(B15="","",IFERROR(INDEX(Options!$G$6:$G$85,MATCH($B15,Options!$A$6:$A$85,0)),""))</f>
        <v>Letter</v>
      </c>
      <c r="P15" s="9" t="str">
        <f aca="false">IF(B15="","",IFERROR(INDEX(Options!$H$6:$H$85,MATCH($B15,Options!$A$6:$A$85,0)),""))</f>
        <v>End of life</v>
      </c>
      <c r="Q15" s="24" t="n">
        <f aca="false">IF(B15="",0,N(IFERROR(INDEX(Options!$J$6:$J$85,MATCH($B15,Options!$A$6:$A$85,0)),"")))</f>
        <v>180</v>
      </c>
      <c r="R15" s="25" t="n">
        <f aca="false">K15*Settings!$B$10+J15*Settings!$B$11+I15*Settings!$B$12+H15*Settings!$B$13</f>
        <v>2.7</v>
      </c>
      <c r="S15" s="25" t="n">
        <f aca="false">IFERROR(L15/Settings!$B$8,0)</f>
        <v>5.22727272727273</v>
      </c>
      <c r="T15" s="26" t="n">
        <f aca="false">IF(OR(B15="",P15="End of life"),0,W15*MIN(4,N15))</f>
        <v>0</v>
      </c>
      <c r="U15" s="27" t="n">
        <f aca="false">T15*Q15</f>
        <v>0</v>
      </c>
      <c r="V15" s="14" t="n">
        <f aca="false">IF(B15="",0,G15*N(IFERROR(INDEX(Options!$K$6:$K$85,MATCH($B15,Options!$A$6:$A$85,0)),"")))</f>
        <v>8071.2</v>
      </c>
      <c r="W15" s="26" t="n">
        <f aca="false">IF(B15="",0,IF(N15&gt;=4,S15,(H15+I15+J15+K15)/(4-N15)))</f>
        <v>2.75</v>
      </c>
    </row>
    <row r="16" customFormat="false" ht="15" hidden="false" customHeight="false" outlineLevel="0" collapsed="false">
      <c r="A16" s="16" t="s">
        <v>346</v>
      </c>
      <c r="B16" s="16" t="s">
        <v>185</v>
      </c>
      <c r="C16" s="16" t="s">
        <v>339</v>
      </c>
      <c r="D16" s="16"/>
      <c r="E16" s="16" t="n">
        <v>126</v>
      </c>
      <c r="F16" s="16" t="n">
        <v>0</v>
      </c>
      <c r="G16" s="16" t="n">
        <v>64</v>
      </c>
      <c r="H16" s="16" t="n">
        <v>1</v>
      </c>
      <c r="I16" s="16" t="n">
        <v>2</v>
      </c>
      <c r="J16" s="16" t="n">
        <v>1</v>
      </c>
      <c r="K16" s="16" t="n">
        <v>2</v>
      </c>
      <c r="L16" s="16" t="n">
        <v>62</v>
      </c>
      <c r="M16" s="16" t="n">
        <v>37</v>
      </c>
      <c r="N16" s="16" t="n">
        <v>0</v>
      </c>
      <c r="O16" s="9" t="str">
        <f aca="false">IF(B16="","",IFERROR(INDEX(Options!$G$6:$G$85,MATCH($B16,Options!$A$6:$A$85,0)),""))</f>
        <v>Letter</v>
      </c>
      <c r="P16" s="9" t="str">
        <f aca="false">IF(B16="","",IFERROR(INDEX(Options!$H$6:$H$85,MATCH($B16,Options!$A$6:$A$85,0)),""))</f>
        <v>End of life</v>
      </c>
      <c r="Q16" s="24" t="n">
        <f aca="false">IF(B16="",0,N(IFERROR(INDEX(Options!$J$6:$J$85,MATCH($B16,Options!$A$6:$A$85,0)),"")))</f>
        <v>180</v>
      </c>
      <c r="R16" s="25" t="n">
        <f aca="false">K16*Settings!$B$10+J16*Settings!$B$11+I16*Settings!$B$12+H16*Settings!$B$13</f>
        <v>1.6</v>
      </c>
      <c r="S16" s="25" t="n">
        <f aca="false">IFERROR(L16/Settings!$B$8,0)</f>
        <v>2.81818181818182</v>
      </c>
      <c r="T16" s="26" t="n">
        <f aca="false">IF(OR(B16="",P16="End of life"),0,W16*MIN(4,N16))</f>
        <v>0</v>
      </c>
      <c r="U16" s="27" t="n">
        <f aca="false">T16*Q16</f>
        <v>0</v>
      </c>
      <c r="V16" s="14" t="n">
        <f aca="false">IF(B16="",0,G16*N(IFERROR(INDEX(Options!$K$6:$K$85,MATCH($B16,Options!$A$6:$A$85,0)),"")))</f>
        <v>4377.6</v>
      </c>
      <c r="W16" s="26" t="n">
        <f aca="false">IF(B16="",0,IF(N16&gt;=4,S16,(H16+I16+J16+K16)/(4-N16)))</f>
        <v>1.5</v>
      </c>
    </row>
    <row r="17" customFormat="false" ht="15" hidden="false" customHeight="false" outlineLevel="0" collapsed="false">
      <c r="A17" s="16" t="s">
        <v>347</v>
      </c>
      <c r="B17" s="16" t="s">
        <v>185</v>
      </c>
      <c r="C17" s="16" t="s">
        <v>341</v>
      </c>
      <c r="D17" s="16"/>
      <c r="E17" s="16" t="n">
        <v>73</v>
      </c>
      <c r="F17" s="16" t="n">
        <v>0</v>
      </c>
      <c r="G17" s="16" t="n">
        <v>48</v>
      </c>
      <c r="H17" s="16" t="n">
        <v>1</v>
      </c>
      <c r="I17" s="16" t="n">
        <v>1</v>
      </c>
      <c r="J17" s="16" t="n">
        <v>1</v>
      </c>
      <c r="K17" s="16" t="n">
        <v>1</v>
      </c>
      <c r="L17" s="16" t="n">
        <v>25</v>
      </c>
      <c r="M17" s="16" t="n">
        <v>15</v>
      </c>
      <c r="N17" s="16" t="n">
        <v>0</v>
      </c>
      <c r="O17" s="9" t="str">
        <f aca="false">IF(B17="","",IFERROR(INDEX(Options!$G$6:$G$85,MATCH($B17,Options!$A$6:$A$85,0)),""))</f>
        <v>Letter</v>
      </c>
      <c r="P17" s="9" t="str">
        <f aca="false">IF(B17="","",IFERROR(INDEX(Options!$H$6:$H$85,MATCH($B17,Options!$A$6:$A$85,0)),""))</f>
        <v>End of life</v>
      </c>
      <c r="Q17" s="24" t="n">
        <f aca="false">IF(B17="",0,N(IFERROR(INDEX(Options!$J$6:$J$85,MATCH($B17,Options!$A$6:$A$85,0)),"")))</f>
        <v>180</v>
      </c>
      <c r="R17" s="25" t="n">
        <f aca="false">K17*Settings!$B$10+J17*Settings!$B$11+I17*Settings!$B$12+H17*Settings!$B$13</f>
        <v>1</v>
      </c>
      <c r="S17" s="25" t="n">
        <f aca="false">IFERROR(L17/Settings!$B$8,0)</f>
        <v>1.13636363636364</v>
      </c>
      <c r="T17" s="26" t="n">
        <f aca="false">IF(OR(B17="",P17="End of life"),0,W17*MIN(4,N17))</f>
        <v>0</v>
      </c>
      <c r="U17" s="27" t="n">
        <f aca="false">T17*Q17</f>
        <v>0</v>
      </c>
      <c r="V17" s="14" t="n">
        <f aca="false">IF(B17="",0,G17*N(IFERROR(INDEX(Options!$K$6:$K$85,MATCH($B17,Options!$A$6:$A$85,0)),"")))</f>
        <v>3283.2</v>
      </c>
      <c r="W17" s="26" t="n">
        <f aca="false">IF(B17="",0,IF(N17&gt;=4,S17,(H17+I17+J17+K17)/(4-N17)))</f>
        <v>1</v>
      </c>
    </row>
    <row r="18" customFormat="false" ht="15" hidden="false" customHeight="false" outlineLevel="0" collapsed="false">
      <c r="A18" s="16" t="s">
        <v>348</v>
      </c>
      <c r="B18" s="16" t="s">
        <v>189</v>
      </c>
      <c r="C18" s="16" t="s">
        <v>331</v>
      </c>
      <c r="D18" s="16"/>
      <c r="E18" s="16" t="n">
        <v>69</v>
      </c>
      <c r="F18" s="16" t="n">
        <v>0</v>
      </c>
      <c r="G18" s="16" t="n">
        <v>31</v>
      </c>
      <c r="H18" s="16" t="n">
        <v>2</v>
      </c>
      <c r="I18" s="16" t="n">
        <v>2</v>
      </c>
      <c r="J18" s="16" t="n">
        <v>2</v>
      </c>
      <c r="K18" s="16" t="n">
        <v>2</v>
      </c>
      <c r="L18" s="16" t="n">
        <v>38</v>
      </c>
      <c r="M18" s="16" t="n">
        <v>33</v>
      </c>
      <c r="N18" s="16" t="n">
        <v>0</v>
      </c>
      <c r="O18" s="9" t="str">
        <f aca="false">IF(B18="","",IFERROR(INDEX(Options!$G$6:$G$85,MATCH($B18,Options!$A$6:$A$85,0)),""))</f>
        <v>Letter</v>
      </c>
      <c r="P18" s="9" t="str">
        <f aca="false">IF(B18="","",IFERROR(INDEX(Options!$H$6:$H$85,MATCH($B18,Options!$A$6:$A$85,0)),""))</f>
        <v>Seasonal</v>
      </c>
      <c r="Q18" s="24" t="n">
        <f aca="false">IF(B18="",0,N(IFERROR(INDEX(Options!$J$6:$J$85,MATCH($B18,Options!$A$6:$A$85,0)),"")))</f>
        <v>180</v>
      </c>
      <c r="R18" s="25" t="n">
        <f aca="false">K18*Settings!$B$10+J18*Settings!$B$11+I18*Settings!$B$12+H18*Settings!$B$13</f>
        <v>2</v>
      </c>
      <c r="S18" s="25" t="n">
        <f aca="false">IFERROR(L18/Settings!$B$8,0)</f>
        <v>1.72727272727273</v>
      </c>
      <c r="T18" s="26" t="n">
        <f aca="false">IF(OR(B18="",P18="End of life"),0,W18*MIN(4,N18))</f>
        <v>0</v>
      </c>
      <c r="U18" s="27" t="n">
        <f aca="false">T18*Q18</f>
        <v>0</v>
      </c>
      <c r="V18" s="14" t="n">
        <f aca="false">IF(B18="",0,G18*N(IFERROR(INDEX(Options!$K$6:$K$85,MATCH($B18,Options!$A$6:$A$85,0)),"")))</f>
        <v>2120.4</v>
      </c>
      <c r="W18" s="26" t="n">
        <f aca="false">IF(B18="",0,IF(N18&gt;=4,S18,(H18+I18+J18+K18)/(4-N18)))</f>
        <v>2</v>
      </c>
    </row>
    <row r="19" customFormat="false" ht="15" hidden="false" customHeight="false" outlineLevel="0" collapsed="false">
      <c r="A19" s="16" t="s">
        <v>349</v>
      </c>
      <c r="B19" s="16" t="s">
        <v>189</v>
      </c>
      <c r="C19" s="16" t="s">
        <v>333</v>
      </c>
      <c r="D19" s="16" t="s">
        <v>183</v>
      </c>
      <c r="E19" s="16" t="n">
        <v>154</v>
      </c>
      <c r="F19" s="16" t="n">
        <v>0</v>
      </c>
      <c r="G19" s="16" t="n">
        <v>25</v>
      </c>
      <c r="H19" s="16" t="n">
        <v>6</v>
      </c>
      <c r="I19" s="16" t="n">
        <v>6</v>
      </c>
      <c r="J19" s="16" t="n">
        <v>7</v>
      </c>
      <c r="K19" s="16" t="n">
        <v>6</v>
      </c>
      <c r="L19" s="16" t="n">
        <v>129</v>
      </c>
      <c r="M19" s="16" t="n">
        <v>114</v>
      </c>
      <c r="N19" s="16" t="n">
        <v>0</v>
      </c>
      <c r="O19" s="9" t="str">
        <f aca="false">IF(B19="","",IFERROR(INDEX(Options!$G$6:$G$85,MATCH($B19,Options!$A$6:$A$85,0)),""))</f>
        <v>Letter</v>
      </c>
      <c r="P19" s="9" t="str">
        <f aca="false">IF(B19="","",IFERROR(INDEX(Options!$H$6:$H$85,MATCH($B19,Options!$A$6:$A$85,0)),""))</f>
        <v>Seasonal</v>
      </c>
      <c r="Q19" s="24" t="n">
        <f aca="false">IF(B19="",0,N(IFERROR(INDEX(Options!$J$6:$J$85,MATCH($B19,Options!$A$6:$A$85,0)),"")))</f>
        <v>180</v>
      </c>
      <c r="R19" s="25" t="n">
        <f aca="false">K19*Settings!$B$10+J19*Settings!$B$11+I19*Settings!$B$12+H19*Settings!$B$13</f>
        <v>6.3</v>
      </c>
      <c r="S19" s="25" t="n">
        <f aca="false">IFERROR(L19/Settings!$B$8,0)</f>
        <v>5.86363636363636</v>
      </c>
      <c r="T19" s="26" t="n">
        <f aca="false">IF(OR(B19="",P19="End of life"),0,W19*MIN(4,N19))</f>
        <v>0</v>
      </c>
      <c r="U19" s="27" t="n">
        <f aca="false">T19*Q19</f>
        <v>0</v>
      </c>
      <c r="V19" s="14" t="n">
        <f aca="false">IF(B19="",0,G19*N(IFERROR(INDEX(Options!$K$6:$K$85,MATCH($B19,Options!$A$6:$A$85,0)),"")))</f>
        <v>1710</v>
      </c>
      <c r="W19" s="26" t="n">
        <f aca="false">IF(B19="",0,IF(N19&gt;=4,S19,(H19+I19+J19+K19)/(4-N19)))</f>
        <v>6.25</v>
      </c>
    </row>
    <row r="20" customFormat="false" ht="15" hidden="false" customHeight="false" outlineLevel="0" collapsed="false">
      <c r="A20" s="16" t="s">
        <v>350</v>
      </c>
      <c r="B20" s="16" t="s">
        <v>189</v>
      </c>
      <c r="C20" s="16" t="s">
        <v>335</v>
      </c>
      <c r="D20" s="16" t="s">
        <v>183</v>
      </c>
      <c r="E20" s="16" t="n">
        <v>257</v>
      </c>
      <c r="F20" s="16" t="n">
        <v>0</v>
      </c>
      <c r="G20" s="16" t="n">
        <v>64</v>
      </c>
      <c r="H20" s="16" t="n">
        <v>7</v>
      </c>
      <c r="I20" s="16" t="n">
        <v>11</v>
      </c>
      <c r="J20" s="16" t="n">
        <v>10</v>
      </c>
      <c r="K20" s="16" t="n">
        <v>10</v>
      </c>
      <c r="L20" s="16" t="n">
        <v>193</v>
      </c>
      <c r="M20" s="16" t="n">
        <v>170</v>
      </c>
      <c r="N20" s="16" t="n">
        <v>0</v>
      </c>
      <c r="O20" s="9" t="str">
        <f aca="false">IF(B20="","",IFERROR(INDEX(Options!$G$6:$G$85,MATCH($B20,Options!$A$6:$A$85,0)),""))</f>
        <v>Letter</v>
      </c>
      <c r="P20" s="9" t="str">
        <f aca="false">IF(B20="","",IFERROR(INDEX(Options!$H$6:$H$85,MATCH($B20,Options!$A$6:$A$85,0)),""))</f>
        <v>Seasonal</v>
      </c>
      <c r="Q20" s="24" t="n">
        <f aca="false">IF(B20="",0,N(IFERROR(INDEX(Options!$J$6:$J$85,MATCH($B20,Options!$A$6:$A$85,0)),"")))</f>
        <v>180</v>
      </c>
      <c r="R20" s="25" t="n">
        <f aca="false">K20*Settings!$B$10+J20*Settings!$B$11+I20*Settings!$B$12+H20*Settings!$B$13</f>
        <v>9.9</v>
      </c>
      <c r="S20" s="25" t="n">
        <f aca="false">IFERROR(L20/Settings!$B$8,0)</f>
        <v>8.77272727272727</v>
      </c>
      <c r="T20" s="26" t="n">
        <f aca="false">IF(OR(B20="",P20="End of life"),0,W20*MIN(4,N20))</f>
        <v>0</v>
      </c>
      <c r="U20" s="27" t="n">
        <f aca="false">T20*Q20</f>
        <v>0</v>
      </c>
      <c r="V20" s="14" t="n">
        <f aca="false">IF(B20="",0,G20*N(IFERROR(INDEX(Options!$K$6:$K$85,MATCH($B20,Options!$A$6:$A$85,0)),"")))</f>
        <v>4377.6</v>
      </c>
      <c r="W20" s="26" t="n">
        <f aca="false">IF(B20="",0,IF(N20&gt;=4,S20,(H20+I20+J20+K20)/(4-N20)))</f>
        <v>9.5</v>
      </c>
    </row>
    <row r="21" customFormat="false" ht="15" hidden="false" customHeight="false" outlineLevel="0" collapsed="false">
      <c r="A21" s="16" t="s">
        <v>351</v>
      </c>
      <c r="B21" s="16" t="s">
        <v>189</v>
      </c>
      <c r="C21" s="16" t="s">
        <v>337</v>
      </c>
      <c r="D21" s="16" t="s">
        <v>183</v>
      </c>
      <c r="E21" s="16" t="n">
        <v>223</v>
      </c>
      <c r="F21" s="16" t="n">
        <v>0</v>
      </c>
      <c r="G21" s="16" t="n">
        <v>47</v>
      </c>
      <c r="H21" s="16" t="n">
        <v>8</v>
      </c>
      <c r="I21" s="16" t="n">
        <v>10</v>
      </c>
      <c r="J21" s="16" t="n">
        <v>11</v>
      </c>
      <c r="K21" s="16" t="n">
        <v>10</v>
      </c>
      <c r="L21" s="16" t="n">
        <v>176</v>
      </c>
      <c r="M21" s="16" t="n">
        <v>155</v>
      </c>
      <c r="N21" s="16" t="n">
        <v>0</v>
      </c>
      <c r="O21" s="9" t="str">
        <f aca="false">IF(B21="","",IFERROR(INDEX(Options!$G$6:$G$85,MATCH($B21,Options!$A$6:$A$85,0)),""))</f>
        <v>Letter</v>
      </c>
      <c r="P21" s="9" t="str">
        <f aca="false">IF(B21="","",IFERROR(INDEX(Options!$H$6:$H$85,MATCH($B21,Options!$A$6:$A$85,0)),""))</f>
        <v>Seasonal</v>
      </c>
      <c r="Q21" s="24" t="n">
        <f aca="false">IF(B21="",0,N(IFERROR(INDEX(Options!$J$6:$J$85,MATCH($B21,Options!$A$6:$A$85,0)),"")))</f>
        <v>180</v>
      </c>
      <c r="R21" s="25" t="n">
        <f aca="false">K21*Settings!$B$10+J21*Settings!$B$11+I21*Settings!$B$12+H21*Settings!$B$13</f>
        <v>10.1</v>
      </c>
      <c r="S21" s="25" t="n">
        <f aca="false">IFERROR(L21/Settings!$B$8,0)</f>
        <v>8</v>
      </c>
      <c r="T21" s="26" t="n">
        <f aca="false">IF(OR(B21="",P21="End of life"),0,W21*MIN(4,N21))</f>
        <v>0</v>
      </c>
      <c r="U21" s="27" t="n">
        <f aca="false">T21*Q21</f>
        <v>0</v>
      </c>
      <c r="V21" s="14" t="n">
        <f aca="false">IF(B21="",0,G21*N(IFERROR(INDEX(Options!$K$6:$K$85,MATCH($B21,Options!$A$6:$A$85,0)),"")))</f>
        <v>3214.8</v>
      </c>
      <c r="W21" s="26" t="n">
        <f aca="false">IF(B21="",0,IF(N21&gt;=4,S21,(H21+I21+J21+K21)/(4-N21)))</f>
        <v>9.75</v>
      </c>
    </row>
    <row r="22" customFormat="false" ht="15" hidden="false" customHeight="false" outlineLevel="0" collapsed="false">
      <c r="A22" s="16" t="s">
        <v>352</v>
      </c>
      <c r="B22" s="16" t="s">
        <v>189</v>
      </c>
      <c r="C22" s="16" t="s">
        <v>339</v>
      </c>
      <c r="D22" s="16"/>
      <c r="E22" s="16" t="n">
        <v>120</v>
      </c>
      <c r="F22" s="16" t="n">
        <v>0</v>
      </c>
      <c r="G22" s="16" t="n">
        <v>23</v>
      </c>
      <c r="H22" s="16" t="n">
        <v>5</v>
      </c>
      <c r="I22" s="16" t="n">
        <v>4</v>
      </c>
      <c r="J22" s="16" t="n">
        <v>6</v>
      </c>
      <c r="K22" s="16" t="n">
        <v>6</v>
      </c>
      <c r="L22" s="16" t="n">
        <v>97</v>
      </c>
      <c r="M22" s="16" t="n">
        <v>85</v>
      </c>
      <c r="N22" s="16" t="n">
        <v>0</v>
      </c>
      <c r="O22" s="9" t="str">
        <f aca="false">IF(B22="","",IFERROR(INDEX(Options!$G$6:$G$85,MATCH($B22,Options!$A$6:$A$85,0)),""))</f>
        <v>Letter</v>
      </c>
      <c r="P22" s="9" t="str">
        <f aca="false">IF(B22="","",IFERROR(INDEX(Options!$H$6:$H$85,MATCH($B22,Options!$A$6:$A$85,0)),""))</f>
        <v>Seasonal</v>
      </c>
      <c r="Q22" s="24" t="n">
        <f aca="false">IF(B22="",0,N(IFERROR(INDEX(Options!$J$6:$J$85,MATCH($B22,Options!$A$6:$A$85,0)),"")))</f>
        <v>180</v>
      </c>
      <c r="R22" s="25" t="n">
        <f aca="false">K22*Settings!$B$10+J22*Settings!$B$11+I22*Settings!$B$12+H22*Settings!$B$13</f>
        <v>5.5</v>
      </c>
      <c r="S22" s="25" t="n">
        <f aca="false">IFERROR(L22/Settings!$B$8,0)</f>
        <v>4.40909090909091</v>
      </c>
      <c r="T22" s="26" t="n">
        <f aca="false">IF(OR(B22="",P22="End of life"),0,W22*MIN(4,N22))</f>
        <v>0</v>
      </c>
      <c r="U22" s="27" t="n">
        <f aca="false">T22*Q22</f>
        <v>0</v>
      </c>
      <c r="V22" s="14" t="n">
        <f aca="false">IF(B22="",0,G22*N(IFERROR(INDEX(Options!$K$6:$K$85,MATCH($B22,Options!$A$6:$A$85,0)),"")))</f>
        <v>1573.2</v>
      </c>
      <c r="W22" s="26" t="n">
        <f aca="false">IF(B22="",0,IF(N22&gt;=4,S22,(H22+I22+J22+K22)/(4-N22)))</f>
        <v>5.25</v>
      </c>
    </row>
    <row r="23" customFormat="false" ht="15" hidden="false" customHeight="false" outlineLevel="0" collapsed="false">
      <c r="A23" s="16" t="s">
        <v>353</v>
      </c>
      <c r="B23" s="16" t="s">
        <v>189</v>
      </c>
      <c r="C23" s="16" t="s">
        <v>341</v>
      </c>
      <c r="D23" s="16"/>
      <c r="E23" s="16" t="n">
        <v>69</v>
      </c>
      <c r="F23" s="16" t="n">
        <v>0</v>
      </c>
      <c r="G23" s="16" t="n">
        <v>31</v>
      </c>
      <c r="H23" s="16" t="n">
        <v>2</v>
      </c>
      <c r="I23" s="16" t="n">
        <v>2</v>
      </c>
      <c r="J23" s="16" t="n">
        <v>2</v>
      </c>
      <c r="K23" s="16" t="n">
        <v>3</v>
      </c>
      <c r="L23" s="16" t="n">
        <v>38</v>
      </c>
      <c r="M23" s="16" t="n">
        <v>33</v>
      </c>
      <c r="N23" s="16" t="n">
        <v>0</v>
      </c>
      <c r="O23" s="9" t="str">
        <f aca="false">IF(B23="","",IFERROR(INDEX(Options!$G$6:$G$85,MATCH($B23,Options!$A$6:$A$85,0)),""))</f>
        <v>Letter</v>
      </c>
      <c r="P23" s="9" t="str">
        <f aca="false">IF(B23="","",IFERROR(INDEX(Options!$H$6:$H$85,MATCH($B23,Options!$A$6:$A$85,0)),""))</f>
        <v>Seasonal</v>
      </c>
      <c r="Q23" s="24" t="n">
        <f aca="false">IF(B23="",0,N(IFERROR(INDEX(Options!$J$6:$J$85,MATCH($B23,Options!$A$6:$A$85,0)),"")))</f>
        <v>180</v>
      </c>
      <c r="R23" s="25" t="n">
        <f aca="false">K23*Settings!$B$10+J23*Settings!$B$11+I23*Settings!$B$12+H23*Settings!$B$13</f>
        <v>2.4</v>
      </c>
      <c r="S23" s="25" t="n">
        <f aca="false">IFERROR(L23/Settings!$B$8,0)</f>
        <v>1.72727272727273</v>
      </c>
      <c r="T23" s="26" t="n">
        <f aca="false">IF(OR(B23="",P23="End of life"),0,W23*MIN(4,N23))</f>
        <v>0</v>
      </c>
      <c r="U23" s="27" t="n">
        <f aca="false">T23*Q23</f>
        <v>0</v>
      </c>
      <c r="V23" s="14" t="n">
        <f aca="false">IF(B23="",0,G23*N(IFERROR(INDEX(Options!$K$6:$K$85,MATCH($B23,Options!$A$6:$A$85,0)),"")))</f>
        <v>2120.4</v>
      </c>
      <c r="W23" s="26" t="n">
        <f aca="false">IF(B23="",0,IF(N23&gt;=4,S23,(H23+I23+J23+K23)/(4-N23)))</f>
        <v>2.25</v>
      </c>
    </row>
    <row r="24" customFormat="false" ht="15" hidden="false" customHeight="false" outlineLevel="0" collapsed="false">
      <c r="A24" s="16" t="s">
        <v>354</v>
      </c>
      <c r="B24" s="16" t="s">
        <v>193</v>
      </c>
      <c r="C24" s="16" t="s">
        <v>331</v>
      </c>
      <c r="D24" s="16"/>
      <c r="E24" s="16" t="n">
        <v>60</v>
      </c>
      <c r="F24" s="16" t="n">
        <v>0</v>
      </c>
      <c r="G24" s="16" t="n">
        <v>40</v>
      </c>
      <c r="H24" s="16" t="n">
        <v>0</v>
      </c>
      <c r="I24" s="16" t="n">
        <v>0</v>
      </c>
      <c r="J24" s="16" t="n">
        <v>0</v>
      </c>
      <c r="K24" s="16" t="n">
        <v>0</v>
      </c>
      <c r="L24" s="16" t="n">
        <v>20</v>
      </c>
      <c r="M24" s="16" t="n">
        <v>12</v>
      </c>
      <c r="N24" s="16" t="n">
        <v>0</v>
      </c>
      <c r="O24" s="9" t="str">
        <f aca="false">IF(B24="","",IFERROR(INDEX(Options!$G$6:$G$85,MATCH($B24,Options!$A$6:$A$85,0)),""))</f>
        <v>Letter</v>
      </c>
      <c r="P24" s="9" t="str">
        <f aca="false">IF(B24="","",IFERROR(INDEX(Options!$H$6:$H$85,MATCH($B24,Options!$A$6:$A$85,0)),""))</f>
        <v>Seasonal</v>
      </c>
      <c r="Q24" s="24" t="n">
        <f aca="false">IF(B24="",0,N(IFERROR(INDEX(Options!$J$6:$J$85,MATCH($B24,Options!$A$6:$A$85,0)),"")))</f>
        <v>180</v>
      </c>
      <c r="R24" s="25" t="n">
        <f aca="false">K24*Settings!$B$10+J24*Settings!$B$11+I24*Settings!$B$12+H24*Settings!$B$13</f>
        <v>0</v>
      </c>
      <c r="S24" s="25" t="n">
        <f aca="false">IFERROR(L24/Settings!$B$8,0)</f>
        <v>0.909090909090909</v>
      </c>
      <c r="T24" s="26" t="n">
        <f aca="false">IF(OR(B24="",P24="End of life"),0,W24*MIN(4,N24))</f>
        <v>0</v>
      </c>
      <c r="U24" s="27" t="n">
        <f aca="false">T24*Q24</f>
        <v>0</v>
      </c>
      <c r="V24" s="14" t="n">
        <f aca="false">IF(B24="",0,G24*N(IFERROR(INDEX(Options!$K$6:$K$85,MATCH($B24,Options!$A$6:$A$85,0)),"")))</f>
        <v>2736</v>
      </c>
      <c r="W24" s="26" t="n">
        <f aca="false">IF(B24="",0,IF(N24&gt;=4,S24,(H24+I24+J24+K24)/(4-N24)))</f>
        <v>0</v>
      </c>
    </row>
    <row r="25" customFormat="false" ht="15" hidden="false" customHeight="false" outlineLevel="0" collapsed="false">
      <c r="A25" s="16" t="s">
        <v>355</v>
      </c>
      <c r="B25" s="16" t="s">
        <v>193</v>
      </c>
      <c r="C25" s="16" t="s">
        <v>333</v>
      </c>
      <c r="D25" s="16" t="s">
        <v>183</v>
      </c>
      <c r="E25" s="16" t="n">
        <v>134</v>
      </c>
      <c r="F25" s="16" t="n">
        <v>0</v>
      </c>
      <c r="G25" s="16" t="n">
        <v>78</v>
      </c>
      <c r="H25" s="16" t="n">
        <v>0</v>
      </c>
      <c r="I25" s="16" t="n">
        <v>1</v>
      </c>
      <c r="J25" s="16" t="n">
        <v>1</v>
      </c>
      <c r="K25" s="16" t="n">
        <v>1</v>
      </c>
      <c r="L25" s="16" t="n">
        <v>56</v>
      </c>
      <c r="M25" s="16" t="n">
        <v>34</v>
      </c>
      <c r="N25" s="16" t="n">
        <v>0</v>
      </c>
      <c r="O25" s="9" t="str">
        <f aca="false">IF(B25="","",IFERROR(INDEX(Options!$G$6:$G$85,MATCH($B25,Options!$A$6:$A$85,0)),""))</f>
        <v>Letter</v>
      </c>
      <c r="P25" s="9" t="str">
        <f aca="false">IF(B25="","",IFERROR(INDEX(Options!$H$6:$H$85,MATCH($B25,Options!$A$6:$A$85,0)),""))</f>
        <v>Seasonal</v>
      </c>
      <c r="Q25" s="24" t="n">
        <f aca="false">IF(B25="",0,N(IFERROR(INDEX(Options!$J$6:$J$85,MATCH($B25,Options!$A$6:$A$85,0)),"")))</f>
        <v>180</v>
      </c>
      <c r="R25" s="25" t="n">
        <f aca="false">K25*Settings!$B$10+J25*Settings!$B$11+I25*Settings!$B$12+H25*Settings!$B$13</f>
        <v>0.9</v>
      </c>
      <c r="S25" s="25" t="n">
        <f aca="false">IFERROR(L25/Settings!$B$8,0)</f>
        <v>2.54545454545455</v>
      </c>
      <c r="T25" s="26" t="n">
        <f aca="false">IF(OR(B25="",P25="End of life"),0,W25*MIN(4,N25))</f>
        <v>0</v>
      </c>
      <c r="U25" s="27" t="n">
        <f aca="false">T25*Q25</f>
        <v>0</v>
      </c>
      <c r="V25" s="14" t="n">
        <f aca="false">IF(B25="",0,G25*N(IFERROR(INDEX(Options!$K$6:$K$85,MATCH($B25,Options!$A$6:$A$85,0)),"")))</f>
        <v>5335.2</v>
      </c>
      <c r="W25" s="26" t="n">
        <f aca="false">IF(B25="",0,IF(N25&gt;=4,S25,(H25+I25+J25+K25)/(4-N25)))</f>
        <v>0.75</v>
      </c>
    </row>
    <row r="26" customFormat="false" ht="15" hidden="false" customHeight="false" outlineLevel="0" collapsed="false">
      <c r="A26" s="16" t="s">
        <v>356</v>
      </c>
      <c r="B26" s="16" t="s">
        <v>193</v>
      </c>
      <c r="C26" s="16" t="s">
        <v>335</v>
      </c>
      <c r="D26" s="16" t="s">
        <v>183</v>
      </c>
      <c r="E26" s="16" t="n">
        <v>223</v>
      </c>
      <c r="F26" s="16" t="n">
        <v>0</v>
      </c>
      <c r="G26" s="16" t="n">
        <v>124</v>
      </c>
      <c r="H26" s="16" t="n">
        <v>1</v>
      </c>
      <c r="I26" s="16" t="n">
        <v>1</v>
      </c>
      <c r="J26" s="16" t="n">
        <v>1</v>
      </c>
      <c r="K26" s="16" t="n">
        <v>1</v>
      </c>
      <c r="L26" s="16" t="n">
        <v>99</v>
      </c>
      <c r="M26" s="16" t="n">
        <v>59</v>
      </c>
      <c r="N26" s="16" t="n">
        <v>0</v>
      </c>
      <c r="O26" s="9" t="str">
        <f aca="false">IF(B26="","",IFERROR(INDEX(Options!$G$6:$G$85,MATCH($B26,Options!$A$6:$A$85,0)),""))</f>
        <v>Letter</v>
      </c>
      <c r="P26" s="9" t="str">
        <f aca="false">IF(B26="","",IFERROR(INDEX(Options!$H$6:$H$85,MATCH($B26,Options!$A$6:$A$85,0)),""))</f>
        <v>Seasonal</v>
      </c>
      <c r="Q26" s="24" t="n">
        <f aca="false">IF(B26="",0,N(IFERROR(INDEX(Options!$J$6:$J$85,MATCH($B26,Options!$A$6:$A$85,0)),"")))</f>
        <v>180</v>
      </c>
      <c r="R26" s="25" t="n">
        <f aca="false">K26*Settings!$B$10+J26*Settings!$B$11+I26*Settings!$B$12+H26*Settings!$B$13</f>
        <v>1</v>
      </c>
      <c r="S26" s="25" t="n">
        <f aca="false">IFERROR(L26/Settings!$B$8,0)</f>
        <v>4.5</v>
      </c>
      <c r="T26" s="26" t="n">
        <f aca="false">IF(OR(B26="",P26="End of life"),0,W26*MIN(4,N26))</f>
        <v>0</v>
      </c>
      <c r="U26" s="27" t="n">
        <f aca="false">T26*Q26</f>
        <v>0</v>
      </c>
      <c r="V26" s="14" t="n">
        <f aca="false">IF(B26="",0,G26*N(IFERROR(INDEX(Options!$K$6:$K$85,MATCH($B26,Options!$A$6:$A$85,0)),"")))</f>
        <v>8481.6</v>
      </c>
      <c r="W26" s="26" t="n">
        <f aca="false">IF(B26="",0,IF(N26&gt;=4,S26,(H26+I26+J26+K26)/(4-N26)))</f>
        <v>1</v>
      </c>
    </row>
    <row r="27" customFormat="false" ht="15" hidden="false" customHeight="false" outlineLevel="0" collapsed="false">
      <c r="A27" s="16" t="s">
        <v>357</v>
      </c>
      <c r="B27" s="16" t="s">
        <v>193</v>
      </c>
      <c r="C27" s="16" t="s">
        <v>337</v>
      </c>
      <c r="D27" s="16" t="s">
        <v>183</v>
      </c>
      <c r="E27" s="16" t="n">
        <v>193</v>
      </c>
      <c r="F27" s="16" t="n">
        <v>0</v>
      </c>
      <c r="G27" s="16" t="n">
        <v>111</v>
      </c>
      <c r="H27" s="16" t="n">
        <v>1</v>
      </c>
      <c r="I27" s="16" t="n">
        <v>1</v>
      </c>
      <c r="J27" s="16" t="n">
        <v>1</v>
      </c>
      <c r="K27" s="16" t="n">
        <v>1</v>
      </c>
      <c r="L27" s="16" t="n">
        <v>82</v>
      </c>
      <c r="M27" s="16" t="n">
        <v>49</v>
      </c>
      <c r="N27" s="16" t="n">
        <v>0</v>
      </c>
      <c r="O27" s="9" t="str">
        <f aca="false">IF(B27="","",IFERROR(INDEX(Options!$G$6:$G$85,MATCH($B27,Options!$A$6:$A$85,0)),""))</f>
        <v>Letter</v>
      </c>
      <c r="P27" s="9" t="str">
        <f aca="false">IF(B27="","",IFERROR(INDEX(Options!$H$6:$H$85,MATCH($B27,Options!$A$6:$A$85,0)),""))</f>
        <v>Seasonal</v>
      </c>
      <c r="Q27" s="24" t="n">
        <f aca="false">IF(B27="",0,N(IFERROR(INDEX(Options!$J$6:$J$85,MATCH($B27,Options!$A$6:$A$85,0)),"")))</f>
        <v>180</v>
      </c>
      <c r="R27" s="25" t="n">
        <f aca="false">K27*Settings!$B$10+J27*Settings!$B$11+I27*Settings!$B$12+H27*Settings!$B$13</f>
        <v>1</v>
      </c>
      <c r="S27" s="25" t="n">
        <f aca="false">IFERROR(L27/Settings!$B$8,0)</f>
        <v>3.72727272727273</v>
      </c>
      <c r="T27" s="26" t="n">
        <f aca="false">IF(OR(B27="",P27="End of life"),0,W27*MIN(4,N27))</f>
        <v>0</v>
      </c>
      <c r="U27" s="27" t="n">
        <f aca="false">T27*Q27</f>
        <v>0</v>
      </c>
      <c r="V27" s="14" t="n">
        <f aca="false">IF(B27="",0,G27*N(IFERROR(INDEX(Options!$K$6:$K$85,MATCH($B27,Options!$A$6:$A$85,0)),"")))</f>
        <v>7592.4</v>
      </c>
      <c r="W27" s="26" t="n">
        <f aca="false">IF(B27="",0,IF(N27&gt;=4,S27,(H27+I27+J27+K27)/(4-N27)))</f>
        <v>1</v>
      </c>
    </row>
    <row r="28" customFormat="false" ht="15" hidden="false" customHeight="false" outlineLevel="0" collapsed="false">
      <c r="A28" s="16" t="s">
        <v>358</v>
      </c>
      <c r="B28" s="16" t="s">
        <v>193</v>
      </c>
      <c r="C28" s="16" t="s">
        <v>339</v>
      </c>
      <c r="D28" s="16"/>
      <c r="E28" s="16" t="n">
        <v>104</v>
      </c>
      <c r="F28" s="16" t="n">
        <v>0</v>
      </c>
      <c r="G28" s="16" t="n">
        <v>58</v>
      </c>
      <c r="H28" s="16" t="n">
        <v>0</v>
      </c>
      <c r="I28" s="16" t="n">
        <v>0</v>
      </c>
      <c r="J28" s="16" t="n">
        <v>1</v>
      </c>
      <c r="K28" s="16" t="n">
        <v>1</v>
      </c>
      <c r="L28" s="16" t="n">
        <v>46</v>
      </c>
      <c r="M28" s="16" t="n">
        <v>28</v>
      </c>
      <c r="N28" s="16" t="n">
        <v>0</v>
      </c>
      <c r="O28" s="9" t="str">
        <f aca="false">IF(B28="","",IFERROR(INDEX(Options!$G$6:$G$85,MATCH($B28,Options!$A$6:$A$85,0)),""))</f>
        <v>Letter</v>
      </c>
      <c r="P28" s="9" t="str">
        <f aca="false">IF(B28="","",IFERROR(INDEX(Options!$H$6:$H$85,MATCH($B28,Options!$A$6:$A$85,0)),""))</f>
        <v>Seasonal</v>
      </c>
      <c r="Q28" s="24" t="n">
        <f aca="false">IF(B28="",0,N(IFERROR(INDEX(Options!$J$6:$J$85,MATCH($B28,Options!$A$6:$A$85,0)),"")))</f>
        <v>180</v>
      </c>
      <c r="R28" s="25" t="n">
        <f aca="false">K28*Settings!$B$10+J28*Settings!$B$11+I28*Settings!$B$12+H28*Settings!$B$13</f>
        <v>0.7</v>
      </c>
      <c r="S28" s="25" t="n">
        <f aca="false">IFERROR(L28/Settings!$B$8,0)</f>
        <v>2.09090909090909</v>
      </c>
      <c r="T28" s="26" t="n">
        <f aca="false">IF(OR(B28="",P28="End of life"),0,W28*MIN(4,N28))</f>
        <v>0</v>
      </c>
      <c r="U28" s="27" t="n">
        <f aca="false">T28*Q28</f>
        <v>0</v>
      </c>
      <c r="V28" s="14" t="n">
        <f aca="false">IF(B28="",0,G28*N(IFERROR(INDEX(Options!$K$6:$K$85,MATCH($B28,Options!$A$6:$A$85,0)),"")))</f>
        <v>3967.2</v>
      </c>
      <c r="W28" s="26" t="n">
        <f aca="false">IF(B28="",0,IF(N28&gt;=4,S28,(H28+I28+J28+K28)/(4-N28)))</f>
        <v>0.5</v>
      </c>
    </row>
    <row r="29" customFormat="false" ht="15" hidden="false" customHeight="false" outlineLevel="0" collapsed="false">
      <c r="A29" s="16" t="s">
        <v>359</v>
      </c>
      <c r="B29" s="16" t="s">
        <v>193</v>
      </c>
      <c r="C29" s="16" t="s">
        <v>341</v>
      </c>
      <c r="D29" s="16"/>
      <c r="E29" s="16" t="n">
        <v>60</v>
      </c>
      <c r="F29" s="16" t="n">
        <v>0</v>
      </c>
      <c r="G29" s="16" t="n">
        <v>42</v>
      </c>
      <c r="H29" s="16" t="n">
        <v>0</v>
      </c>
      <c r="I29" s="16" t="n">
        <v>0</v>
      </c>
      <c r="J29" s="16" t="n">
        <v>0</v>
      </c>
      <c r="K29" s="16" t="n">
        <v>0</v>
      </c>
      <c r="L29" s="16" t="n">
        <v>18</v>
      </c>
      <c r="M29" s="16" t="n">
        <v>11</v>
      </c>
      <c r="N29" s="16" t="n">
        <v>0</v>
      </c>
      <c r="O29" s="9" t="str">
        <f aca="false">IF(B29="","",IFERROR(INDEX(Options!$G$6:$G$85,MATCH($B29,Options!$A$6:$A$85,0)),""))</f>
        <v>Letter</v>
      </c>
      <c r="P29" s="9" t="str">
        <f aca="false">IF(B29="","",IFERROR(INDEX(Options!$H$6:$H$85,MATCH($B29,Options!$A$6:$A$85,0)),""))</f>
        <v>Seasonal</v>
      </c>
      <c r="Q29" s="24" t="n">
        <f aca="false">IF(B29="",0,N(IFERROR(INDEX(Options!$J$6:$J$85,MATCH($B29,Options!$A$6:$A$85,0)),"")))</f>
        <v>180</v>
      </c>
      <c r="R29" s="25" t="n">
        <f aca="false">K29*Settings!$B$10+J29*Settings!$B$11+I29*Settings!$B$12+H29*Settings!$B$13</f>
        <v>0</v>
      </c>
      <c r="S29" s="25" t="n">
        <f aca="false">IFERROR(L29/Settings!$B$8,0)</f>
        <v>0.818181818181818</v>
      </c>
      <c r="T29" s="26" t="n">
        <f aca="false">IF(OR(B29="",P29="End of life"),0,W29*MIN(4,N29))</f>
        <v>0</v>
      </c>
      <c r="U29" s="27" t="n">
        <f aca="false">T29*Q29</f>
        <v>0</v>
      </c>
      <c r="V29" s="14" t="n">
        <f aca="false">IF(B29="",0,G29*N(IFERROR(INDEX(Options!$K$6:$K$85,MATCH($B29,Options!$A$6:$A$85,0)),"")))</f>
        <v>2872.8</v>
      </c>
      <c r="W29" s="26" t="n">
        <f aca="false">IF(B29="",0,IF(N29&gt;=4,S29,(H29+I29+J29+K29)/(4-N29)))</f>
        <v>0</v>
      </c>
    </row>
    <row r="30" customFormat="false" ht="15" hidden="false" customHeight="false" outlineLevel="0" collapsed="false">
      <c r="A30" s="16" t="s">
        <v>360</v>
      </c>
      <c r="B30" s="16" t="s">
        <v>198</v>
      </c>
      <c r="C30" s="16" t="s">
        <v>331</v>
      </c>
      <c r="D30" s="16"/>
      <c r="E30" s="16" t="n">
        <v>62</v>
      </c>
      <c r="F30" s="16" t="n">
        <v>0</v>
      </c>
      <c r="G30" s="16" t="n">
        <v>2</v>
      </c>
      <c r="H30" s="16" t="n">
        <v>1</v>
      </c>
      <c r="I30" s="16" t="n">
        <v>1</v>
      </c>
      <c r="J30" s="16" t="n">
        <v>1</v>
      </c>
      <c r="K30" s="16" t="n">
        <v>1</v>
      </c>
      <c r="L30" s="16" t="n">
        <v>22</v>
      </c>
      <c r="M30" s="16" t="n">
        <v>19</v>
      </c>
      <c r="N30" s="16" t="n">
        <v>0</v>
      </c>
      <c r="O30" s="9" t="str">
        <f aca="false">IF(B30="","",IFERROR(INDEX(Options!$G$6:$G$85,MATCH($B30,Options!$A$6:$A$85,0)),""))</f>
        <v>Letter</v>
      </c>
      <c r="P30" s="9" t="str">
        <f aca="false">IF(B30="","",IFERROR(INDEX(Options!$H$6:$H$85,MATCH($B30,Options!$A$6:$A$85,0)),""))</f>
        <v>Seasonal</v>
      </c>
      <c r="Q30" s="24" t="n">
        <f aca="false">IF(B30="",0,N(IFERROR(INDEX(Options!$J$6:$J$85,MATCH($B30,Options!$A$6:$A$85,0)),"")))</f>
        <v>220</v>
      </c>
      <c r="R30" s="25" t="n">
        <f aca="false">K30*Settings!$B$10+J30*Settings!$B$11+I30*Settings!$B$12+H30*Settings!$B$13</f>
        <v>1</v>
      </c>
      <c r="S30" s="25" t="n">
        <f aca="false">IFERROR(L30/Settings!$B$8,0)</f>
        <v>1</v>
      </c>
      <c r="T30" s="26" t="n">
        <f aca="false">IF(OR(B30="",P30="End of life"),0,W30*MIN(4,N30))</f>
        <v>0</v>
      </c>
      <c r="U30" s="27" t="n">
        <f aca="false">T30*Q30</f>
        <v>0</v>
      </c>
      <c r="V30" s="14" t="n">
        <f aca="false">IF(B30="",0,G30*N(IFERROR(INDEX(Options!$K$6:$K$85,MATCH($B30,Options!$A$6:$A$85,0)),"")))</f>
        <v>167.2</v>
      </c>
      <c r="W30" s="26" t="n">
        <f aca="false">IF(B30="",0,IF(N30&gt;=4,S30,(H30+I30+J30+K30)/(4-N30)))</f>
        <v>1</v>
      </c>
    </row>
    <row r="31" customFormat="false" ht="15" hidden="false" customHeight="false" outlineLevel="0" collapsed="false">
      <c r="A31" s="16" t="s">
        <v>361</v>
      </c>
      <c r="B31" s="16" t="s">
        <v>198</v>
      </c>
      <c r="C31" s="16" t="s">
        <v>333</v>
      </c>
      <c r="D31" s="16" t="s">
        <v>183</v>
      </c>
      <c r="E31" s="16" t="n">
        <v>138</v>
      </c>
      <c r="F31" s="16" t="n">
        <v>0</v>
      </c>
      <c r="G31" s="16" t="n">
        <v>5</v>
      </c>
      <c r="H31" s="16" t="n">
        <v>1</v>
      </c>
      <c r="I31" s="16" t="n">
        <v>2</v>
      </c>
      <c r="J31" s="16" t="n">
        <v>2</v>
      </c>
      <c r="K31" s="16" t="n">
        <v>2</v>
      </c>
      <c r="L31" s="16" t="n">
        <v>65</v>
      </c>
      <c r="M31" s="16" t="n">
        <v>57</v>
      </c>
      <c r="N31" s="16" t="n">
        <v>0</v>
      </c>
      <c r="O31" s="9" t="str">
        <f aca="false">IF(B31="","",IFERROR(INDEX(Options!$G$6:$G$85,MATCH($B31,Options!$A$6:$A$85,0)),""))</f>
        <v>Letter</v>
      </c>
      <c r="P31" s="9" t="str">
        <f aca="false">IF(B31="","",IFERROR(INDEX(Options!$H$6:$H$85,MATCH($B31,Options!$A$6:$A$85,0)),""))</f>
        <v>Seasonal</v>
      </c>
      <c r="Q31" s="24" t="n">
        <f aca="false">IF(B31="",0,N(IFERROR(INDEX(Options!$J$6:$J$85,MATCH($B31,Options!$A$6:$A$85,0)),"")))</f>
        <v>220</v>
      </c>
      <c r="R31" s="25" t="n">
        <f aca="false">K31*Settings!$B$10+J31*Settings!$B$11+I31*Settings!$B$12+H31*Settings!$B$13</f>
        <v>1.9</v>
      </c>
      <c r="S31" s="25" t="n">
        <f aca="false">IFERROR(L31/Settings!$B$8,0)</f>
        <v>2.95454545454545</v>
      </c>
      <c r="T31" s="26" t="n">
        <f aca="false">IF(OR(B31="",P31="End of life"),0,W31*MIN(4,N31))</f>
        <v>0</v>
      </c>
      <c r="U31" s="27" t="n">
        <f aca="false">T31*Q31</f>
        <v>0</v>
      </c>
      <c r="V31" s="14" t="n">
        <f aca="false">IF(B31="",0,G31*N(IFERROR(INDEX(Options!$K$6:$K$85,MATCH($B31,Options!$A$6:$A$85,0)),"")))</f>
        <v>418</v>
      </c>
      <c r="W31" s="26" t="n">
        <f aca="false">IF(B31="",0,IF(N31&gt;=4,S31,(H31+I31+J31+K31)/(4-N31)))</f>
        <v>1.75</v>
      </c>
    </row>
    <row r="32" customFormat="false" ht="15" hidden="false" customHeight="false" outlineLevel="0" collapsed="false">
      <c r="A32" s="16" t="s">
        <v>362</v>
      </c>
      <c r="B32" s="16" t="s">
        <v>198</v>
      </c>
      <c r="C32" s="16" t="s">
        <v>335</v>
      </c>
      <c r="D32" s="16" t="s">
        <v>183</v>
      </c>
      <c r="E32" s="16" t="n">
        <v>231</v>
      </c>
      <c r="F32" s="16" t="n">
        <v>0</v>
      </c>
      <c r="G32" s="16" t="n">
        <v>8</v>
      </c>
      <c r="H32" s="16" t="n">
        <v>3</v>
      </c>
      <c r="I32" s="16" t="n">
        <v>3</v>
      </c>
      <c r="J32" s="16" t="n">
        <v>3</v>
      </c>
      <c r="K32" s="16" t="n">
        <v>3</v>
      </c>
      <c r="L32" s="16" t="n">
        <v>119</v>
      </c>
      <c r="M32" s="16" t="n">
        <v>105</v>
      </c>
      <c r="N32" s="16" t="n">
        <v>0</v>
      </c>
      <c r="O32" s="9" t="str">
        <f aca="false">IF(B32="","",IFERROR(INDEX(Options!$G$6:$G$85,MATCH($B32,Options!$A$6:$A$85,0)),""))</f>
        <v>Letter</v>
      </c>
      <c r="P32" s="9" t="str">
        <f aca="false">IF(B32="","",IFERROR(INDEX(Options!$H$6:$H$85,MATCH($B32,Options!$A$6:$A$85,0)),""))</f>
        <v>Seasonal</v>
      </c>
      <c r="Q32" s="24" t="n">
        <f aca="false">IF(B32="",0,N(IFERROR(INDEX(Options!$J$6:$J$85,MATCH($B32,Options!$A$6:$A$85,0)),"")))</f>
        <v>220</v>
      </c>
      <c r="R32" s="25" t="n">
        <f aca="false">K32*Settings!$B$10+J32*Settings!$B$11+I32*Settings!$B$12+H32*Settings!$B$13</f>
        <v>3</v>
      </c>
      <c r="S32" s="25" t="n">
        <f aca="false">IFERROR(L32/Settings!$B$8,0)</f>
        <v>5.40909090909091</v>
      </c>
      <c r="T32" s="26" t="n">
        <f aca="false">IF(OR(B32="",P32="End of life"),0,W32*MIN(4,N32))</f>
        <v>0</v>
      </c>
      <c r="U32" s="27" t="n">
        <f aca="false">T32*Q32</f>
        <v>0</v>
      </c>
      <c r="V32" s="14" t="n">
        <f aca="false">IF(B32="",0,G32*N(IFERROR(INDEX(Options!$K$6:$K$85,MATCH($B32,Options!$A$6:$A$85,0)),"")))</f>
        <v>668.8</v>
      </c>
      <c r="W32" s="26" t="n">
        <f aca="false">IF(B32="",0,IF(N32&gt;=4,S32,(H32+I32+J32+K32)/(4-N32)))</f>
        <v>3</v>
      </c>
    </row>
    <row r="33" customFormat="false" ht="15" hidden="false" customHeight="false" outlineLevel="0" collapsed="false">
      <c r="A33" s="16" t="s">
        <v>363</v>
      </c>
      <c r="B33" s="16" t="s">
        <v>198</v>
      </c>
      <c r="C33" s="16" t="s">
        <v>337</v>
      </c>
      <c r="D33" s="16" t="s">
        <v>183</v>
      </c>
      <c r="E33" s="16" t="n">
        <v>200</v>
      </c>
      <c r="F33" s="16" t="n">
        <v>0</v>
      </c>
      <c r="G33" s="16" t="n">
        <v>7</v>
      </c>
      <c r="H33" s="16" t="n">
        <v>2</v>
      </c>
      <c r="I33" s="16" t="n">
        <v>2</v>
      </c>
      <c r="J33" s="16" t="n">
        <v>3</v>
      </c>
      <c r="K33" s="16" t="n">
        <v>4</v>
      </c>
      <c r="L33" s="16" t="n">
        <v>96</v>
      </c>
      <c r="M33" s="16" t="n">
        <v>84</v>
      </c>
      <c r="N33" s="16" t="n">
        <v>0</v>
      </c>
      <c r="O33" s="9" t="str">
        <f aca="false">IF(B33="","",IFERROR(INDEX(Options!$G$6:$G$85,MATCH($B33,Options!$A$6:$A$85,0)),""))</f>
        <v>Letter</v>
      </c>
      <c r="P33" s="9" t="str">
        <f aca="false">IF(B33="","",IFERROR(INDEX(Options!$H$6:$H$85,MATCH($B33,Options!$A$6:$A$85,0)),""))</f>
        <v>Seasonal</v>
      </c>
      <c r="Q33" s="24" t="n">
        <f aca="false">IF(B33="",0,N(IFERROR(INDEX(Options!$J$6:$J$85,MATCH($B33,Options!$A$6:$A$85,0)),"")))</f>
        <v>220</v>
      </c>
      <c r="R33" s="25" t="n">
        <f aca="false">K33*Settings!$B$10+J33*Settings!$B$11+I33*Settings!$B$12+H33*Settings!$B$13</f>
        <v>3.1</v>
      </c>
      <c r="S33" s="25" t="n">
        <f aca="false">IFERROR(L33/Settings!$B$8,0)</f>
        <v>4.36363636363636</v>
      </c>
      <c r="T33" s="26" t="n">
        <f aca="false">IF(OR(B33="",P33="End of life"),0,W33*MIN(4,N33))</f>
        <v>0</v>
      </c>
      <c r="U33" s="27" t="n">
        <f aca="false">T33*Q33</f>
        <v>0</v>
      </c>
      <c r="V33" s="14" t="n">
        <f aca="false">IF(B33="",0,G33*N(IFERROR(INDEX(Options!$K$6:$K$85,MATCH($B33,Options!$A$6:$A$85,0)),"")))</f>
        <v>585.2</v>
      </c>
      <c r="W33" s="26" t="n">
        <f aca="false">IF(B33="",0,IF(N33&gt;=4,S33,(H33+I33+J33+K33)/(4-N33)))</f>
        <v>2.75</v>
      </c>
    </row>
    <row r="34" customFormat="false" ht="15" hidden="false" customHeight="false" outlineLevel="0" collapsed="false">
      <c r="A34" s="16" t="s">
        <v>364</v>
      </c>
      <c r="B34" s="16" t="s">
        <v>198</v>
      </c>
      <c r="C34" s="16" t="s">
        <v>339</v>
      </c>
      <c r="D34" s="16"/>
      <c r="E34" s="16" t="n">
        <v>108</v>
      </c>
      <c r="F34" s="16" t="n">
        <v>0</v>
      </c>
      <c r="G34" s="16" t="n">
        <v>4</v>
      </c>
      <c r="H34" s="16" t="n">
        <v>1</v>
      </c>
      <c r="I34" s="16" t="n">
        <v>1</v>
      </c>
      <c r="J34" s="16" t="n">
        <v>1</v>
      </c>
      <c r="K34" s="16" t="n">
        <v>1</v>
      </c>
      <c r="L34" s="16" t="n">
        <v>49</v>
      </c>
      <c r="M34" s="16" t="n">
        <v>43</v>
      </c>
      <c r="N34" s="16" t="n">
        <v>0</v>
      </c>
      <c r="O34" s="9" t="str">
        <f aca="false">IF(B34="","",IFERROR(INDEX(Options!$G$6:$G$85,MATCH($B34,Options!$A$6:$A$85,0)),""))</f>
        <v>Letter</v>
      </c>
      <c r="P34" s="9" t="str">
        <f aca="false">IF(B34="","",IFERROR(INDEX(Options!$H$6:$H$85,MATCH($B34,Options!$A$6:$A$85,0)),""))</f>
        <v>Seasonal</v>
      </c>
      <c r="Q34" s="24" t="n">
        <f aca="false">IF(B34="",0,N(IFERROR(INDEX(Options!$J$6:$J$85,MATCH($B34,Options!$A$6:$A$85,0)),"")))</f>
        <v>220</v>
      </c>
      <c r="R34" s="25" t="n">
        <f aca="false">K34*Settings!$B$10+J34*Settings!$B$11+I34*Settings!$B$12+H34*Settings!$B$13</f>
        <v>1</v>
      </c>
      <c r="S34" s="25" t="n">
        <f aca="false">IFERROR(L34/Settings!$B$8,0)</f>
        <v>2.22727272727273</v>
      </c>
      <c r="T34" s="26" t="n">
        <f aca="false">IF(OR(B34="",P34="End of life"),0,W34*MIN(4,N34))</f>
        <v>0</v>
      </c>
      <c r="U34" s="27" t="n">
        <f aca="false">T34*Q34</f>
        <v>0</v>
      </c>
      <c r="V34" s="14" t="n">
        <f aca="false">IF(B34="",0,G34*N(IFERROR(INDEX(Options!$K$6:$K$85,MATCH($B34,Options!$A$6:$A$85,0)),"")))</f>
        <v>334.4</v>
      </c>
      <c r="W34" s="26" t="n">
        <f aca="false">IF(B34="",0,IF(N34&gt;=4,S34,(H34+I34+J34+K34)/(4-N34)))</f>
        <v>1</v>
      </c>
    </row>
    <row r="35" customFormat="false" ht="15" hidden="false" customHeight="false" outlineLevel="0" collapsed="false">
      <c r="A35" s="16" t="s">
        <v>365</v>
      </c>
      <c r="B35" s="16" t="s">
        <v>198</v>
      </c>
      <c r="C35" s="16" t="s">
        <v>341</v>
      </c>
      <c r="D35" s="16"/>
      <c r="E35" s="16" t="n">
        <v>62</v>
      </c>
      <c r="F35" s="16" t="n">
        <v>0</v>
      </c>
      <c r="G35" s="16" t="n">
        <v>2</v>
      </c>
      <c r="H35" s="16" t="n">
        <v>0</v>
      </c>
      <c r="I35" s="16" t="n">
        <v>1</v>
      </c>
      <c r="J35" s="16" t="n">
        <v>1</v>
      </c>
      <c r="K35" s="16" t="n">
        <v>1</v>
      </c>
      <c r="L35" s="16" t="n">
        <v>21</v>
      </c>
      <c r="M35" s="16" t="n">
        <v>18</v>
      </c>
      <c r="N35" s="16" t="n">
        <v>0</v>
      </c>
      <c r="O35" s="9" t="str">
        <f aca="false">IF(B35="","",IFERROR(INDEX(Options!$G$6:$G$85,MATCH($B35,Options!$A$6:$A$85,0)),""))</f>
        <v>Letter</v>
      </c>
      <c r="P35" s="9" t="str">
        <f aca="false">IF(B35="","",IFERROR(INDEX(Options!$H$6:$H$85,MATCH($B35,Options!$A$6:$A$85,0)),""))</f>
        <v>Seasonal</v>
      </c>
      <c r="Q35" s="24" t="n">
        <f aca="false">IF(B35="",0,N(IFERROR(INDEX(Options!$J$6:$J$85,MATCH($B35,Options!$A$6:$A$85,0)),"")))</f>
        <v>220</v>
      </c>
      <c r="R35" s="25" t="n">
        <f aca="false">K35*Settings!$B$10+J35*Settings!$B$11+I35*Settings!$B$12+H35*Settings!$B$13</f>
        <v>0.9</v>
      </c>
      <c r="S35" s="25" t="n">
        <f aca="false">IFERROR(L35/Settings!$B$8,0)</f>
        <v>0.954545454545455</v>
      </c>
      <c r="T35" s="26" t="n">
        <f aca="false">IF(OR(B35="",P35="End of life"),0,W35*MIN(4,N35))</f>
        <v>0</v>
      </c>
      <c r="U35" s="27" t="n">
        <f aca="false">T35*Q35</f>
        <v>0</v>
      </c>
      <c r="V35" s="14" t="n">
        <f aca="false">IF(B35="",0,G35*N(IFERROR(INDEX(Options!$K$6:$K$85,MATCH($B35,Options!$A$6:$A$85,0)),"")))</f>
        <v>167.2</v>
      </c>
      <c r="W35" s="26" t="n">
        <f aca="false">IF(B35="",0,IF(N35&gt;=4,S35,(H35+I35+J35+K35)/(4-N35)))</f>
        <v>0.75</v>
      </c>
    </row>
    <row r="36" customFormat="false" ht="15" hidden="false" customHeight="false" outlineLevel="0" collapsed="false">
      <c r="A36" s="16" t="s">
        <v>366</v>
      </c>
      <c r="B36" s="16" t="s">
        <v>202</v>
      </c>
      <c r="C36" s="16" t="s">
        <v>331</v>
      </c>
      <c r="D36" s="16"/>
      <c r="E36" s="16" t="n">
        <v>104</v>
      </c>
      <c r="F36" s="16" t="n">
        <v>0</v>
      </c>
      <c r="G36" s="16" t="n">
        <v>2</v>
      </c>
      <c r="H36" s="16" t="n">
        <v>1</v>
      </c>
      <c r="I36" s="16" t="n">
        <v>1</v>
      </c>
      <c r="J36" s="16" t="n">
        <v>1</v>
      </c>
      <c r="K36" s="16" t="n">
        <v>1</v>
      </c>
      <c r="L36" s="16" t="n">
        <v>35</v>
      </c>
      <c r="M36" s="16" t="n">
        <v>31</v>
      </c>
      <c r="N36" s="16" t="n">
        <v>0</v>
      </c>
      <c r="O36" s="9" t="str">
        <f aca="false">IF(B36="","",IFERROR(INDEX(Options!$G$6:$G$85,MATCH($B36,Options!$A$6:$A$85,0)),""))</f>
        <v>Letter</v>
      </c>
      <c r="P36" s="9" t="str">
        <f aca="false">IF(B36="","",IFERROR(INDEX(Options!$H$6:$H$85,MATCH($B36,Options!$A$6:$A$85,0)),""))</f>
        <v>Seasonal</v>
      </c>
      <c r="Q36" s="24" t="n">
        <f aca="false">IF(B36="",0,N(IFERROR(INDEX(Options!$J$6:$J$85,MATCH($B36,Options!$A$6:$A$85,0)),"")))</f>
        <v>180</v>
      </c>
      <c r="R36" s="25" t="n">
        <f aca="false">K36*Settings!$B$10+J36*Settings!$B$11+I36*Settings!$B$12+H36*Settings!$B$13</f>
        <v>1</v>
      </c>
      <c r="S36" s="25" t="n">
        <f aca="false">IFERROR(L36/Settings!$B$8,0)</f>
        <v>1.59090909090909</v>
      </c>
      <c r="T36" s="26" t="n">
        <f aca="false">IF(OR(B36="",P36="End of life"),0,W36*MIN(4,N36))</f>
        <v>0</v>
      </c>
      <c r="U36" s="27" t="n">
        <f aca="false">T36*Q36</f>
        <v>0</v>
      </c>
      <c r="V36" s="14" t="n">
        <f aca="false">IF(B36="",0,G36*N(IFERROR(INDEX(Options!$K$6:$K$85,MATCH($B36,Options!$A$6:$A$85,0)),"")))</f>
        <v>136.8</v>
      </c>
      <c r="W36" s="26" t="n">
        <f aca="false">IF(B36="",0,IF(N36&gt;=4,S36,(H36+I36+J36+K36)/(4-N36)))</f>
        <v>1</v>
      </c>
    </row>
    <row r="37" customFormat="false" ht="15" hidden="false" customHeight="false" outlineLevel="0" collapsed="false">
      <c r="A37" s="16" t="s">
        <v>367</v>
      </c>
      <c r="B37" s="16" t="s">
        <v>202</v>
      </c>
      <c r="C37" s="16" t="s">
        <v>333</v>
      </c>
      <c r="D37" s="16" t="s">
        <v>183</v>
      </c>
      <c r="E37" s="16" t="n">
        <v>232</v>
      </c>
      <c r="F37" s="16" t="n">
        <v>0</v>
      </c>
      <c r="G37" s="16" t="n">
        <v>7</v>
      </c>
      <c r="H37" s="16" t="n">
        <v>2</v>
      </c>
      <c r="I37" s="16" t="n">
        <v>3</v>
      </c>
      <c r="J37" s="16" t="n">
        <v>3</v>
      </c>
      <c r="K37" s="16" t="n">
        <v>2</v>
      </c>
      <c r="L37" s="16" t="n">
        <v>96</v>
      </c>
      <c r="M37" s="16" t="n">
        <v>84</v>
      </c>
      <c r="N37" s="16" t="n">
        <v>0</v>
      </c>
      <c r="O37" s="9" t="str">
        <f aca="false">IF(B37="","",IFERROR(INDEX(Options!$G$6:$G$85,MATCH($B37,Options!$A$6:$A$85,0)),""))</f>
        <v>Letter</v>
      </c>
      <c r="P37" s="9" t="str">
        <f aca="false">IF(B37="","",IFERROR(INDEX(Options!$H$6:$H$85,MATCH($B37,Options!$A$6:$A$85,0)),""))</f>
        <v>Seasonal</v>
      </c>
      <c r="Q37" s="24" t="n">
        <f aca="false">IF(B37="",0,N(IFERROR(INDEX(Options!$J$6:$J$85,MATCH($B37,Options!$A$6:$A$85,0)),"")))</f>
        <v>180</v>
      </c>
      <c r="R37" s="25" t="n">
        <f aca="false">K37*Settings!$B$10+J37*Settings!$B$11+I37*Settings!$B$12+H37*Settings!$B$13</f>
        <v>2.5</v>
      </c>
      <c r="S37" s="25" t="n">
        <f aca="false">IFERROR(L37/Settings!$B$8,0)</f>
        <v>4.36363636363636</v>
      </c>
      <c r="T37" s="26" t="n">
        <f aca="false">IF(OR(B37="",P37="End of life"),0,W37*MIN(4,N37))</f>
        <v>0</v>
      </c>
      <c r="U37" s="27" t="n">
        <f aca="false">T37*Q37</f>
        <v>0</v>
      </c>
      <c r="V37" s="14" t="n">
        <f aca="false">IF(B37="",0,G37*N(IFERROR(INDEX(Options!$K$6:$K$85,MATCH($B37,Options!$A$6:$A$85,0)),"")))</f>
        <v>478.8</v>
      </c>
      <c r="W37" s="26" t="n">
        <f aca="false">IF(B37="",0,IF(N37&gt;=4,S37,(H37+I37+J37+K37)/(4-N37)))</f>
        <v>2.5</v>
      </c>
    </row>
    <row r="38" customFormat="false" ht="15" hidden="false" customHeight="false" outlineLevel="0" collapsed="false">
      <c r="A38" s="16" t="s">
        <v>368</v>
      </c>
      <c r="B38" s="16" t="s">
        <v>202</v>
      </c>
      <c r="C38" s="16" t="s">
        <v>335</v>
      </c>
      <c r="D38" s="16" t="s">
        <v>183</v>
      </c>
      <c r="E38" s="16" t="n">
        <v>386</v>
      </c>
      <c r="F38" s="16" t="n">
        <v>0</v>
      </c>
      <c r="G38" s="16" t="n">
        <v>11</v>
      </c>
      <c r="H38" s="16" t="n">
        <v>4</v>
      </c>
      <c r="I38" s="16" t="n">
        <v>4</v>
      </c>
      <c r="J38" s="16" t="n">
        <v>4</v>
      </c>
      <c r="K38" s="16" t="n">
        <v>5</v>
      </c>
      <c r="L38" s="16" t="n">
        <v>150</v>
      </c>
      <c r="M38" s="16" t="n">
        <v>132</v>
      </c>
      <c r="N38" s="16" t="n">
        <v>0</v>
      </c>
      <c r="O38" s="9" t="str">
        <f aca="false">IF(B38="","",IFERROR(INDEX(Options!$G$6:$G$85,MATCH($B38,Options!$A$6:$A$85,0)),""))</f>
        <v>Letter</v>
      </c>
      <c r="P38" s="9" t="str">
        <f aca="false">IF(B38="","",IFERROR(INDEX(Options!$H$6:$H$85,MATCH($B38,Options!$A$6:$A$85,0)),""))</f>
        <v>Seasonal</v>
      </c>
      <c r="Q38" s="24" t="n">
        <f aca="false">IF(B38="",0,N(IFERROR(INDEX(Options!$J$6:$J$85,MATCH($B38,Options!$A$6:$A$85,0)),"")))</f>
        <v>180</v>
      </c>
      <c r="R38" s="25" t="n">
        <f aca="false">K38*Settings!$B$10+J38*Settings!$B$11+I38*Settings!$B$12+H38*Settings!$B$13</f>
        <v>4.4</v>
      </c>
      <c r="S38" s="25" t="n">
        <f aca="false">IFERROR(L38/Settings!$B$8,0)</f>
        <v>6.81818181818182</v>
      </c>
      <c r="T38" s="26" t="n">
        <f aca="false">IF(OR(B38="",P38="End of life"),0,W38*MIN(4,N38))</f>
        <v>0</v>
      </c>
      <c r="U38" s="27" t="n">
        <f aca="false">T38*Q38</f>
        <v>0</v>
      </c>
      <c r="V38" s="14" t="n">
        <f aca="false">IF(B38="",0,G38*N(IFERROR(INDEX(Options!$K$6:$K$85,MATCH($B38,Options!$A$6:$A$85,0)),"")))</f>
        <v>752.4</v>
      </c>
      <c r="W38" s="26" t="n">
        <f aca="false">IF(B38="",0,IF(N38&gt;=4,S38,(H38+I38+J38+K38)/(4-N38)))</f>
        <v>4.25</v>
      </c>
    </row>
    <row r="39" customFormat="false" ht="15" hidden="false" customHeight="false" outlineLevel="0" collapsed="false">
      <c r="A39" s="16" t="s">
        <v>369</v>
      </c>
      <c r="B39" s="16" t="s">
        <v>202</v>
      </c>
      <c r="C39" s="16" t="s">
        <v>337</v>
      </c>
      <c r="D39" s="16" t="s">
        <v>183</v>
      </c>
      <c r="E39" s="16" t="n">
        <v>335</v>
      </c>
      <c r="F39" s="16" t="n">
        <v>0</v>
      </c>
      <c r="G39" s="16" t="n">
        <v>10</v>
      </c>
      <c r="H39" s="16" t="n">
        <v>3</v>
      </c>
      <c r="I39" s="16" t="n">
        <v>4</v>
      </c>
      <c r="J39" s="16" t="n">
        <v>4</v>
      </c>
      <c r="K39" s="16" t="n">
        <v>4</v>
      </c>
      <c r="L39" s="16" t="n">
        <v>135</v>
      </c>
      <c r="M39" s="16" t="n">
        <v>119</v>
      </c>
      <c r="N39" s="16" t="n">
        <v>0</v>
      </c>
      <c r="O39" s="9" t="str">
        <f aca="false">IF(B39="","",IFERROR(INDEX(Options!$G$6:$G$85,MATCH($B39,Options!$A$6:$A$85,0)),""))</f>
        <v>Letter</v>
      </c>
      <c r="P39" s="9" t="str">
        <f aca="false">IF(B39="","",IFERROR(INDEX(Options!$H$6:$H$85,MATCH($B39,Options!$A$6:$A$85,0)),""))</f>
        <v>Seasonal</v>
      </c>
      <c r="Q39" s="24" t="n">
        <f aca="false">IF(B39="",0,N(IFERROR(INDEX(Options!$J$6:$J$85,MATCH($B39,Options!$A$6:$A$85,0)),"")))</f>
        <v>180</v>
      </c>
      <c r="R39" s="25" t="n">
        <f aca="false">K39*Settings!$B$10+J39*Settings!$B$11+I39*Settings!$B$12+H39*Settings!$B$13</f>
        <v>3.9</v>
      </c>
      <c r="S39" s="25" t="n">
        <f aca="false">IFERROR(L39/Settings!$B$8,0)</f>
        <v>6.13636363636364</v>
      </c>
      <c r="T39" s="26" t="n">
        <f aca="false">IF(OR(B39="",P39="End of life"),0,W39*MIN(4,N39))</f>
        <v>0</v>
      </c>
      <c r="U39" s="27" t="n">
        <f aca="false">T39*Q39</f>
        <v>0</v>
      </c>
      <c r="V39" s="14" t="n">
        <f aca="false">IF(B39="",0,G39*N(IFERROR(INDEX(Options!$K$6:$K$85,MATCH($B39,Options!$A$6:$A$85,0)),"")))</f>
        <v>684</v>
      </c>
      <c r="W39" s="26" t="n">
        <f aca="false">IF(B39="",0,IF(N39&gt;=4,S39,(H39+I39+J39+K39)/(4-N39)))</f>
        <v>3.75</v>
      </c>
    </row>
    <row r="40" customFormat="false" ht="15" hidden="false" customHeight="false" outlineLevel="0" collapsed="false">
      <c r="A40" s="16" t="s">
        <v>370</v>
      </c>
      <c r="B40" s="16" t="s">
        <v>202</v>
      </c>
      <c r="C40" s="16" t="s">
        <v>339</v>
      </c>
      <c r="D40" s="16"/>
      <c r="E40" s="16" t="n">
        <v>180</v>
      </c>
      <c r="F40" s="16" t="n">
        <v>0</v>
      </c>
      <c r="G40" s="16" t="n">
        <v>5</v>
      </c>
      <c r="H40" s="16" t="n">
        <v>2</v>
      </c>
      <c r="I40" s="16" t="n">
        <v>2</v>
      </c>
      <c r="J40" s="16" t="n">
        <v>2</v>
      </c>
      <c r="K40" s="16" t="n">
        <v>2</v>
      </c>
      <c r="L40" s="16" t="n">
        <v>76</v>
      </c>
      <c r="M40" s="16" t="n">
        <v>67</v>
      </c>
      <c r="N40" s="16" t="n">
        <v>0</v>
      </c>
      <c r="O40" s="9" t="str">
        <f aca="false">IF(B40="","",IFERROR(INDEX(Options!$G$6:$G$85,MATCH($B40,Options!$A$6:$A$85,0)),""))</f>
        <v>Letter</v>
      </c>
      <c r="P40" s="9" t="str">
        <f aca="false">IF(B40="","",IFERROR(INDEX(Options!$H$6:$H$85,MATCH($B40,Options!$A$6:$A$85,0)),""))</f>
        <v>Seasonal</v>
      </c>
      <c r="Q40" s="24" t="n">
        <f aca="false">IF(B40="",0,N(IFERROR(INDEX(Options!$J$6:$J$85,MATCH($B40,Options!$A$6:$A$85,0)),"")))</f>
        <v>180</v>
      </c>
      <c r="R40" s="25" t="n">
        <f aca="false">K40*Settings!$B$10+J40*Settings!$B$11+I40*Settings!$B$12+H40*Settings!$B$13</f>
        <v>2</v>
      </c>
      <c r="S40" s="25" t="n">
        <f aca="false">IFERROR(L40/Settings!$B$8,0)</f>
        <v>3.45454545454545</v>
      </c>
      <c r="T40" s="26" t="n">
        <f aca="false">IF(OR(B40="",P40="End of life"),0,W40*MIN(4,N40))</f>
        <v>0</v>
      </c>
      <c r="U40" s="27" t="n">
        <f aca="false">T40*Q40</f>
        <v>0</v>
      </c>
      <c r="V40" s="14" t="n">
        <f aca="false">IF(B40="",0,G40*N(IFERROR(INDEX(Options!$K$6:$K$85,MATCH($B40,Options!$A$6:$A$85,0)),"")))</f>
        <v>342</v>
      </c>
      <c r="W40" s="26" t="n">
        <f aca="false">IF(B40="",0,IF(N40&gt;=4,S40,(H40+I40+J40+K40)/(4-N40)))</f>
        <v>2</v>
      </c>
    </row>
    <row r="41" customFormat="false" ht="15" hidden="false" customHeight="false" outlineLevel="0" collapsed="false">
      <c r="A41" s="16" t="s">
        <v>371</v>
      </c>
      <c r="B41" s="16" t="s">
        <v>202</v>
      </c>
      <c r="C41" s="16" t="s">
        <v>341</v>
      </c>
      <c r="D41" s="16"/>
      <c r="E41" s="16" t="n">
        <v>104</v>
      </c>
      <c r="F41" s="16" t="n">
        <v>0</v>
      </c>
      <c r="G41" s="16" t="n">
        <v>2</v>
      </c>
      <c r="H41" s="16" t="n">
        <v>1</v>
      </c>
      <c r="I41" s="16" t="n">
        <v>1</v>
      </c>
      <c r="J41" s="16" t="n">
        <v>1</v>
      </c>
      <c r="K41" s="16" t="n">
        <v>1</v>
      </c>
      <c r="L41" s="16" t="n">
        <v>31</v>
      </c>
      <c r="M41" s="16" t="n">
        <v>27</v>
      </c>
      <c r="N41" s="16" t="n">
        <v>0</v>
      </c>
      <c r="O41" s="9" t="str">
        <f aca="false">IF(B41="","",IFERROR(INDEX(Options!$G$6:$G$85,MATCH($B41,Options!$A$6:$A$85,0)),""))</f>
        <v>Letter</v>
      </c>
      <c r="P41" s="9" t="str">
        <f aca="false">IF(B41="","",IFERROR(INDEX(Options!$H$6:$H$85,MATCH($B41,Options!$A$6:$A$85,0)),""))</f>
        <v>Seasonal</v>
      </c>
      <c r="Q41" s="24" t="n">
        <f aca="false">IF(B41="",0,N(IFERROR(INDEX(Options!$J$6:$J$85,MATCH($B41,Options!$A$6:$A$85,0)),"")))</f>
        <v>180</v>
      </c>
      <c r="R41" s="25" t="n">
        <f aca="false">K41*Settings!$B$10+J41*Settings!$B$11+I41*Settings!$B$12+H41*Settings!$B$13</f>
        <v>1</v>
      </c>
      <c r="S41" s="25" t="n">
        <f aca="false">IFERROR(L41/Settings!$B$8,0)</f>
        <v>1.40909090909091</v>
      </c>
      <c r="T41" s="26" t="n">
        <f aca="false">IF(OR(B41="",P41="End of life"),0,W41*MIN(4,N41))</f>
        <v>0</v>
      </c>
      <c r="U41" s="27" t="n">
        <f aca="false">T41*Q41</f>
        <v>0</v>
      </c>
      <c r="V41" s="14" t="n">
        <f aca="false">IF(B41="",0,G41*N(IFERROR(INDEX(Options!$K$6:$K$85,MATCH($B41,Options!$A$6:$A$85,0)),"")))</f>
        <v>136.8</v>
      </c>
      <c r="W41" s="26" t="n">
        <f aca="false">IF(B41="",0,IF(N41&gt;=4,S41,(H41+I41+J41+K41)/(4-N41)))</f>
        <v>1</v>
      </c>
    </row>
    <row r="42" customFormat="false" ht="15" hidden="false" customHeight="false" outlineLevel="0" collapsed="false">
      <c r="A42" s="16" t="s">
        <v>372</v>
      </c>
      <c r="B42" s="16" t="s">
        <v>205</v>
      </c>
      <c r="C42" s="16" t="s">
        <v>331</v>
      </c>
      <c r="D42" s="16"/>
      <c r="E42" s="16" t="n">
        <v>48</v>
      </c>
      <c r="F42" s="16" t="n">
        <v>0</v>
      </c>
      <c r="G42" s="16" t="n">
        <v>17</v>
      </c>
      <c r="H42" s="16" t="n">
        <v>2</v>
      </c>
      <c r="I42" s="16" t="n">
        <v>2</v>
      </c>
      <c r="J42" s="16" t="n">
        <v>2</v>
      </c>
      <c r="K42" s="16" t="n">
        <v>2</v>
      </c>
      <c r="L42" s="16" t="n">
        <v>31</v>
      </c>
      <c r="M42" s="16" t="n">
        <v>27</v>
      </c>
      <c r="N42" s="16" t="n">
        <v>0</v>
      </c>
      <c r="O42" s="9" t="str">
        <f aca="false">IF(B42="","",IFERROR(INDEX(Options!$G$6:$G$85,MATCH($B42,Options!$A$6:$A$85,0)),""))</f>
        <v>Letter</v>
      </c>
      <c r="P42" s="9" t="str">
        <f aca="false">IF(B42="","",IFERROR(INDEX(Options!$H$6:$H$85,MATCH($B42,Options!$A$6:$A$85,0)),""))</f>
        <v>Seasonal</v>
      </c>
      <c r="Q42" s="24" t="n">
        <f aca="false">IF(B42="",0,N(IFERROR(INDEX(Options!$J$6:$J$85,MATCH($B42,Options!$A$6:$A$85,0)),"")))</f>
        <v>220</v>
      </c>
      <c r="R42" s="25" t="n">
        <f aca="false">K42*Settings!$B$10+J42*Settings!$B$11+I42*Settings!$B$12+H42*Settings!$B$13</f>
        <v>2</v>
      </c>
      <c r="S42" s="25" t="n">
        <f aca="false">IFERROR(L42/Settings!$B$8,0)</f>
        <v>1.40909090909091</v>
      </c>
      <c r="T42" s="26" t="n">
        <f aca="false">IF(OR(B42="",P42="End of life"),0,W42*MIN(4,N42))</f>
        <v>0</v>
      </c>
      <c r="U42" s="27" t="n">
        <f aca="false">T42*Q42</f>
        <v>0</v>
      </c>
      <c r="V42" s="14" t="n">
        <f aca="false">IF(B42="",0,G42*N(IFERROR(INDEX(Options!$K$6:$K$85,MATCH($B42,Options!$A$6:$A$85,0)),"")))</f>
        <v>1421.2</v>
      </c>
      <c r="W42" s="26" t="n">
        <f aca="false">IF(B42="",0,IF(N42&gt;=4,S42,(H42+I42+J42+K42)/(4-N42)))</f>
        <v>2</v>
      </c>
    </row>
    <row r="43" customFormat="false" ht="15" hidden="false" customHeight="false" outlineLevel="0" collapsed="false">
      <c r="A43" s="16" t="s">
        <v>373</v>
      </c>
      <c r="B43" s="16" t="s">
        <v>205</v>
      </c>
      <c r="C43" s="16" t="s">
        <v>333</v>
      </c>
      <c r="D43" s="16" t="s">
        <v>183</v>
      </c>
      <c r="E43" s="16" t="n">
        <v>107</v>
      </c>
      <c r="F43" s="16" t="n">
        <v>0</v>
      </c>
      <c r="G43" s="16" t="n">
        <v>18</v>
      </c>
      <c r="H43" s="16" t="n">
        <v>5</v>
      </c>
      <c r="I43" s="16" t="n">
        <v>6</v>
      </c>
      <c r="J43" s="16" t="n">
        <v>6</v>
      </c>
      <c r="K43" s="16" t="n">
        <v>6</v>
      </c>
      <c r="L43" s="16" t="n">
        <v>89</v>
      </c>
      <c r="M43" s="16" t="n">
        <v>78</v>
      </c>
      <c r="N43" s="16" t="n">
        <v>0</v>
      </c>
      <c r="O43" s="9" t="str">
        <f aca="false">IF(B43="","",IFERROR(INDEX(Options!$G$6:$G$85,MATCH($B43,Options!$A$6:$A$85,0)),""))</f>
        <v>Letter</v>
      </c>
      <c r="P43" s="9" t="str">
        <f aca="false">IF(B43="","",IFERROR(INDEX(Options!$H$6:$H$85,MATCH($B43,Options!$A$6:$A$85,0)),""))</f>
        <v>Seasonal</v>
      </c>
      <c r="Q43" s="24" t="n">
        <f aca="false">IF(B43="",0,N(IFERROR(INDEX(Options!$J$6:$J$85,MATCH($B43,Options!$A$6:$A$85,0)),"")))</f>
        <v>220</v>
      </c>
      <c r="R43" s="25" t="n">
        <f aca="false">K43*Settings!$B$10+J43*Settings!$B$11+I43*Settings!$B$12+H43*Settings!$B$13</f>
        <v>5.9</v>
      </c>
      <c r="S43" s="25" t="n">
        <f aca="false">IFERROR(L43/Settings!$B$8,0)</f>
        <v>4.04545454545455</v>
      </c>
      <c r="T43" s="26" t="n">
        <f aca="false">IF(OR(B43="",P43="End of life"),0,W43*MIN(4,N43))</f>
        <v>0</v>
      </c>
      <c r="U43" s="27" t="n">
        <f aca="false">T43*Q43</f>
        <v>0</v>
      </c>
      <c r="V43" s="14" t="n">
        <f aca="false">IF(B43="",0,G43*N(IFERROR(INDEX(Options!$K$6:$K$85,MATCH($B43,Options!$A$6:$A$85,0)),"")))</f>
        <v>1504.8</v>
      </c>
      <c r="W43" s="26" t="n">
        <f aca="false">IF(B43="",0,IF(N43&gt;=4,S43,(H43+I43+J43+K43)/(4-N43)))</f>
        <v>5.75</v>
      </c>
    </row>
    <row r="44" customFormat="false" ht="15" hidden="false" customHeight="false" outlineLevel="0" collapsed="false">
      <c r="A44" s="16" t="s">
        <v>374</v>
      </c>
      <c r="B44" s="16" t="s">
        <v>205</v>
      </c>
      <c r="C44" s="16" t="s">
        <v>335</v>
      </c>
      <c r="D44" s="16" t="s">
        <v>183</v>
      </c>
      <c r="E44" s="16" t="n">
        <v>179</v>
      </c>
      <c r="F44" s="16" t="n">
        <v>0</v>
      </c>
      <c r="G44" s="16" t="n">
        <v>31</v>
      </c>
      <c r="H44" s="16" t="n">
        <v>8</v>
      </c>
      <c r="I44" s="16" t="n">
        <v>10</v>
      </c>
      <c r="J44" s="16" t="n">
        <v>10</v>
      </c>
      <c r="K44" s="16" t="n">
        <v>12</v>
      </c>
      <c r="L44" s="16" t="n">
        <v>148</v>
      </c>
      <c r="M44" s="16" t="n">
        <v>130</v>
      </c>
      <c r="N44" s="16" t="n">
        <v>0</v>
      </c>
      <c r="O44" s="9" t="str">
        <f aca="false">IF(B44="","",IFERROR(INDEX(Options!$G$6:$G$85,MATCH($B44,Options!$A$6:$A$85,0)),""))</f>
        <v>Letter</v>
      </c>
      <c r="P44" s="9" t="str">
        <f aca="false">IF(B44="","",IFERROR(INDEX(Options!$H$6:$H$85,MATCH($B44,Options!$A$6:$A$85,0)),""))</f>
        <v>Seasonal</v>
      </c>
      <c r="Q44" s="24" t="n">
        <f aca="false">IF(B44="",0,N(IFERROR(INDEX(Options!$J$6:$J$85,MATCH($B44,Options!$A$6:$A$85,0)),"")))</f>
        <v>220</v>
      </c>
      <c r="R44" s="25" t="n">
        <f aca="false">K44*Settings!$B$10+J44*Settings!$B$11+I44*Settings!$B$12+H44*Settings!$B$13</f>
        <v>10.6</v>
      </c>
      <c r="S44" s="25" t="n">
        <f aca="false">IFERROR(L44/Settings!$B$8,0)</f>
        <v>6.72727272727273</v>
      </c>
      <c r="T44" s="26" t="n">
        <f aca="false">IF(OR(B44="",P44="End of life"),0,W44*MIN(4,N44))</f>
        <v>0</v>
      </c>
      <c r="U44" s="27" t="n">
        <f aca="false">T44*Q44</f>
        <v>0</v>
      </c>
      <c r="V44" s="14" t="n">
        <f aca="false">IF(B44="",0,G44*N(IFERROR(INDEX(Options!$K$6:$K$85,MATCH($B44,Options!$A$6:$A$85,0)),"")))</f>
        <v>2591.6</v>
      </c>
      <c r="W44" s="26" t="n">
        <f aca="false">IF(B44="",0,IF(N44&gt;=4,S44,(H44+I44+J44+K44)/(4-N44)))</f>
        <v>10</v>
      </c>
    </row>
    <row r="45" customFormat="false" ht="15" hidden="false" customHeight="false" outlineLevel="0" collapsed="false">
      <c r="A45" s="16" t="s">
        <v>375</v>
      </c>
      <c r="B45" s="16" t="s">
        <v>205</v>
      </c>
      <c r="C45" s="16" t="s">
        <v>337</v>
      </c>
      <c r="D45" s="16" t="s">
        <v>183</v>
      </c>
      <c r="E45" s="16" t="n">
        <v>155</v>
      </c>
      <c r="F45" s="16" t="n">
        <v>0</v>
      </c>
      <c r="G45" s="16" t="n">
        <v>7</v>
      </c>
      <c r="H45" s="16" t="n">
        <v>8</v>
      </c>
      <c r="I45" s="16" t="n">
        <v>8</v>
      </c>
      <c r="J45" s="16" t="n">
        <v>9</v>
      </c>
      <c r="K45" s="16" t="n">
        <v>7</v>
      </c>
      <c r="L45" s="16" t="n">
        <v>148</v>
      </c>
      <c r="M45" s="16" t="n">
        <v>130</v>
      </c>
      <c r="N45" s="16" t="n">
        <v>0</v>
      </c>
      <c r="O45" s="9" t="str">
        <f aca="false">IF(B45="","",IFERROR(INDEX(Options!$G$6:$G$85,MATCH($B45,Options!$A$6:$A$85,0)),""))</f>
        <v>Letter</v>
      </c>
      <c r="P45" s="9" t="str">
        <f aca="false">IF(B45="","",IFERROR(INDEX(Options!$H$6:$H$85,MATCH($B45,Options!$A$6:$A$85,0)),""))</f>
        <v>Seasonal</v>
      </c>
      <c r="Q45" s="24" t="n">
        <f aca="false">IF(B45="",0,N(IFERROR(INDEX(Options!$J$6:$J$85,MATCH($B45,Options!$A$6:$A$85,0)),"")))</f>
        <v>220</v>
      </c>
      <c r="R45" s="25" t="n">
        <f aca="false">K45*Settings!$B$10+J45*Settings!$B$11+I45*Settings!$B$12+H45*Settings!$B$13</f>
        <v>7.9</v>
      </c>
      <c r="S45" s="25" t="n">
        <f aca="false">IFERROR(L45/Settings!$B$8,0)</f>
        <v>6.72727272727273</v>
      </c>
      <c r="T45" s="26" t="n">
        <f aca="false">IF(OR(B45="",P45="End of life"),0,W45*MIN(4,N45))</f>
        <v>0</v>
      </c>
      <c r="U45" s="27" t="n">
        <f aca="false">T45*Q45</f>
        <v>0</v>
      </c>
      <c r="V45" s="14" t="n">
        <f aca="false">IF(B45="",0,G45*N(IFERROR(INDEX(Options!$K$6:$K$85,MATCH($B45,Options!$A$6:$A$85,0)),"")))</f>
        <v>585.2</v>
      </c>
      <c r="W45" s="26" t="n">
        <f aca="false">IF(B45="",0,IF(N45&gt;=4,S45,(H45+I45+J45+K45)/(4-N45)))</f>
        <v>8</v>
      </c>
    </row>
    <row r="46" customFormat="false" ht="15" hidden="false" customHeight="false" outlineLevel="0" collapsed="false">
      <c r="A46" s="16" t="s">
        <v>376</v>
      </c>
      <c r="B46" s="16" t="s">
        <v>205</v>
      </c>
      <c r="C46" s="16" t="s">
        <v>339</v>
      </c>
      <c r="D46" s="16"/>
      <c r="E46" s="16" t="n">
        <v>84</v>
      </c>
      <c r="F46" s="16" t="n">
        <v>0</v>
      </c>
      <c r="G46" s="16" t="n">
        <v>8</v>
      </c>
      <c r="H46" s="16" t="n">
        <v>3</v>
      </c>
      <c r="I46" s="16" t="n">
        <v>5</v>
      </c>
      <c r="J46" s="16" t="n">
        <v>5</v>
      </c>
      <c r="K46" s="16" t="n">
        <v>6</v>
      </c>
      <c r="L46" s="16" t="n">
        <v>76</v>
      </c>
      <c r="M46" s="16" t="n">
        <v>67</v>
      </c>
      <c r="N46" s="16" t="n">
        <v>0</v>
      </c>
      <c r="O46" s="9" t="str">
        <f aca="false">IF(B46="","",IFERROR(INDEX(Options!$G$6:$G$85,MATCH($B46,Options!$A$6:$A$85,0)),""))</f>
        <v>Letter</v>
      </c>
      <c r="P46" s="9" t="str">
        <f aca="false">IF(B46="","",IFERROR(INDEX(Options!$H$6:$H$85,MATCH($B46,Options!$A$6:$A$85,0)),""))</f>
        <v>Seasonal</v>
      </c>
      <c r="Q46" s="24" t="n">
        <f aca="false">IF(B46="",0,N(IFERROR(INDEX(Options!$J$6:$J$85,MATCH($B46,Options!$A$6:$A$85,0)),"")))</f>
        <v>220</v>
      </c>
      <c r="R46" s="25" t="n">
        <f aca="false">K46*Settings!$B$10+J46*Settings!$B$11+I46*Settings!$B$12+H46*Settings!$B$13</f>
        <v>5.2</v>
      </c>
      <c r="S46" s="25" t="n">
        <f aca="false">IFERROR(L46/Settings!$B$8,0)</f>
        <v>3.45454545454545</v>
      </c>
      <c r="T46" s="26" t="n">
        <f aca="false">IF(OR(B46="",P46="End of life"),0,W46*MIN(4,N46))</f>
        <v>0</v>
      </c>
      <c r="U46" s="27" t="n">
        <f aca="false">T46*Q46</f>
        <v>0</v>
      </c>
      <c r="V46" s="14" t="n">
        <f aca="false">IF(B46="",0,G46*N(IFERROR(INDEX(Options!$K$6:$K$85,MATCH($B46,Options!$A$6:$A$85,0)),"")))</f>
        <v>668.8</v>
      </c>
      <c r="W46" s="26" t="n">
        <f aca="false">IF(B46="",0,IF(N46&gt;=4,S46,(H46+I46+J46+K46)/(4-N46)))</f>
        <v>4.75</v>
      </c>
    </row>
    <row r="47" customFormat="false" ht="15" hidden="false" customHeight="false" outlineLevel="0" collapsed="false">
      <c r="A47" s="16" t="s">
        <v>377</v>
      </c>
      <c r="B47" s="16" t="s">
        <v>205</v>
      </c>
      <c r="C47" s="16" t="s">
        <v>341</v>
      </c>
      <c r="D47" s="16"/>
      <c r="E47" s="16" t="n">
        <v>48</v>
      </c>
      <c r="F47" s="16" t="n">
        <v>0</v>
      </c>
      <c r="G47" s="16" t="n">
        <v>15</v>
      </c>
      <c r="H47" s="16" t="n">
        <v>2</v>
      </c>
      <c r="I47" s="16" t="n">
        <v>2</v>
      </c>
      <c r="J47" s="16" t="n">
        <v>2</v>
      </c>
      <c r="K47" s="16" t="n">
        <v>2</v>
      </c>
      <c r="L47" s="16" t="n">
        <v>33</v>
      </c>
      <c r="M47" s="16" t="n">
        <v>29</v>
      </c>
      <c r="N47" s="16" t="n">
        <v>0</v>
      </c>
      <c r="O47" s="9" t="str">
        <f aca="false">IF(B47="","",IFERROR(INDEX(Options!$G$6:$G$85,MATCH($B47,Options!$A$6:$A$85,0)),""))</f>
        <v>Letter</v>
      </c>
      <c r="P47" s="9" t="str">
        <f aca="false">IF(B47="","",IFERROR(INDEX(Options!$H$6:$H$85,MATCH($B47,Options!$A$6:$A$85,0)),""))</f>
        <v>Seasonal</v>
      </c>
      <c r="Q47" s="24" t="n">
        <f aca="false">IF(B47="",0,N(IFERROR(INDEX(Options!$J$6:$J$85,MATCH($B47,Options!$A$6:$A$85,0)),"")))</f>
        <v>220</v>
      </c>
      <c r="R47" s="25" t="n">
        <f aca="false">K47*Settings!$B$10+J47*Settings!$B$11+I47*Settings!$B$12+H47*Settings!$B$13</f>
        <v>2</v>
      </c>
      <c r="S47" s="25" t="n">
        <f aca="false">IFERROR(L47/Settings!$B$8,0)</f>
        <v>1.5</v>
      </c>
      <c r="T47" s="26" t="n">
        <f aca="false">IF(OR(B47="",P47="End of life"),0,W47*MIN(4,N47))</f>
        <v>0</v>
      </c>
      <c r="U47" s="27" t="n">
        <f aca="false">T47*Q47</f>
        <v>0</v>
      </c>
      <c r="V47" s="14" t="n">
        <f aca="false">IF(B47="",0,G47*N(IFERROR(INDEX(Options!$K$6:$K$85,MATCH($B47,Options!$A$6:$A$85,0)),"")))</f>
        <v>1254</v>
      </c>
      <c r="W47" s="26" t="n">
        <f aca="false">IF(B47="",0,IF(N47&gt;=4,S47,(H47+I47+J47+K47)/(4-N47)))</f>
        <v>2</v>
      </c>
    </row>
    <row r="48" customFormat="false" ht="15" hidden="false" customHeight="false" outlineLevel="0" collapsed="false">
      <c r="A48" s="16" t="s">
        <v>378</v>
      </c>
      <c r="B48" s="16" t="s">
        <v>208</v>
      </c>
      <c r="C48" s="16" t="s">
        <v>331</v>
      </c>
      <c r="D48" s="16"/>
      <c r="E48" s="16" t="n">
        <v>58</v>
      </c>
      <c r="F48" s="16" t="n">
        <v>0</v>
      </c>
      <c r="G48" s="16" t="n">
        <v>23</v>
      </c>
      <c r="H48" s="16" t="n">
        <v>2</v>
      </c>
      <c r="I48" s="16" t="n">
        <v>2</v>
      </c>
      <c r="J48" s="16" t="n">
        <v>2</v>
      </c>
      <c r="K48" s="16" t="n">
        <v>2</v>
      </c>
      <c r="L48" s="16" t="n">
        <v>35</v>
      </c>
      <c r="M48" s="16" t="n">
        <v>31</v>
      </c>
      <c r="N48" s="16" t="n">
        <v>0</v>
      </c>
      <c r="O48" s="9" t="str">
        <f aca="false">IF(B48="","",IFERROR(INDEX(Options!$G$6:$G$85,MATCH($B48,Options!$A$6:$A$85,0)),""))</f>
        <v>Letter</v>
      </c>
      <c r="P48" s="9" t="str">
        <f aca="false">IF(B48="","",IFERROR(INDEX(Options!$H$6:$H$85,MATCH($B48,Options!$A$6:$A$85,0)),""))</f>
        <v>Seasonal</v>
      </c>
      <c r="Q48" s="24" t="n">
        <f aca="false">IF(B48="",0,N(IFERROR(INDEX(Options!$J$6:$J$85,MATCH($B48,Options!$A$6:$A$85,0)),"")))</f>
        <v>180</v>
      </c>
      <c r="R48" s="25" t="n">
        <f aca="false">K48*Settings!$B$10+J48*Settings!$B$11+I48*Settings!$B$12+H48*Settings!$B$13</f>
        <v>2</v>
      </c>
      <c r="S48" s="25" t="n">
        <f aca="false">IFERROR(L48/Settings!$B$8,0)</f>
        <v>1.59090909090909</v>
      </c>
      <c r="T48" s="26" t="n">
        <f aca="false">IF(OR(B48="",P48="End of life"),0,W48*MIN(4,N48))</f>
        <v>0</v>
      </c>
      <c r="U48" s="27" t="n">
        <f aca="false">T48*Q48</f>
        <v>0</v>
      </c>
      <c r="V48" s="14" t="n">
        <f aca="false">IF(B48="",0,G48*N(IFERROR(INDEX(Options!$K$6:$K$85,MATCH($B48,Options!$A$6:$A$85,0)),"")))</f>
        <v>1573.2</v>
      </c>
      <c r="W48" s="26" t="n">
        <f aca="false">IF(B48="",0,IF(N48&gt;=4,S48,(H48+I48+J48+K48)/(4-N48)))</f>
        <v>2</v>
      </c>
    </row>
    <row r="49" customFormat="false" ht="15" hidden="false" customHeight="false" outlineLevel="0" collapsed="false">
      <c r="A49" s="16" t="s">
        <v>379</v>
      </c>
      <c r="B49" s="16" t="s">
        <v>208</v>
      </c>
      <c r="C49" s="16" t="s">
        <v>333</v>
      </c>
      <c r="D49" s="16" t="s">
        <v>183</v>
      </c>
      <c r="E49" s="16" t="n">
        <v>129</v>
      </c>
      <c r="F49" s="16" t="n">
        <v>0</v>
      </c>
      <c r="G49" s="16" t="n">
        <v>27</v>
      </c>
      <c r="H49" s="16" t="n">
        <v>5</v>
      </c>
      <c r="I49" s="16" t="n">
        <v>5</v>
      </c>
      <c r="J49" s="16" t="n">
        <v>5</v>
      </c>
      <c r="K49" s="16" t="n">
        <v>4</v>
      </c>
      <c r="L49" s="16" t="n">
        <v>102</v>
      </c>
      <c r="M49" s="16" t="n">
        <v>90</v>
      </c>
      <c r="N49" s="16" t="n">
        <v>0</v>
      </c>
      <c r="O49" s="9" t="str">
        <f aca="false">IF(B49="","",IFERROR(INDEX(Options!$G$6:$G$85,MATCH($B49,Options!$A$6:$A$85,0)),""))</f>
        <v>Letter</v>
      </c>
      <c r="P49" s="9" t="str">
        <f aca="false">IF(B49="","",IFERROR(INDEX(Options!$H$6:$H$85,MATCH($B49,Options!$A$6:$A$85,0)),""))</f>
        <v>Seasonal</v>
      </c>
      <c r="Q49" s="24" t="n">
        <f aca="false">IF(B49="",0,N(IFERROR(INDEX(Options!$J$6:$J$85,MATCH($B49,Options!$A$6:$A$85,0)),"")))</f>
        <v>180</v>
      </c>
      <c r="R49" s="25" t="n">
        <f aca="false">K49*Settings!$B$10+J49*Settings!$B$11+I49*Settings!$B$12+H49*Settings!$B$13</f>
        <v>4.6</v>
      </c>
      <c r="S49" s="25" t="n">
        <f aca="false">IFERROR(L49/Settings!$B$8,0)</f>
        <v>4.63636363636364</v>
      </c>
      <c r="T49" s="26" t="n">
        <f aca="false">IF(OR(B49="",P49="End of life"),0,W49*MIN(4,N49))</f>
        <v>0</v>
      </c>
      <c r="U49" s="27" t="n">
        <f aca="false">T49*Q49</f>
        <v>0</v>
      </c>
      <c r="V49" s="14" t="n">
        <f aca="false">IF(B49="",0,G49*N(IFERROR(INDEX(Options!$K$6:$K$85,MATCH($B49,Options!$A$6:$A$85,0)),"")))</f>
        <v>1846.8</v>
      </c>
      <c r="W49" s="26" t="n">
        <f aca="false">IF(B49="",0,IF(N49&gt;=4,S49,(H49+I49+J49+K49)/(4-N49)))</f>
        <v>4.75</v>
      </c>
    </row>
    <row r="50" customFormat="false" ht="15" hidden="false" customHeight="false" outlineLevel="0" collapsed="false">
      <c r="A50" s="16" t="s">
        <v>380</v>
      </c>
      <c r="B50" s="16" t="s">
        <v>208</v>
      </c>
      <c r="C50" s="16" t="s">
        <v>335</v>
      </c>
      <c r="D50" s="16" t="s">
        <v>183</v>
      </c>
      <c r="E50" s="16" t="n">
        <v>214</v>
      </c>
      <c r="F50" s="16" t="n">
        <v>0</v>
      </c>
      <c r="G50" s="16" t="n">
        <v>45</v>
      </c>
      <c r="H50" s="16" t="n">
        <v>8</v>
      </c>
      <c r="I50" s="16" t="n">
        <v>6</v>
      </c>
      <c r="J50" s="16" t="n">
        <v>7</v>
      </c>
      <c r="K50" s="16" t="n">
        <v>10</v>
      </c>
      <c r="L50" s="16" t="n">
        <v>169</v>
      </c>
      <c r="M50" s="16" t="n">
        <v>149</v>
      </c>
      <c r="N50" s="16" t="n">
        <v>0</v>
      </c>
      <c r="O50" s="9" t="str">
        <f aca="false">IF(B50="","",IFERROR(INDEX(Options!$G$6:$G$85,MATCH($B50,Options!$A$6:$A$85,0)),""))</f>
        <v>Letter</v>
      </c>
      <c r="P50" s="9" t="str">
        <f aca="false">IF(B50="","",IFERROR(INDEX(Options!$H$6:$H$85,MATCH($B50,Options!$A$6:$A$85,0)),""))</f>
        <v>Seasonal</v>
      </c>
      <c r="Q50" s="24" t="n">
        <f aca="false">IF(B50="",0,N(IFERROR(INDEX(Options!$J$6:$J$85,MATCH($B50,Options!$A$6:$A$85,0)),"")))</f>
        <v>180</v>
      </c>
      <c r="R50" s="25" t="n">
        <f aca="false">K50*Settings!$B$10+J50*Settings!$B$11+I50*Settings!$B$12+H50*Settings!$B$13</f>
        <v>8.1</v>
      </c>
      <c r="S50" s="25" t="n">
        <f aca="false">IFERROR(L50/Settings!$B$8,0)</f>
        <v>7.68181818181818</v>
      </c>
      <c r="T50" s="26" t="n">
        <f aca="false">IF(OR(B50="",P50="End of life"),0,W50*MIN(4,N50))</f>
        <v>0</v>
      </c>
      <c r="U50" s="27" t="n">
        <f aca="false">T50*Q50</f>
        <v>0</v>
      </c>
      <c r="V50" s="14" t="n">
        <f aca="false">IF(B50="",0,G50*N(IFERROR(INDEX(Options!$K$6:$K$85,MATCH($B50,Options!$A$6:$A$85,0)),"")))</f>
        <v>3078</v>
      </c>
      <c r="W50" s="26" t="n">
        <f aca="false">IF(B50="",0,IF(N50&gt;=4,S50,(H50+I50+J50+K50)/(4-N50)))</f>
        <v>7.75</v>
      </c>
    </row>
    <row r="51" customFormat="false" ht="15" hidden="false" customHeight="false" outlineLevel="0" collapsed="false">
      <c r="A51" s="16" t="s">
        <v>381</v>
      </c>
      <c r="B51" s="16" t="s">
        <v>208</v>
      </c>
      <c r="C51" s="16" t="s">
        <v>337</v>
      </c>
      <c r="D51" s="16" t="s">
        <v>183</v>
      </c>
      <c r="E51" s="16" t="n">
        <v>186</v>
      </c>
      <c r="F51" s="16" t="n">
        <v>0</v>
      </c>
      <c r="G51" s="16" t="n">
        <v>48</v>
      </c>
      <c r="H51" s="16" t="n">
        <v>7</v>
      </c>
      <c r="I51" s="16" t="n">
        <v>8</v>
      </c>
      <c r="J51" s="16" t="n">
        <v>9</v>
      </c>
      <c r="K51" s="16" t="n">
        <v>10</v>
      </c>
      <c r="L51" s="16" t="n">
        <v>138</v>
      </c>
      <c r="M51" s="16" t="n">
        <v>121</v>
      </c>
      <c r="N51" s="16" t="n">
        <v>0</v>
      </c>
      <c r="O51" s="9" t="str">
        <f aca="false">IF(B51="","",IFERROR(INDEX(Options!$G$6:$G$85,MATCH($B51,Options!$A$6:$A$85,0)),""))</f>
        <v>Letter</v>
      </c>
      <c r="P51" s="9" t="str">
        <f aca="false">IF(B51="","",IFERROR(INDEX(Options!$H$6:$H$85,MATCH($B51,Options!$A$6:$A$85,0)),""))</f>
        <v>Seasonal</v>
      </c>
      <c r="Q51" s="24" t="n">
        <f aca="false">IF(B51="",0,N(IFERROR(INDEX(Options!$J$6:$J$85,MATCH($B51,Options!$A$6:$A$85,0)),"")))</f>
        <v>180</v>
      </c>
      <c r="R51" s="25" t="n">
        <f aca="false">K51*Settings!$B$10+J51*Settings!$B$11+I51*Settings!$B$12+H51*Settings!$B$13</f>
        <v>9</v>
      </c>
      <c r="S51" s="25" t="n">
        <f aca="false">IFERROR(L51/Settings!$B$8,0)</f>
        <v>6.27272727272727</v>
      </c>
      <c r="T51" s="26" t="n">
        <f aca="false">IF(OR(B51="",P51="End of life"),0,W51*MIN(4,N51))</f>
        <v>0</v>
      </c>
      <c r="U51" s="27" t="n">
        <f aca="false">T51*Q51</f>
        <v>0</v>
      </c>
      <c r="V51" s="14" t="n">
        <f aca="false">IF(B51="",0,G51*N(IFERROR(INDEX(Options!$K$6:$K$85,MATCH($B51,Options!$A$6:$A$85,0)),"")))</f>
        <v>3283.2</v>
      </c>
      <c r="W51" s="26" t="n">
        <f aca="false">IF(B51="",0,IF(N51&gt;=4,S51,(H51+I51+J51+K51)/(4-N51)))</f>
        <v>8.5</v>
      </c>
    </row>
    <row r="52" customFormat="false" ht="15" hidden="false" customHeight="false" outlineLevel="0" collapsed="false">
      <c r="A52" s="16" t="s">
        <v>382</v>
      </c>
      <c r="B52" s="16" t="s">
        <v>208</v>
      </c>
      <c r="C52" s="16" t="s">
        <v>339</v>
      </c>
      <c r="D52" s="16"/>
      <c r="E52" s="16" t="n">
        <v>100</v>
      </c>
      <c r="F52" s="16" t="n">
        <v>0</v>
      </c>
      <c r="G52" s="16" t="n">
        <v>20</v>
      </c>
      <c r="H52" s="16" t="n">
        <v>3</v>
      </c>
      <c r="I52" s="16" t="n">
        <v>3</v>
      </c>
      <c r="J52" s="16" t="n">
        <v>4</v>
      </c>
      <c r="K52" s="16" t="n">
        <v>4</v>
      </c>
      <c r="L52" s="16" t="n">
        <v>80</v>
      </c>
      <c r="M52" s="16" t="n">
        <v>70</v>
      </c>
      <c r="N52" s="16" t="n">
        <v>0</v>
      </c>
      <c r="O52" s="9" t="str">
        <f aca="false">IF(B52="","",IFERROR(INDEX(Options!$G$6:$G$85,MATCH($B52,Options!$A$6:$A$85,0)),""))</f>
        <v>Letter</v>
      </c>
      <c r="P52" s="9" t="str">
        <f aca="false">IF(B52="","",IFERROR(INDEX(Options!$H$6:$H$85,MATCH($B52,Options!$A$6:$A$85,0)),""))</f>
        <v>Seasonal</v>
      </c>
      <c r="Q52" s="24" t="n">
        <f aca="false">IF(B52="",0,N(IFERROR(INDEX(Options!$J$6:$J$85,MATCH($B52,Options!$A$6:$A$85,0)),"")))</f>
        <v>180</v>
      </c>
      <c r="R52" s="25" t="n">
        <f aca="false">K52*Settings!$B$10+J52*Settings!$B$11+I52*Settings!$B$12+H52*Settings!$B$13</f>
        <v>3.7</v>
      </c>
      <c r="S52" s="25" t="n">
        <f aca="false">IFERROR(L52/Settings!$B$8,0)</f>
        <v>3.63636363636364</v>
      </c>
      <c r="T52" s="26" t="n">
        <f aca="false">IF(OR(B52="",P52="End of life"),0,W52*MIN(4,N52))</f>
        <v>0</v>
      </c>
      <c r="U52" s="27" t="n">
        <f aca="false">T52*Q52</f>
        <v>0</v>
      </c>
      <c r="V52" s="14" t="n">
        <f aca="false">IF(B52="",0,G52*N(IFERROR(INDEX(Options!$K$6:$K$85,MATCH($B52,Options!$A$6:$A$85,0)),"")))</f>
        <v>1368</v>
      </c>
      <c r="W52" s="26" t="n">
        <f aca="false">IF(B52="",0,IF(N52&gt;=4,S52,(H52+I52+J52+K52)/(4-N52)))</f>
        <v>3.5</v>
      </c>
    </row>
    <row r="53" customFormat="false" ht="15" hidden="false" customHeight="false" outlineLevel="0" collapsed="false">
      <c r="A53" s="16" t="s">
        <v>383</v>
      </c>
      <c r="B53" s="16" t="s">
        <v>208</v>
      </c>
      <c r="C53" s="16" t="s">
        <v>341</v>
      </c>
      <c r="D53" s="16"/>
      <c r="E53" s="16" t="n">
        <v>58</v>
      </c>
      <c r="F53" s="16" t="n">
        <v>0</v>
      </c>
      <c r="G53" s="16" t="n">
        <v>24</v>
      </c>
      <c r="H53" s="16" t="n">
        <v>1</v>
      </c>
      <c r="I53" s="16" t="n">
        <v>2</v>
      </c>
      <c r="J53" s="16" t="n">
        <v>2</v>
      </c>
      <c r="K53" s="16" t="n">
        <v>2</v>
      </c>
      <c r="L53" s="16" t="n">
        <v>34</v>
      </c>
      <c r="M53" s="16" t="n">
        <v>30</v>
      </c>
      <c r="N53" s="16" t="n">
        <v>0</v>
      </c>
      <c r="O53" s="9" t="str">
        <f aca="false">IF(B53="","",IFERROR(INDEX(Options!$G$6:$G$85,MATCH($B53,Options!$A$6:$A$85,0)),""))</f>
        <v>Letter</v>
      </c>
      <c r="P53" s="9" t="str">
        <f aca="false">IF(B53="","",IFERROR(INDEX(Options!$H$6:$H$85,MATCH($B53,Options!$A$6:$A$85,0)),""))</f>
        <v>Seasonal</v>
      </c>
      <c r="Q53" s="24" t="n">
        <f aca="false">IF(B53="",0,N(IFERROR(INDEX(Options!$J$6:$J$85,MATCH($B53,Options!$A$6:$A$85,0)),"")))</f>
        <v>180</v>
      </c>
      <c r="R53" s="25" t="n">
        <f aca="false">K53*Settings!$B$10+J53*Settings!$B$11+I53*Settings!$B$12+H53*Settings!$B$13</f>
        <v>1.9</v>
      </c>
      <c r="S53" s="25" t="n">
        <f aca="false">IFERROR(L53/Settings!$B$8,0)</f>
        <v>1.54545454545455</v>
      </c>
      <c r="T53" s="26" t="n">
        <f aca="false">IF(OR(B53="",P53="End of life"),0,W53*MIN(4,N53))</f>
        <v>0</v>
      </c>
      <c r="U53" s="27" t="n">
        <f aca="false">T53*Q53</f>
        <v>0</v>
      </c>
      <c r="V53" s="14" t="n">
        <f aca="false">IF(B53="",0,G53*N(IFERROR(INDEX(Options!$K$6:$K$85,MATCH($B53,Options!$A$6:$A$85,0)),"")))</f>
        <v>1641.6</v>
      </c>
      <c r="W53" s="26" t="n">
        <f aca="false">IF(B53="",0,IF(N53&gt;=4,S53,(H53+I53+J53+K53)/(4-N53)))</f>
        <v>1.75</v>
      </c>
    </row>
    <row r="54" customFormat="false" ht="15" hidden="false" customHeight="false" outlineLevel="0" collapsed="false">
      <c r="A54" s="16" t="s">
        <v>384</v>
      </c>
      <c r="B54" s="16" t="s">
        <v>211</v>
      </c>
      <c r="C54" s="16" t="s">
        <v>331</v>
      </c>
      <c r="D54" s="16"/>
      <c r="E54" s="16" t="n">
        <v>23</v>
      </c>
      <c r="F54" s="16" t="n">
        <v>0</v>
      </c>
      <c r="G54" s="16" t="n">
        <v>10</v>
      </c>
      <c r="H54" s="16" t="n">
        <v>0</v>
      </c>
      <c r="I54" s="16" t="n">
        <v>1</v>
      </c>
      <c r="J54" s="16" t="n">
        <v>1</v>
      </c>
      <c r="K54" s="16" t="n">
        <v>1</v>
      </c>
      <c r="L54" s="16" t="n">
        <v>13</v>
      </c>
      <c r="M54" s="16" t="n">
        <v>11</v>
      </c>
      <c r="N54" s="16" t="n">
        <v>0</v>
      </c>
      <c r="O54" s="9" t="str">
        <f aca="false">IF(B54="","",IFERROR(INDEX(Options!$G$6:$G$85,MATCH($B54,Options!$A$6:$A$85,0)),""))</f>
        <v>Letter</v>
      </c>
      <c r="P54" s="9" t="str">
        <f aca="false">IF(B54="","",IFERROR(INDEX(Options!$H$6:$H$85,MATCH($B54,Options!$A$6:$A$85,0)),""))</f>
        <v>Seasonal</v>
      </c>
      <c r="Q54" s="24" t="n">
        <f aca="false">IF(B54="",0,N(IFERROR(INDEX(Options!$J$6:$J$85,MATCH($B54,Options!$A$6:$A$85,0)),"")))</f>
        <v>220</v>
      </c>
      <c r="R54" s="25" t="n">
        <f aca="false">K54*Settings!$B$10+J54*Settings!$B$11+I54*Settings!$B$12+H54*Settings!$B$13</f>
        <v>0.9</v>
      </c>
      <c r="S54" s="25" t="n">
        <f aca="false">IFERROR(L54/Settings!$B$8,0)</f>
        <v>0.590909090909091</v>
      </c>
      <c r="T54" s="26" t="n">
        <f aca="false">IF(OR(B54="",P54="End of life"),0,W54*MIN(4,N54))</f>
        <v>0</v>
      </c>
      <c r="U54" s="27" t="n">
        <f aca="false">T54*Q54</f>
        <v>0</v>
      </c>
      <c r="V54" s="14" t="n">
        <f aca="false">IF(B54="",0,G54*N(IFERROR(INDEX(Options!$K$6:$K$85,MATCH($B54,Options!$A$6:$A$85,0)),"")))</f>
        <v>836</v>
      </c>
      <c r="W54" s="26" t="n">
        <f aca="false">IF(B54="",0,IF(N54&gt;=4,S54,(H54+I54+J54+K54)/(4-N54)))</f>
        <v>0.75</v>
      </c>
    </row>
    <row r="55" customFormat="false" ht="15" hidden="false" customHeight="false" outlineLevel="0" collapsed="false">
      <c r="A55" s="16" t="s">
        <v>385</v>
      </c>
      <c r="B55" s="16" t="s">
        <v>211</v>
      </c>
      <c r="C55" s="16" t="s">
        <v>333</v>
      </c>
      <c r="D55" s="16" t="s">
        <v>183</v>
      </c>
      <c r="E55" s="16" t="n">
        <v>51</v>
      </c>
      <c r="F55" s="16" t="n">
        <v>0</v>
      </c>
      <c r="G55" s="16" t="n">
        <v>12</v>
      </c>
      <c r="H55" s="16" t="n">
        <v>2</v>
      </c>
      <c r="I55" s="16" t="n">
        <v>1</v>
      </c>
      <c r="J55" s="16" t="n">
        <v>2</v>
      </c>
      <c r="K55" s="16" t="n">
        <v>2</v>
      </c>
      <c r="L55" s="16" t="n">
        <v>39</v>
      </c>
      <c r="M55" s="16" t="n">
        <v>34</v>
      </c>
      <c r="N55" s="16" t="n">
        <v>0</v>
      </c>
      <c r="O55" s="9" t="str">
        <f aca="false">IF(B55="","",IFERROR(INDEX(Options!$G$6:$G$85,MATCH($B55,Options!$A$6:$A$85,0)),""))</f>
        <v>Letter</v>
      </c>
      <c r="P55" s="9" t="str">
        <f aca="false">IF(B55="","",IFERROR(INDEX(Options!$H$6:$H$85,MATCH($B55,Options!$A$6:$A$85,0)),""))</f>
        <v>Seasonal</v>
      </c>
      <c r="Q55" s="24" t="n">
        <f aca="false">IF(B55="",0,N(IFERROR(INDEX(Options!$J$6:$J$85,MATCH($B55,Options!$A$6:$A$85,0)),"")))</f>
        <v>220</v>
      </c>
      <c r="R55" s="25" t="n">
        <f aca="false">K55*Settings!$B$10+J55*Settings!$B$11+I55*Settings!$B$12+H55*Settings!$B$13</f>
        <v>1.8</v>
      </c>
      <c r="S55" s="25" t="n">
        <f aca="false">IFERROR(L55/Settings!$B$8,0)</f>
        <v>1.77272727272727</v>
      </c>
      <c r="T55" s="26" t="n">
        <f aca="false">IF(OR(B55="",P55="End of life"),0,W55*MIN(4,N55))</f>
        <v>0</v>
      </c>
      <c r="U55" s="27" t="n">
        <f aca="false">T55*Q55</f>
        <v>0</v>
      </c>
      <c r="V55" s="14" t="n">
        <f aca="false">IF(B55="",0,G55*N(IFERROR(INDEX(Options!$K$6:$K$85,MATCH($B55,Options!$A$6:$A$85,0)),"")))</f>
        <v>1003.2</v>
      </c>
      <c r="W55" s="26" t="n">
        <f aca="false">IF(B55="",0,IF(N55&gt;=4,S55,(H55+I55+J55+K55)/(4-N55)))</f>
        <v>1.75</v>
      </c>
    </row>
    <row r="56" customFormat="false" ht="15" hidden="false" customHeight="false" outlineLevel="0" collapsed="false">
      <c r="A56" s="16" t="s">
        <v>386</v>
      </c>
      <c r="B56" s="16" t="s">
        <v>211</v>
      </c>
      <c r="C56" s="16" t="s">
        <v>335</v>
      </c>
      <c r="D56" s="16" t="s">
        <v>183</v>
      </c>
      <c r="E56" s="16" t="n">
        <v>86</v>
      </c>
      <c r="F56" s="16" t="n">
        <v>0</v>
      </c>
      <c r="G56" s="16" t="n">
        <v>22</v>
      </c>
      <c r="H56" s="16" t="n">
        <v>3</v>
      </c>
      <c r="I56" s="16" t="n">
        <v>3</v>
      </c>
      <c r="J56" s="16" t="n">
        <v>3</v>
      </c>
      <c r="K56" s="16" t="n">
        <v>4</v>
      </c>
      <c r="L56" s="16" t="n">
        <v>64</v>
      </c>
      <c r="M56" s="16" t="n">
        <v>56</v>
      </c>
      <c r="N56" s="16" t="n">
        <v>0</v>
      </c>
      <c r="O56" s="9" t="str">
        <f aca="false">IF(B56="","",IFERROR(INDEX(Options!$G$6:$G$85,MATCH($B56,Options!$A$6:$A$85,0)),""))</f>
        <v>Letter</v>
      </c>
      <c r="P56" s="9" t="str">
        <f aca="false">IF(B56="","",IFERROR(INDEX(Options!$H$6:$H$85,MATCH($B56,Options!$A$6:$A$85,0)),""))</f>
        <v>Seasonal</v>
      </c>
      <c r="Q56" s="24" t="n">
        <f aca="false">IF(B56="",0,N(IFERROR(INDEX(Options!$J$6:$J$85,MATCH($B56,Options!$A$6:$A$85,0)),"")))</f>
        <v>220</v>
      </c>
      <c r="R56" s="25" t="n">
        <f aca="false">K56*Settings!$B$10+J56*Settings!$B$11+I56*Settings!$B$12+H56*Settings!$B$13</f>
        <v>3.4</v>
      </c>
      <c r="S56" s="25" t="n">
        <f aca="false">IFERROR(L56/Settings!$B$8,0)</f>
        <v>2.90909090909091</v>
      </c>
      <c r="T56" s="26" t="n">
        <f aca="false">IF(OR(B56="",P56="End of life"),0,W56*MIN(4,N56))</f>
        <v>0</v>
      </c>
      <c r="U56" s="27" t="n">
        <f aca="false">T56*Q56</f>
        <v>0</v>
      </c>
      <c r="V56" s="14" t="n">
        <f aca="false">IF(B56="",0,G56*N(IFERROR(INDEX(Options!$K$6:$K$85,MATCH($B56,Options!$A$6:$A$85,0)),"")))</f>
        <v>1839.2</v>
      </c>
      <c r="W56" s="26" t="n">
        <f aca="false">IF(B56="",0,IF(N56&gt;=4,S56,(H56+I56+J56+K56)/(4-N56)))</f>
        <v>3.25</v>
      </c>
    </row>
    <row r="57" customFormat="false" ht="15" hidden="false" customHeight="false" outlineLevel="0" collapsed="false">
      <c r="A57" s="16" t="s">
        <v>387</v>
      </c>
      <c r="B57" s="16" t="s">
        <v>211</v>
      </c>
      <c r="C57" s="16" t="s">
        <v>337</v>
      </c>
      <c r="D57" s="16" t="s">
        <v>183</v>
      </c>
      <c r="E57" s="16" t="n">
        <v>74</v>
      </c>
      <c r="F57" s="16" t="n">
        <v>0</v>
      </c>
      <c r="G57" s="16" t="n">
        <v>13</v>
      </c>
      <c r="H57" s="16" t="n">
        <v>2</v>
      </c>
      <c r="I57" s="16" t="n">
        <v>3</v>
      </c>
      <c r="J57" s="16" t="n">
        <v>3</v>
      </c>
      <c r="K57" s="16" t="n">
        <v>3</v>
      </c>
      <c r="L57" s="16" t="n">
        <v>61</v>
      </c>
      <c r="M57" s="16" t="n">
        <v>54</v>
      </c>
      <c r="N57" s="16" t="n">
        <v>0</v>
      </c>
      <c r="O57" s="9" t="str">
        <f aca="false">IF(B57="","",IFERROR(INDEX(Options!$G$6:$G$85,MATCH($B57,Options!$A$6:$A$85,0)),""))</f>
        <v>Letter</v>
      </c>
      <c r="P57" s="9" t="str">
        <f aca="false">IF(B57="","",IFERROR(INDEX(Options!$H$6:$H$85,MATCH($B57,Options!$A$6:$A$85,0)),""))</f>
        <v>Seasonal</v>
      </c>
      <c r="Q57" s="24" t="n">
        <f aca="false">IF(B57="",0,N(IFERROR(INDEX(Options!$J$6:$J$85,MATCH($B57,Options!$A$6:$A$85,0)),"")))</f>
        <v>220</v>
      </c>
      <c r="R57" s="25" t="n">
        <f aca="false">K57*Settings!$B$10+J57*Settings!$B$11+I57*Settings!$B$12+H57*Settings!$B$13</f>
        <v>2.9</v>
      </c>
      <c r="S57" s="25" t="n">
        <f aca="false">IFERROR(L57/Settings!$B$8,0)</f>
        <v>2.77272727272727</v>
      </c>
      <c r="T57" s="26" t="n">
        <f aca="false">IF(OR(B57="",P57="End of life"),0,W57*MIN(4,N57))</f>
        <v>0</v>
      </c>
      <c r="U57" s="27" t="n">
        <f aca="false">T57*Q57</f>
        <v>0</v>
      </c>
      <c r="V57" s="14" t="n">
        <f aca="false">IF(B57="",0,G57*N(IFERROR(INDEX(Options!$K$6:$K$85,MATCH($B57,Options!$A$6:$A$85,0)),"")))</f>
        <v>1086.8</v>
      </c>
      <c r="W57" s="26" t="n">
        <f aca="false">IF(B57="",0,IF(N57&gt;=4,S57,(H57+I57+J57+K57)/(4-N57)))</f>
        <v>2.75</v>
      </c>
    </row>
    <row r="58" customFormat="false" ht="15" hidden="false" customHeight="false" outlineLevel="0" collapsed="false">
      <c r="A58" s="16" t="s">
        <v>388</v>
      </c>
      <c r="B58" s="16" t="s">
        <v>211</v>
      </c>
      <c r="C58" s="16" t="s">
        <v>339</v>
      </c>
      <c r="D58" s="16"/>
      <c r="E58" s="16" t="n">
        <v>40</v>
      </c>
      <c r="F58" s="16" t="n">
        <v>0</v>
      </c>
      <c r="G58" s="16" t="n">
        <v>10</v>
      </c>
      <c r="H58" s="16" t="n">
        <v>1</v>
      </c>
      <c r="I58" s="16" t="n">
        <v>1</v>
      </c>
      <c r="J58" s="16" t="n">
        <v>1</v>
      </c>
      <c r="K58" s="16" t="n">
        <v>2</v>
      </c>
      <c r="L58" s="16" t="n">
        <v>30</v>
      </c>
      <c r="M58" s="16" t="n">
        <v>26</v>
      </c>
      <c r="N58" s="16" t="n">
        <v>0</v>
      </c>
      <c r="O58" s="9" t="str">
        <f aca="false">IF(B58="","",IFERROR(INDEX(Options!$G$6:$G$85,MATCH($B58,Options!$A$6:$A$85,0)),""))</f>
        <v>Letter</v>
      </c>
      <c r="P58" s="9" t="str">
        <f aca="false">IF(B58="","",IFERROR(INDEX(Options!$H$6:$H$85,MATCH($B58,Options!$A$6:$A$85,0)),""))</f>
        <v>Seasonal</v>
      </c>
      <c r="Q58" s="24" t="n">
        <f aca="false">IF(B58="",0,N(IFERROR(INDEX(Options!$J$6:$J$85,MATCH($B58,Options!$A$6:$A$85,0)),"")))</f>
        <v>220</v>
      </c>
      <c r="R58" s="25" t="n">
        <f aca="false">K58*Settings!$B$10+J58*Settings!$B$11+I58*Settings!$B$12+H58*Settings!$B$13</f>
        <v>1.4</v>
      </c>
      <c r="S58" s="25" t="n">
        <f aca="false">IFERROR(L58/Settings!$B$8,0)</f>
        <v>1.36363636363636</v>
      </c>
      <c r="T58" s="26" t="n">
        <f aca="false">IF(OR(B58="",P58="End of life"),0,W58*MIN(4,N58))</f>
        <v>0</v>
      </c>
      <c r="U58" s="27" t="n">
        <f aca="false">T58*Q58</f>
        <v>0</v>
      </c>
      <c r="V58" s="14" t="n">
        <f aca="false">IF(B58="",0,G58*N(IFERROR(INDEX(Options!$K$6:$K$85,MATCH($B58,Options!$A$6:$A$85,0)),"")))</f>
        <v>836</v>
      </c>
      <c r="W58" s="26" t="n">
        <f aca="false">IF(B58="",0,IF(N58&gt;=4,S58,(H58+I58+J58+K58)/(4-N58)))</f>
        <v>1.25</v>
      </c>
    </row>
    <row r="59" customFormat="false" ht="15" hidden="false" customHeight="false" outlineLevel="0" collapsed="false">
      <c r="A59" s="16" t="s">
        <v>389</v>
      </c>
      <c r="B59" s="16" t="s">
        <v>211</v>
      </c>
      <c r="C59" s="16" t="s">
        <v>341</v>
      </c>
      <c r="D59" s="16"/>
      <c r="E59" s="16" t="n">
        <v>23</v>
      </c>
      <c r="F59" s="16" t="n">
        <v>0</v>
      </c>
      <c r="G59" s="16" t="n">
        <v>10</v>
      </c>
      <c r="H59" s="16" t="n">
        <v>0</v>
      </c>
      <c r="I59" s="16" t="n">
        <v>0</v>
      </c>
      <c r="J59" s="16" t="n">
        <v>1</v>
      </c>
      <c r="K59" s="16" t="n">
        <v>1</v>
      </c>
      <c r="L59" s="16" t="n">
        <v>13</v>
      </c>
      <c r="M59" s="16" t="n">
        <v>11</v>
      </c>
      <c r="N59" s="16" t="n">
        <v>0</v>
      </c>
      <c r="O59" s="9" t="str">
        <f aca="false">IF(B59="","",IFERROR(INDEX(Options!$G$6:$G$85,MATCH($B59,Options!$A$6:$A$85,0)),""))</f>
        <v>Letter</v>
      </c>
      <c r="P59" s="9" t="str">
        <f aca="false">IF(B59="","",IFERROR(INDEX(Options!$H$6:$H$85,MATCH($B59,Options!$A$6:$A$85,0)),""))</f>
        <v>Seasonal</v>
      </c>
      <c r="Q59" s="24" t="n">
        <f aca="false">IF(B59="",0,N(IFERROR(INDEX(Options!$J$6:$J$85,MATCH($B59,Options!$A$6:$A$85,0)),"")))</f>
        <v>220</v>
      </c>
      <c r="R59" s="25" t="n">
        <f aca="false">K59*Settings!$B$10+J59*Settings!$B$11+I59*Settings!$B$12+H59*Settings!$B$13</f>
        <v>0.7</v>
      </c>
      <c r="S59" s="25" t="n">
        <f aca="false">IFERROR(L59/Settings!$B$8,0)</f>
        <v>0.590909090909091</v>
      </c>
      <c r="T59" s="26" t="n">
        <f aca="false">IF(OR(B59="",P59="End of life"),0,W59*MIN(4,N59))</f>
        <v>0</v>
      </c>
      <c r="U59" s="27" t="n">
        <f aca="false">T59*Q59</f>
        <v>0</v>
      </c>
      <c r="V59" s="14" t="n">
        <f aca="false">IF(B59="",0,G59*N(IFERROR(INDEX(Options!$K$6:$K$85,MATCH($B59,Options!$A$6:$A$85,0)),"")))</f>
        <v>836</v>
      </c>
      <c r="W59" s="26" t="n">
        <f aca="false">IF(B59="",0,IF(N59&gt;=4,S59,(H59+I59+J59+K59)/(4-N59)))</f>
        <v>0.5</v>
      </c>
    </row>
    <row r="60" customFormat="false" ht="15" hidden="false" customHeight="false" outlineLevel="0" collapsed="false">
      <c r="A60" s="16" t="s">
        <v>390</v>
      </c>
      <c r="B60" s="16" t="s">
        <v>213</v>
      </c>
      <c r="C60" s="16" t="s">
        <v>331</v>
      </c>
      <c r="D60" s="16"/>
      <c r="E60" s="16" t="n">
        <v>52</v>
      </c>
      <c r="F60" s="16" t="n">
        <v>0</v>
      </c>
      <c r="G60" s="16" t="n">
        <v>22</v>
      </c>
      <c r="H60" s="16" t="n">
        <v>1</v>
      </c>
      <c r="I60" s="16" t="n">
        <v>1</v>
      </c>
      <c r="J60" s="16" t="n">
        <v>2</v>
      </c>
      <c r="K60" s="16" t="n">
        <v>2</v>
      </c>
      <c r="L60" s="16" t="n">
        <v>30</v>
      </c>
      <c r="M60" s="16" t="n">
        <v>26</v>
      </c>
      <c r="N60" s="16" t="n">
        <v>0</v>
      </c>
      <c r="O60" s="9" t="str">
        <f aca="false">IF(B60="","",IFERROR(INDEX(Options!$G$6:$G$85,MATCH($B60,Options!$A$6:$A$85,0)),""))</f>
        <v>Letter</v>
      </c>
      <c r="P60" s="9" t="str">
        <f aca="false">IF(B60="","",IFERROR(INDEX(Options!$H$6:$H$85,MATCH($B60,Options!$A$6:$A$85,0)),""))</f>
        <v>Seasonal</v>
      </c>
      <c r="Q60" s="24" t="n">
        <f aca="false">IF(B60="",0,N(IFERROR(INDEX(Options!$J$6:$J$85,MATCH($B60,Options!$A$6:$A$85,0)),"")))</f>
        <v>180</v>
      </c>
      <c r="R60" s="25" t="n">
        <f aca="false">K60*Settings!$B$10+J60*Settings!$B$11+I60*Settings!$B$12+H60*Settings!$B$13</f>
        <v>1.7</v>
      </c>
      <c r="S60" s="25" t="n">
        <f aca="false">IFERROR(L60/Settings!$B$8,0)</f>
        <v>1.36363636363636</v>
      </c>
      <c r="T60" s="26" t="n">
        <f aca="false">IF(OR(B60="",P60="End of life"),0,W60*MIN(4,N60))</f>
        <v>0</v>
      </c>
      <c r="U60" s="27" t="n">
        <f aca="false">T60*Q60</f>
        <v>0</v>
      </c>
      <c r="V60" s="14" t="n">
        <f aca="false">IF(B60="",0,G60*N(IFERROR(INDEX(Options!$K$6:$K$85,MATCH($B60,Options!$A$6:$A$85,0)),"")))</f>
        <v>1504.8</v>
      </c>
      <c r="W60" s="26" t="n">
        <f aca="false">IF(B60="",0,IF(N60&gt;=4,S60,(H60+I60+J60+K60)/(4-N60)))</f>
        <v>1.5</v>
      </c>
    </row>
    <row r="61" customFormat="false" ht="15" hidden="false" customHeight="false" outlineLevel="0" collapsed="false">
      <c r="A61" s="16" t="s">
        <v>391</v>
      </c>
      <c r="B61" s="16" t="s">
        <v>213</v>
      </c>
      <c r="C61" s="16" t="s">
        <v>333</v>
      </c>
      <c r="D61" s="16" t="s">
        <v>183</v>
      </c>
      <c r="E61" s="16" t="n">
        <v>116</v>
      </c>
      <c r="F61" s="16" t="n">
        <v>0</v>
      </c>
      <c r="G61" s="16" t="n">
        <v>24</v>
      </c>
      <c r="H61" s="16" t="n">
        <v>3</v>
      </c>
      <c r="I61" s="16" t="n">
        <v>3</v>
      </c>
      <c r="J61" s="16" t="n">
        <v>4</v>
      </c>
      <c r="K61" s="16" t="n">
        <v>4</v>
      </c>
      <c r="L61" s="16" t="n">
        <v>92</v>
      </c>
      <c r="M61" s="16" t="n">
        <v>81</v>
      </c>
      <c r="N61" s="16" t="n">
        <v>0</v>
      </c>
      <c r="O61" s="9" t="str">
        <f aca="false">IF(B61="","",IFERROR(INDEX(Options!$G$6:$G$85,MATCH($B61,Options!$A$6:$A$85,0)),""))</f>
        <v>Letter</v>
      </c>
      <c r="P61" s="9" t="str">
        <f aca="false">IF(B61="","",IFERROR(INDEX(Options!$H$6:$H$85,MATCH($B61,Options!$A$6:$A$85,0)),""))</f>
        <v>Seasonal</v>
      </c>
      <c r="Q61" s="24" t="n">
        <f aca="false">IF(B61="",0,N(IFERROR(INDEX(Options!$J$6:$J$85,MATCH($B61,Options!$A$6:$A$85,0)),"")))</f>
        <v>180</v>
      </c>
      <c r="R61" s="25" t="n">
        <f aca="false">K61*Settings!$B$10+J61*Settings!$B$11+I61*Settings!$B$12+H61*Settings!$B$13</f>
        <v>3.7</v>
      </c>
      <c r="S61" s="25" t="n">
        <f aca="false">IFERROR(L61/Settings!$B$8,0)</f>
        <v>4.18181818181818</v>
      </c>
      <c r="T61" s="26" t="n">
        <f aca="false">IF(OR(B61="",P61="End of life"),0,W61*MIN(4,N61))</f>
        <v>0</v>
      </c>
      <c r="U61" s="27" t="n">
        <f aca="false">T61*Q61</f>
        <v>0</v>
      </c>
      <c r="V61" s="14" t="n">
        <f aca="false">IF(B61="",0,G61*N(IFERROR(INDEX(Options!$K$6:$K$85,MATCH($B61,Options!$A$6:$A$85,0)),"")))</f>
        <v>1641.6</v>
      </c>
      <c r="W61" s="26" t="n">
        <f aca="false">IF(B61="",0,IF(N61&gt;=4,S61,(H61+I61+J61+K61)/(4-N61)))</f>
        <v>3.5</v>
      </c>
    </row>
    <row r="62" customFormat="false" ht="15" hidden="false" customHeight="false" outlineLevel="0" collapsed="false">
      <c r="A62" s="16" t="s">
        <v>392</v>
      </c>
      <c r="B62" s="16" t="s">
        <v>213</v>
      </c>
      <c r="C62" s="16" t="s">
        <v>335</v>
      </c>
      <c r="D62" s="16" t="s">
        <v>183</v>
      </c>
      <c r="E62" s="16" t="n">
        <v>194</v>
      </c>
      <c r="F62" s="16" t="n">
        <v>0</v>
      </c>
      <c r="G62" s="16" t="n">
        <v>50</v>
      </c>
      <c r="H62" s="16" t="n">
        <v>6</v>
      </c>
      <c r="I62" s="16" t="n">
        <v>7</v>
      </c>
      <c r="J62" s="16" t="n">
        <v>6</v>
      </c>
      <c r="K62" s="16" t="n">
        <v>6</v>
      </c>
      <c r="L62" s="16" t="n">
        <v>144</v>
      </c>
      <c r="M62" s="16" t="n">
        <v>127</v>
      </c>
      <c r="N62" s="16" t="n">
        <v>0</v>
      </c>
      <c r="O62" s="9" t="str">
        <f aca="false">IF(B62="","",IFERROR(INDEX(Options!$G$6:$G$85,MATCH($B62,Options!$A$6:$A$85,0)),""))</f>
        <v>Letter</v>
      </c>
      <c r="P62" s="9" t="str">
        <f aca="false">IF(B62="","",IFERROR(INDEX(Options!$H$6:$H$85,MATCH($B62,Options!$A$6:$A$85,0)),""))</f>
        <v>Seasonal</v>
      </c>
      <c r="Q62" s="24" t="n">
        <f aca="false">IF(B62="",0,N(IFERROR(INDEX(Options!$J$6:$J$85,MATCH($B62,Options!$A$6:$A$85,0)),"")))</f>
        <v>180</v>
      </c>
      <c r="R62" s="25" t="n">
        <f aca="false">K62*Settings!$B$10+J62*Settings!$B$11+I62*Settings!$B$12+H62*Settings!$B$13</f>
        <v>6.2</v>
      </c>
      <c r="S62" s="25" t="n">
        <f aca="false">IFERROR(L62/Settings!$B$8,0)</f>
        <v>6.54545454545455</v>
      </c>
      <c r="T62" s="26" t="n">
        <f aca="false">IF(OR(B62="",P62="End of life"),0,W62*MIN(4,N62))</f>
        <v>0</v>
      </c>
      <c r="U62" s="27" t="n">
        <f aca="false">T62*Q62</f>
        <v>0</v>
      </c>
      <c r="V62" s="14" t="n">
        <f aca="false">IF(B62="",0,G62*N(IFERROR(INDEX(Options!$K$6:$K$85,MATCH($B62,Options!$A$6:$A$85,0)),"")))</f>
        <v>3420</v>
      </c>
      <c r="W62" s="26" t="n">
        <f aca="false">IF(B62="",0,IF(N62&gt;=4,S62,(H62+I62+J62+K62)/(4-N62)))</f>
        <v>6.25</v>
      </c>
    </row>
    <row r="63" customFormat="false" ht="15" hidden="false" customHeight="false" outlineLevel="0" collapsed="false">
      <c r="A63" s="16" t="s">
        <v>393</v>
      </c>
      <c r="B63" s="16" t="s">
        <v>213</v>
      </c>
      <c r="C63" s="16" t="s">
        <v>337</v>
      </c>
      <c r="D63" s="16" t="s">
        <v>183</v>
      </c>
      <c r="E63" s="16" t="n">
        <v>168</v>
      </c>
      <c r="F63" s="16" t="n">
        <v>0</v>
      </c>
      <c r="G63" s="16" t="n">
        <v>49</v>
      </c>
      <c r="H63" s="16" t="n">
        <v>6</v>
      </c>
      <c r="I63" s="16" t="n">
        <v>5</v>
      </c>
      <c r="J63" s="16" t="n">
        <v>6</v>
      </c>
      <c r="K63" s="16" t="n">
        <v>6</v>
      </c>
      <c r="L63" s="16" t="n">
        <v>119</v>
      </c>
      <c r="M63" s="16" t="n">
        <v>105</v>
      </c>
      <c r="N63" s="16" t="n">
        <v>0</v>
      </c>
      <c r="O63" s="9" t="str">
        <f aca="false">IF(B63="","",IFERROR(INDEX(Options!$G$6:$G$85,MATCH($B63,Options!$A$6:$A$85,0)),""))</f>
        <v>Letter</v>
      </c>
      <c r="P63" s="9" t="str">
        <f aca="false">IF(B63="","",IFERROR(INDEX(Options!$H$6:$H$85,MATCH($B63,Options!$A$6:$A$85,0)),""))</f>
        <v>Seasonal</v>
      </c>
      <c r="Q63" s="24" t="n">
        <f aca="false">IF(B63="",0,N(IFERROR(INDEX(Options!$J$6:$J$85,MATCH($B63,Options!$A$6:$A$85,0)),"")))</f>
        <v>180</v>
      </c>
      <c r="R63" s="25" t="n">
        <f aca="false">K63*Settings!$B$10+J63*Settings!$B$11+I63*Settings!$B$12+H63*Settings!$B$13</f>
        <v>5.8</v>
      </c>
      <c r="S63" s="25" t="n">
        <f aca="false">IFERROR(L63/Settings!$B$8,0)</f>
        <v>5.40909090909091</v>
      </c>
      <c r="T63" s="26" t="n">
        <f aca="false">IF(OR(B63="",P63="End of life"),0,W63*MIN(4,N63))</f>
        <v>0</v>
      </c>
      <c r="U63" s="27" t="n">
        <f aca="false">T63*Q63</f>
        <v>0</v>
      </c>
      <c r="V63" s="14" t="n">
        <f aca="false">IF(B63="",0,G63*N(IFERROR(INDEX(Options!$K$6:$K$85,MATCH($B63,Options!$A$6:$A$85,0)),"")))</f>
        <v>3351.6</v>
      </c>
      <c r="W63" s="26" t="n">
        <f aca="false">IF(B63="",0,IF(N63&gt;=4,S63,(H63+I63+J63+K63)/(4-N63)))</f>
        <v>5.75</v>
      </c>
    </row>
    <row r="64" customFormat="false" ht="15" hidden="false" customHeight="false" outlineLevel="0" collapsed="false">
      <c r="A64" s="16" t="s">
        <v>394</v>
      </c>
      <c r="B64" s="16" t="s">
        <v>213</v>
      </c>
      <c r="C64" s="16" t="s">
        <v>339</v>
      </c>
      <c r="D64" s="16"/>
      <c r="E64" s="16" t="n">
        <v>90</v>
      </c>
      <c r="F64" s="16" t="n">
        <v>0</v>
      </c>
      <c r="G64" s="16" t="n">
        <v>20</v>
      </c>
      <c r="H64" s="16" t="n">
        <v>3</v>
      </c>
      <c r="I64" s="16" t="n">
        <v>3</v>
      </c>
      <c r="J64" s="16" t="n">
        <v>3</v>
      </c>
      <c r="K64" s="16" t="n">
        <v>3</v>
      </c>
      <c r="L64" s="16" t="n">
        <v>70</v>
      </c>
      <c r="M64" s="16" t="n">
        <v>62</v>
      </c>
      <c r="N64" s="16" t="n">
        <v>0</v>
      </c>
      <c r="O64" s="9" t="str">
        <f aca="false">IF(B64="","",IFERROR(INDEX(Options!$G$6:$G$85,MATCH($B64,Options!$A$6:$A$85,0)),""))</f>
        <v>Letter</v>
      </c>
      <c r="P64" s="9" t="str">
        <f aca="false">IF(B64="","",IFERROR(INDEX(Options!$H$6:$H$85,MATCH($B64,Options!$A$6:$A$85,0)),""))</f>
        <v>Seasonal</v>
      </c>
      <c r="Q64" s="24" t="n">
        <f aca="false">IF(B64="",0,N(IFERROR(INDEX(Options!$J$6:$J$85,MATCH($B64,Options!$A$6:$A$85,0)),"")))</f>
        <v>180</v>
      </c>
      <c r="R64" s="25" t="n">
        <f aca="false">K64*Settings!$B$10+J64*Settings!$B$11+I64*Settings!$B$12+H64*Settings!$B$13</f>
        <v>3</v>
      </c>
      <c r="S64" s="25" t="n">
        <f aca="false">IFERROR(L64/Settings!$B$8,0)</f>
        <v>3.18181818181818</v>
      </c>
      <c r="T64" s="26" t="n">
        <f aca="false">IF(OR(B64="",P64="End of life"),0,W64*MIN(4,N64))</f>
        <v>0</v>
      </c>
      <c r="U64" s="27" t="n">
        <f aca="false">T64*Q64</f>
        <v>0</v>
      </c>
      <c r="V64" s="14" t="n">
        <f aca="false">IF(B64="",0,G64*N(IFERROR(INDEX(Options!$K$6:$K$85,MATCH($B64,Options!$A$6:$A$85,0)),"")))</f>
        <v>1368</v>
      </c>
      <c r="W64" s="26" t="n">
        <f aca="false">IF(B64="",0,IF(N64&gt;=4,S64,(H64+I64+J64+K64)/(4-N64)))</f>
        <v>3</v>
      </c>
    </row>
    <row r="65" customFormat="false" ht="15" hidden="false" customHeight="false" outlineLevel="0" collapsed="false">
      <c r="A65" s="16" t="s">
        <v>395</v>
      </c>
      <c r="B65" s="16" t="s">
        <v>213</v>
      </c>
      <c r="C65" s="16" t="s">
        <v>341</v>
      </c>
      <c r="D65" s="16"/>
      <c r="E65" s="16" t="n">
        <v>52</v>
      </c>
      <c r="F65" s="16" t="n">
        <v>0</v>
      </c>
      <c r="G65" s="16" t="n">
        <v>25</v>
      </c>
      <c r="H65" s="16" t="n">
        <v>1</v>
      </c>
      <c r="I65" s="16" t="n">
        <v>1</v>
      </c>
      <c r="J65" s="16" t="n">
        <v>1</v>
      </c>
      <c r="K65" s="16" t="n">
        <v>2</v>
      </c>
      <c r="L65" s="16" t="n">
        <v>27</v>
      </c>
      <c r="M65" s="16" t="n">
        <v>24</v>
      </c>
      <c r="N65" s="16" t="n">
        <v>0</v>
      </c>
      <c r="O65" s="9" t="str">
        <f aca="false">IF(B65="","",IFERROR(INDEX(Options!$G$6:$G$85,MATCH($B65,Options!$A$6:$A$85,0)),""))</f>
        <v>Letter</v>
      </c>
      <c r="P65" s="9" t="str">
        <f aca="false">IF(B65="","",IFERROR(INDEX(Options!$H$6:$H$85,MATCH($B65,Options!$A$6:$A$85,0)),""))</f>
        <v>Seasonal</v>
      </c>
      <c r="Q65" s="24" t="n">
        <f aca="false">IF(B65="",0,N(IFERROR(INDEX(Options!$J$6:$J$85,MATCH($B65,Options!$A$6:$A$85,0)),"")))</f>
        <v>180</v>
      </c>
      <c r="R65" s="25" t="n">
        <f aca="false">K65*Settings!$B$10+J65*Settings!$B$11+I65*Settings!$B$12+H65*Settings!$B$13</f>
        <v>1.4</v>
      </c>
      <c r="S65" s="25" t="n">
        <f aca="false">IFERROR(L65/Settings!$B$8,0)</f>
        <v>1.22727272727273</v>
      </c>
      <c r="T65" s="26" t="n">
        <f aca="false">IF(OR(B65="",P65="End of life"),0,W65*MIN(4,N65))</f>
        <v>0</v>
      </c>
      <c r="U65" s="27" t="n">
        <f aca="false">T65*Q65</f>
        <v>0</v>
      </c>
      <c r="V65" s="14" t="n">
        <f aca="false">IF(B65="",0,G65*N(IFERROR(INDEX(Options!$K$6:$K$85,MATCH($B65,Options!$A$6:$A$85,0)),"")))</f>
        <v>1710</v>
      </c>
      <c r="W65" s="26" t="n">
        <f aca="false">IF(B65="",0,IF(N65&gt;=4,S65,(H65+I65+J65+K65)/(4-N65)))</f>
        <v>1.25</v>
      </c>
    </row>
    <row r="66" customFormat="false" ht="15" hidden="false" customHeight="false" outlineLevel="0" collapsed="false">
      <c r="A66" s="16" t="s">
        <v>396</v>
      </c>
      <c r="B66" s="16" t="s">
        <v>215</v>
      </c>
      <c r="C66" s="16" t="s">
        <v>331</v>
      </c>
      <c r="D66" s="16"/>
      <c r="E66" s="16" t="n">
        <v>53</v>
      </c>
      <c r="F66" s="16" t="n">
        <v>0</v>
      </c>
      <c r="G66" s="16" t="n">
        <v>20</v>
      </c>
      <c r="H66" s="16" t="n">
        <v>1</v>
      </c>
      <c r="I66" s="16" t="n">
        <v>2</v>
      </c>
      <c r="J66" s="16" t="n">
        <v>2</v>
      </c>
      <c r="K66" s="16" t="n">
        <v>1</v>
      </c>
      <c r="L66" s="16" t="n">
        <v>33</v>
      </c>
      <c r="M66" s="16" t="n">
        <v>29</v>
      </c>
      <c r="N66" s="16" t="n">
        <v>0</v>
      </c>
      <c r="O66" s="9" t="str">
        <f aca="false">IF(B66="","",IFERROR(INDEX(Options!$G$6:$G$85,MATCH($B66,Options!$A$6:$A$85,0)),""))</f>
        <v>Letter</v>
      </c>
      <c r="P66" s="9" t="str">
        <f aca="false">IF(B66="","",IFERROR(INDEX(Options!$H$6:$H$85,MATCH($B66,Options!$A$6:$A$85,0)),""))</f>
        <v>Seasonal</v>
      </c>
      <c r="Q66" s="24" t="n">
        <f aca="false">IF(B66="",0,N(IFERROR(INDEX(Options!$J$6:$J$85,MATCH($B66,Options!$A$6:$A$85,0)),"")))</f>
        <v>180</v>
      </c>
      <c r="R66" s="25" t="n">
        <f aca="false">K66*Settings!$B$10+J66*Settings!$B$11+I66*Settings!$B$12+H66*Settings!$B$13</f>
        <v>1.5</v>
      </c>
      <c r="S66" s="25" t="n">
        <f aca="false">IFERROR(L66/Settings!$B$8,0)</f>
        <v>1.5</v>
      </c>
      <c r="T66" s="26" t="n">
        <f aca="false">IF(OR(B66="",P66="End of life"),0,W66*MIN(4,N66))</f>
        <v>0</v>
      </c>
      <c r="U66" s="27" t="n">
        <f aca="false">T66*Q66</f>
        <v>0</v>
      </c>
      <c r="V66" s="14" t="n">
        <f aca="false">IF(B66="",0,G66*N(IFERROR(INDEX(Options!$K$6:$K$85,MATCH($B66,Options!$A$6:$A$85,0)),"")))</f>
        <v>1368</v>
      </c>
      <c r="W66" s="26" t="n">
        <f aca="false">IF(B66="",0,IF(N66&gt;=4,S66,(H66+I66+J66+K66)/(4-N66)))</f>
        <v>1.5</v>
      </c>
    </row>
    <row r="67" customFormat="false" ht="15" hidden="false" customHeight="false" outlineLevel="0" collapsed="false">
      <c r="A67" s="16" t="s">
        <v>397</v>
      </c>
      <c r="B67" s="16" t="s">
        <v>215</v>
      </c>
      <c r="C67" s="16" t="s">
        <v>333</v>
      </c>
      <c r="D67" s="16" t="s">
        <v>183</v>
      </c>
      <c r="E67" s="16" t="n">
        <v>118</v>
      </c>
      <c r="F67" s="16" t="n">
        <v>0</v>
      </c>
      <c r="G67" s="16" t="n">
        <v>18</v>
      </c>
      <c r="H67" s="16" t="n">
        <v>5</v>
      </c>
      <c r="I67" s="16" t="n">
        <v>5</v>
      </c>
      <c r="J67" s="16" t="n">
        <v>4</v>
      </c>
      <c r="K67" s="16" t="n">
        <v>6</v>
      </c>
      <c r="L67" s="16" t="n">
        <v>100</v>
      </c>
      <c r="M67" s="16" t="n">
        <v>88</v>
      </c>
      <c r="N67" s="16" t="n">
        <v>0</v>
      </c>
      <c r="O67" s="9" t="str">
        <f aca="false">IF(B67="","",IFERROR(INDEX(Options!$G$6:$G$85,MATCH($B67,Options!$A$6:$A$85,0)),""))</f>
        <v>Letter</v>
      </c>
      <c r="P67" s="9" t="str">
        <f aca="false">IF(B67="","",IFERROR(INDEX(Options!$H$6:$H$85,MATCH($B67,Options!$A$6:$A$85,0)),""))</f>
        <v>Seasonal</v>
      </c>
      <c r="Q67" s="24" t="n">
        <f aca="false">IF(B67="",0,N(IFERROR(INDEX(Options!$J$6:$J$85,MATCH($B67,Options!$A$6:$A$85,0)),"")))</f>
        <v>180</v>
      </c>
      <c r="R67" s="25" t="n">
        <f aca="false">K67*Settings!$B$10+J67*Settings!$B$11+I67*Settings!$B$12+H67*Settings!$B$13</f>
        <v>5.1</v>
      </c>
      <c r="S67" s="25" t="n">
        <f aca="false">IFERROR(L67/Settings!$B$8,0)</f>
        <v>4.54545454545455</v>
      </c>
      <c r="T67" s="26" t="n">
        <f aca="false">IF(OR(B67="",P67="End of life"),0,W67*MIN(4,N67))</f>
        <v>0</v>
      </c>
      <c r="U67" s="27" t="n">
        <f aca="false">T67*Q67</f>
        <v>0</v>
      </c>
      <c r="V67" s="14" t="n">
        <f aca="false">IF(B67="",0,G67*N(IFERROR(INDEX(Options!$K$6:$K$85,MATCH($B67,Options!$A$6:$A$85,0)),"")))</f>
        <v>1231.2</v>
      </c>
      <c r="W67" s="26" t="n">
        <f aca="false">IF(B67="",0,IF(N67&gt;=4,S67,(H67+I67+J67+K67)/(4-N67)))</f>
        <v>5</v>
      </c>
    </row>
    <row r="68" customFormat="false" ht="15" hidden="false" customHeight="false" outlineLevel="0" collapsed="false">
      <c r="A68" s="16" t="s">
        <v>398</v>
      </c>
      <c r="B68" s="16" t="s">
        <v>215</v>
      </c>
      <c r="C68" s="16" t="s">
        <v>335</v>
      </c>
      <c r="D68" s="16" t="s">
        <v>183</v>
      </c>
      <c r="E68" s="16" t="n">
        <v>197</v>
      </c>
      <c r="F68" s="16" t="n">
        <v>0</v>
      </c>
      <c r="G68" s="16" t="n">
        <v>30</v>
      </c>
      <c r="H68" s="16" t="n">
        <v>5</v>
      </c>
      <c r="I68" s="16" t="n">
        <v>6</v>
      </c>
      <c r="J68" s="16" t="n">
        <v>7</v>
      </c>
      <c r="K68" s="16" t="n">
        <v>8</v>
      </c>
      <c r="L68" s="16" t="n">
        <v>167</v>
      </c>
      <c r="M68" s="16" t="n">
        <v>147</v>
      </c>
      <c r="N68" s="16" t="n">
        <v>0</v>
      </c>
      <c r="O68" s="9" t="str">
        <f aca="false">IF(B68="","",IFERROR(INDEX(Options!$G$6:$G$85,MATCH($B68,Options!$A$6:$A$85,0)),""))</f>
        <v>Letter</v>
      </c>
      <c r="P68" s="9" t="str">
        <f aca="false">IF(B68="","",IFERROR(INDEX(Options!$H$6:$H$85,MATCH($B68,Options!$A$6:$A$85,0)),""))</f>
        <v>Seasonal</v>
      </c>
      <c r="Q68" s="24" t="n">
        <f aca="false">IF(B68="",0,N(IFERROR(INDEX(Options!$J$6:$J$85,MATCH($B68,Options!$A$6:$A$85,0)),"")))</f>
        <v>180</v>
      </c>
      <c r="R68" s="25" t="n">
        <f aca="false">K68*Settings!$B$10+J68*Settings!$B$11+I68*Settings!$B$12+H68*Settings!$B$13</f>
        <v>7</v>
      </c>
      <c r="S68" s="25" t="n">
        <f aca="false">IFERROR(L68/Settings!$B$8,0)</f>
        <v>7.59090909090909</v>
      </c>
      <c r="T68" s="26" t="n">
        <f aca="false">IF(OR(B68="",P68="End of life"),0,W68*MIN(4,N68))</f>
        <v>0</v>
      </c>
      <c r="U68" s="27" t="n">
        <f aca="false">T68*Q68</f>
        <v>0</v>
      </c>
      <c r="V68" s="14" t="n">
        <f aca="false">IF(B68="",0,G68*N(IFERROR(INDEX(Options!$K$6:$K$85,MATCH($B68,Options!$A$6:$A$85,0)),"")))</f>
        <v>2052</v>
      </c>
      <c r="W68" s="26" t="n">
        <f aca="false">IF(B68="",0,IF(N68&gt;=4,S68,(H68+I68+J68+K68)/(4-N68)))</f>
        <v>6.5</v>
      </c>
    </row>
    <row r="69" customFormat="false" ht="15" hidden="false" customHeight="false" outlineLevel="0" collapsed="false">
      <c r="A69" s="16" t="s">
        <v>399</v>
      </c>
      <c r="B69" s="16" t="s">
        <v>215</v>
      </c>
      <c r="C69" s="16" t="s">
        <v>337</v>
      </c>
      <c r="D69" s="16" t="s">
        <v>183</v>
      </c>
      <c r="E69" s="16" t="n">
        <v>170</v>
      </c>
      <c r="F69" s="16" t="n">
        <v>0</v>
      </c>
      <c r="G69" s="16" t="n">
        <v>32</v>
      </c>
      <c r="H69" s="16" t="n">
        <v>5</v>
      </c>
      <c r="I69" s="16" t="n">
        <v>6</v>
      </c>
      <c r="J69" s="16" t="n">
        <v>8</v>
      </c>
      <c r="K69" s="16" t="n">
        <v>6</v>
      </c>
      <c r="L69" s="16" t="n">
        <v>138</v>
      </c>
      <c r="M69" s="16" t="n">
        <v>121</v>
      </c>
      <c r="N69" s="16" t="n">
        <v>0</v>
      </c>
      <c r="O69" s="9" t="str">
        <f aca="false">IF(B69="","",IFERROR(INDEX(Options!$G$6:$G$85,MATCH($B69,Options!$A$6:$A$85,0)),""))</f>
        <v>Letter</v>
      </c>
      <c r="P69" s="9" t="str">
        <f aca="false">IF(B69="","",IFERROR(INDEX(Options!$H$6:$H$85,MATCH($B69,Options!$A$6:$A$85,0)),""))</f>
        <v>Seasonal</v>
      </c>
      <c r="Q69" s="24" t="n">
        <f aca="false">IF(B69="",0,N(IFERROR(INDEX(Options!$J$6:$J$85,MATCH($B69,Options!$A$6:$A$85,0)),"")))</f>
        <v>180</v>
      </c>
      <c r="R69" s="25" t="n">
        <f aca="false">K69*Settings!$B$10+J69*Settings!$B$11+I69*Settings!$B$12+H69*Settings!$B$13</f>
        <v>6.5</v>
      </c>
      <c r="S69" s="25" t="n">
        <f aca="false">IFERROR(L69/Settings!$B$8,0)</f>
        <v>6.27272727272727</v>
      </c>
      <c r="T69" s="26" t="n">
        <f aca="false">IF(OR(B69="",P69="End of life"),0,W69*MIN(4,N69))</f>
        <v>0</v>
      </c>
      <c r="U69" s="27" t="n">
        <f aca="false">T69*Q69</f>
        <v>0</v>
      </c>
      <c r="V69" s="14" t="n">
        <f aca="false">IF(B69="",0,G69*N(IFERROR(INDEX(Options!$K$6:$K$85,MATCH($B69,Options!$A$6:$A$85,0)),"")))</f>
        <v>2188.8</v>
      </c>
      <c r="W69" s="26" t="n">
        <f aca="false">IF(B69="",0,IF(N69&gt;=4,S69,(H69+I69+J69+K69)/(4-N69)))</f>
        <v>6.25</v>
      </c>
    </row>
    <row r="70" customFormat="false" ht="15" hidden="false" customHeight="false" outlineLevel="0" collapsed="false">
      <c r="A70" s="16" t="s">
        <v>400</v>
      </c>
      <c r="B70" s="16" t="s">
        <v>215</v>
      </c>
      <c r="C70" s="16" t="s">
        <v>339</v>
      </c>
      <c r="D70" s="16"/>
      <c r="E70" s="16" t="n">
        <v>92</v>
      </c>
      <c r="F70" s="16" t="n">
        <v>0</v>
      </c>
      <c r="G70" s="16" t="n">
        <v>18</v>
      </c>
      <c r="H70" s="16" t="n">
        <v>3</v>
      </c>
      <c r="I70" s="16" t="n">
        <v>3</v>
      </c>
      <c r="J70" s="16" t="n">
        <v>4</v>
      </c>
      <c r="K70" s="16" t="n">
        <v>4</v>
      </c>
      <c r="L70" s="16" t="n">
        <v>74</v>
      </c>
      <c r="M70" s="16" t="n">
        <v>65</v>
      </c>
      <c r="N70" s="16" t="n">
        <v>0</v>
      </c>
      <c r="O70" s="9" t="str">
        <f aca="false">IF(B70="","",IFERROR(INDEX(Options!$G$6:$G$85,MATCH($B70,Options!$A$6:$A$85,0)),""))</f>
        <v>Letter</v>
      </c>
      <c r="P70" s="9" t="str">
        <f aca="false">IF(B70="","",IFERROR(INDEX(Options!$H$6:$H$85,MATCH($B70,Options!$A$6:$A$85,0)),""))</f>
        <v>Seasonal</v>
      </c>
      <c r="Q70" s="24" t="n">
        <f aca="false">IF(B70="",0,N(IFERROR(INDEX(Options!$J$6:$J$85,MATCH($B70,Options!$A$6:$A$85,0)),"")))</f>
        <v>180</v>
      </c>
      <c r="R70" s="25" t="n">
        <f aca="false">K70*Settings!$B$10+J70*Settings!$B$11+I70*Settings!$B$12+H70*Settings!$B$13</f>
        <v>3.7</v>
      </c>
      <c r="S70" s="25" t="n">
        <f aca="false">IFERROR(L70/Settings!$B$8,0)</f>
        <v>3.36363636363636</v>
      </c>
      <c r="T70" s="26" t="n">
        <f aca="false">IF(OR(B70="",P70="End of life"),0,W70*MIN(4,N70))</f>
        <v>0</v>
      </c>
      <c r="U70" s="27" t="n">
        <f aca="false">T70*Q70</f>
        <v>0</v>
      </c>
      <c r="V70" s="14" t="n">
        <f aca="false">IF(B70="",0,G70*N(IFERROR(INDEX(Options!$K$6:$K$85,MATCH($B70,Options!$A$6:$A$85,0)),"")))</f>
        <v>1231.2</v>
      </c>
      <c r="W70" s="26" t="n">
        <f aca="false">IF(B70="",0,IF(N70&gt;=4,S70,(H70+I70+J70+K70)/(4-N70)))</f>
        <v>3.5</v>
      </c>
    </row>
    <row r="71" customFormat="false" ht="15" hidden="false" customHeight="false" outlineLevel="0" collapsed="false">
      <c r="A71" s="16" t="s">
        <v>401</v>
      </c>
      <c r="B71" s="16" t="s">
        <v>215</v>
      </c>
      <c r="C71" s="16" t="s">
        <v>341</v>
      </c>
      <c r="D71" s="16"/>
      <c r="E71" s="16" t="n">
        <v>53</v>
      </c>
      <c r="F71" s="16" t="n">
        <v>0</v>
      </c>
      <c r="G71" s="16" t="n">
        <v>24</v>
      </c>
      <c r="H71" s="16" t="n">
        <v>1</v>
      </c>
      <c r="I71" s="16" t="n">
        <v>1</v>
      </c>
      <c r="J71" s="16" t="n">
        <v>1</v>
      </c>
      <c r="K71" s="16" t="n">
        <v>2</v>
      </c>
      <c r="L71" s="16" t="n">
        <v>29</v>
      </c>
      <c r="M71" s="16" t="n">
        <v>26</v>
      </c>
      <c r="N71" s="16" t="n">
        <v>0</v>
      </c>
      <c r="O71" s="9" t="str">
        <f aca="false">IF(B71="","",IFERROR(INDEX(Options!$G$6:$G$85,MATCH($B71,Options!$A$6:$A$85,0)),""))</f>
        <v>Letter</v>
      </c>
      <c r="P71" s="9" t="str">
        <f aca="false">IF(B71="","",IFERROR(INDEX(Options!$H$6:$H$85,MATCH($B71,Options!$A$6:$A$85,0)),""))</f>
        <v>Seasonal</v>
      </c>
      <c r="Q71" s="24" t="n">
        <f aca="false">IF(B71="",0,N(IFERROR(INDEX(Options!$J$6:$J$85,MATCH($B71,Options!$A$6:$A$85,0)),"")))</f>
        <v>180</v>
      </c>
      <c r="R71" s="25" t="n">
        <f aca="false">K71*Settings!$B$10+J71*Settings!$B$11+I71*Settings!$B$12+H71*Settings!$B$13</f>
        <v>1.4</v>
      </c>
      <c r="S71" s="25" t="n">
        <f aca="false">IFERROR(L71/Settings!$B$8,0)</f>
        <v>1.31818181818182</v>
      </c>
      <c r="T71" s="26" t="n">
        <f aca="false">IF(OR(B71="",P71="End of life"),0,W71*MIN(4,N71))</f>
        <v>0</v>
      </c>
      <c r="U71" s="27" t="n">
        <f aca="false">T71*Q71</f>
        <v>0</v>
      </c>
      <c r="V71" s="14" t="n">
        <f aca="false">IF(B71="",0,G71*N(IFERROR(INDEX(Options!$K$6:$K$85,MATCH($B71,Options!$A$6:$A$85,0)),"")))</f>
        <v>1641.6</v>
      </c>
      <c r="W71" s="26" t="n">
        <f aca="false">IF(B71="",0,IF(N71&gt;=4,S71,(H71+I71+J71+K71)/(4-N71)))</f>
        <v>1.25</v>
      </c>
    </row>
    <row r="72" customFormat="false" ht="15" hidden="false" customHeight="false" outlineLevel="0" collapsed="false">
      <c r="A72" s="16" t="s">
        <v>402</v>
      </c>
      <c r="B72" s="16" t="s">
        <v>218</v>
      </c>
      <c r="C72" s="16" t="s">
        <v>331</v>
      </c>
      <c r="D72" s="16"/>
      <c r="E72" s="16" t="n">
        <v>76</v>
      </c>
      <c r="F72" s="16" t="n">
        <v>0</v>
      </c>
      <c r="G72" s="16" t="n">
        <v>56</v>
      </c>
      <c r="H72" s="16" t="n">
        <v>1</v>
      </c>
      <c r="I72" s="16" t="n">
        <v>1</v>
      </c>
      <c r="J72" s="16" t="n">
        <v>1</v>
      </c>
      <c r="K72" s="16" t="n">
        <v>1</v>
      </c>
      <c r="L72" s="16" t="n">
        <v>20</v>
      </c>
      <c r="M72" s="16" t="n">
        <v>12</v>
      </c>
      <c r="N72" s="16" t="n">
        <v>0</v>
      </c>
      <c r="O72" s="9" t="str">
        <f aca="false">IF(B72="","",IFERROR(INDEX(Options!$G$6:$G$85,MATCH($B72,Options!$A$6:$A$85,0)),""))</f>
        <v>Letter</v>
      </c>
      <c r="P72" s="9" t="str">
        <f aca="false">IF(B72="","",IFERROR(INDEX(Options!$H$6:$H$85,MATCH($B72,Options!$A$6:$A$85,0)),""))</f>
        <v>Seasonal</v>
      </c>
      <c r="Q72" s="24" t="n">
        <f aca="false">IF(B72="",0,N(IFERROR(INDEX(Options!$J$6:$J$85,MATCH($B72,Options!$A$6:$A$85,0)),"")))</f>
        <v>180</v>
      </c>
      <c r="R72" s="25" t="n">
        <f aca="false">K72*Settings!$B$10+J72*Settings!$B$11+I72*Settings!$B$12+H72*Settings!$B$13</f>
        <v>1</v>
      </c>
      <c r="S72" s="25" t="n">
        <f aca="false">IFERROR(L72/Settings!$B$8,0)</f>
        <v>0.909090909090909</v>
      </c>
      <c r="T72" s="26" t="n">
        <f aca="false">IF(OR(B72="",P72="End of life"),0,W72*MIN(4,N72))</f>
        <v>0</v>
      </c>
      <c r="U72" s="27" t="n">
        <f aca="false">T72*Q72</f>
        <v>0</v>
      </c>
      <c r="V72" s="14" t="n">
        <f aca="false">IF(B72="",0,G72*N(IFERROR(INDEX(Options!$K$6:$K$85,MATCH($B72,Options!$A$6:$A$85,0)),"")))</f>
        <v>3830.4</v>
      </c>
      <c r="W72" s="26" t="n">
        <f aca="false">IF(B72="",0,IF(N72&gt;=4,S72,(H72+I72+J72+K72)/(4-N72)))</f>
        <v>1</v>
      </c>
    </row>
    <row r="73" customFormat="false" ht="15" hidden="false" customHeight="false" outlineLevel="0" collapsed="false">
      <c r="A73" s="16" t="s">
        <v>403</v>
      </c>
      <c r="B73" s="16" t="s">
        <v>218</v>
      </c>
      <c r="C73" s="16" t="s">
        <v>333</v>
      </c>
      <c r="D73" s="16" t="s">
        <v>183</v>
      </c>
      <c r="E73" s="16" t="n">
        <v>170</v>
      </c>
      <c r="F73" s="16" t="n">
        <v>0</v>
      </c>
      <c r="G73" s="16" t="n">
        <v>103</v>
      </c>
      <c r="H73" s="16" t="n">
        <v>2</v>
      </c>
      <c r="I73" s="16" t="n">
        <v>2</v>
      </c>
      <c r="J73" s="16" t="n">
        <v>3</v>
      </c>
      <c r="K73" s="16" t="n">
        <v>2</v>
      </c>
      <c r="L73" s="16" t="n">
        <v>67</v>
      </c>
      <c r="M73" s="16" t="n">
        <v>40</v>
      </c>
      <c r="N73" s="16" t="n">
        <v>0</v>
      </c>
      <c r="O73" s="9" t="str">
        <f aca="false">IF(B73="","",IFERROR(INDEX(Options!$G$6:$G$85,MATCH($B73,Options!$A$6:$A$85,0)),""))</f>
        <v>Letter</v>
      </c>
      <c r="P73" s="9" t="str">
        <f aca="false">IF(B73="","",IFERROR(INDEX(Options!$H$6:$H$85,MATCH($B73,Options!$A$6:$A$85,0)),""))</f>
        <v>Seasonal</v>
      </c>
      <c r="Q73" s="24" t="n">
        <f aca="false">IF(B73="",0,N(IFERROR(INDEX(Options!$J$6:$J$85,MATCH($B73,Options!$A$6:$A$85,0)),"")))</f>
        <v>180</v>
      </c>
      <c r="R73" s="25" t="n">
        <f aca="false">K73*Settings!$B$10+J73*Settings!$B$11+I73*Settings!$B$12+H73*Settings!$B$13</f>
        <v>2.3</v>
      </c>
      <c r="S73" s="25" t="n">
        <f aca="false">IFERROR(L73/Settings!$B$8,0)</f>
        <v>3.04545454545455</v>
      </c>
      <c r="T73" s="26" t="n">
        <f aca="false">IF(OR(B73="",P73="End of life"),0,W73*MIN(4,N73))</f>
        <v>0</v>
      </c>
      <c r="U73" s="27" t="n">
        <f aca="false">T73*Q73</f>
        <v>0</v>
      </c>
      <c r="V73" s="14" t="n">
        <f aca="false">IF(B73="",0,G73*N(IFERROR(INDEX(Options!$K$6:$K$85,MATCH($B73,Options!$A$6:$A$85,0)),"")))</f>
        <v>7045.2</v>
      </c>
      <c r="W73" s="26" t="n">
        <f aca="false">IF(B73="",0,IF(N73&gt;=4,S73,(H73+I73+J73+K73)/(4-N73)))</f>
        <v>2.25</v>
      </c>
    </row>
    <row r="74" customFormat="false" ht="15" hidden="false" customHeight="false" outlineLevel="0" collapsed="false">
      <c r="A74" s="16" t="s">
        <v>404</v>
      </c>
      <c r="B74" s="16" t="s">
        <v>218</v>
      </c>
      <c r="C74" s="16" t="s">
        <v>335</v>
      </c>
      <c r="D74" s="16" t="s">
        <v>183</v>
      </c>
      <c r="E74" s="16" t="n">
        <v>283</v>
      </c>
      <c r="F74" s="16" t="n">
        <v>0</v>
      </c>
      <c r="G74" s="16" t="n">
        <v>177</v>
      </c>
      <c r="H74" s="16" t="n">
        <v>3</v>
      </c>
      <c r="I74" s="16" t="n">
        <v>4</v>
      </c>
      <c r="J74" s="16" t="n">
        <v>3</v>
      </c>
      <c r="K74" s="16" t="n">
        <v>3</v>
      </c>
      <c r="L74" s="16" t="n">
        <v>106</v>
      </c>
      <c r="M74" s="16" t="n">
        <v>64</v>
      </c>
      <c r="N74" s="16" t="n">
        <v>0</v>
      </c>
      <c r="O74" s="9" t="str">
        <f aca="false">IF(B74="","",IFERROR(INDEX(Options!$G$6:$G$85,MATCH($B74,Options!$A$6:$A$85,0)),""))</f>
        <v>Letter</v>
      </c>
      <c r="P74" s="9" t="str">
        <f aca="false">IF(B74="","",IFERROR(INDEX(Options!$H$6:$H$85,MATCH($B74,Options!$A$6:$A$85,0)),""))</f>
        <v>Seasonal</v>
      </c>
      <c r="Q74" s="24" t="n">
        <f aca="false">IF(B74="",0,N(IFERROR(INDEX(Options!$J$6:$J$85,MATCH($B74,Options!$A$6:$A$85,0)),"")))</f>
        <v>180</v>
      </c>
      <c r="R74" s="25" t="n">
        <f aca="false">K74*Settings!$B$10+J74*Settings!$B$11+I74*Settings!$B$12+H74*Settings!$B$13</f>
        <v>3.2</v>
      </c>
      <c r="S74" s="25" t="n">
        <f aca="false">IFERROR(L74/Settings!$B$8,0)</f>
        <v>4.81818181818182</v>
      </c>
      <c r="T74" s="26" t="n">
        <f aca="false">IF(OR(B74="",P74="End of life"),0,W74*MIN(4,N74))</f>
        <v>0</v>
      </c>
      <c r="U74" s="27" t="n">
        <f aca="false">T74*Q74</f>
        <v>0</v>
      </c>
      <c r="V74" s="14" t="n">
        <f aca="false">IF(B74="",0,G74*N(IFERROR(INDEX(Options!$K$6:$K$85,MATCH($B74,Options!$A$6:$A$85,0)),"")))</f>
        <v>12106.8</v>
      </c>
      <c r="W74" s="26" t="n">
        <f aca="false">IF(B74="",0,IF(N74&gt;=4,S74,(H74+I74+J74+K74)/(4-N74)))</f>
        <v>3.25</v>
      </c>
    </row>
    <row r="75" customFormat="false" ht="15" hidden="false" customHeight="false" outlineLevel="0" collapsed="false">
      <c r="A75" s="16" t="s">
        <v>405</v>
      </c>
      <c r="B75" s="16" t="s">
        <v>218</v>
      </c>
      <c r="C75" s="16" t="s">
        <v>337</v>
      </c>
      <c r="D75" s="16" t="s">
        <v>183</v>
      </c>
      <c r="E75" s="16" t="n">
        <v>245</v>
      </c>
      <c r="F75" s="16" t="n">
        <v>0</v>
      </c>
      <c r="G75" s="16" t="n">
        <v>155</v>
      </c>
      <c r="H75" s="16" t="n">
        <v>2</v>
      </c>
      <c r="I75" s="16" t="n">
        <v>2</v>
      </c>
      <c r="J75" s="16" t="n">
        <v>4</v>
      </c>
      <c r="K75" s="16" t="n">
        <v>4</v>
      </c>
      <c r="L75" s="16" t="n">
        <v>90</v>
      </c>
      <c r="M75" s="16" t="n">
        <v>54</v>
      </c>
      <c r="N75" s="16" t="n">
        <v>0</v>
      </c>
      <c r="O75" s="9" t="str">
        <f aca="false">IF(B75="","",IFERROR(INDEX(Options!$G$6:$G$85,MATCH($B75,Options!$A$6:$A$85,0)),""))</f>
        <v>Letter</v>
      </c>
      <c r="P75" s="9" t="str">
        <f aca="false">IF(B75="","",IFERROR(INDEX(Options!$H$6:$H$85,MATCH($B75,Options!$A$6:$A$85,0)),""))</f>
        <v>Seasonal</v>
      </c>
      <c r="Q75" s="24" t="n">
        <f aca="false">IF(B75="",0,N(IFERROR(INDEX(Options!$J$6:$J$85,MATCH($B75,Options!$A$6:$A$85,0)),"")))</f>
        <v>180</v>
      </c>
      <c r="R75" s="25" t="n">
        <f aca="false">K75*Settings!$B$10+J75*Settings!$B$11+I75*Settings!$B$12+H75*Settings!$B$13</f>
        <v>3.4</v>
      </c>
      <c r="S75" s="25" t="n">
        <f aca="false">IFERROR(L75/Settings!$B$8,0)</f>
        <v>4.09090909090909</v>
      </c>
      <c r="T75" s="26" t="n">
        <f aca="false">IF(OR(B75="",P75="End of life"),0,W75*MIN(4,N75))</f>
        <v>0</v>
      </c>
      <c r="U75" s="27" t="n">
        <f aca="false">T75*Q75</f>
        <v>0</v>
      </c>
      <c r="V75" s="14" t="n">
        <f aca="false">IF(B75="",0,G75*N(IFERROR(INDEX(Options!$K$6:$K$85,MATCH($B75,Options!$A$6:$A$85,0)),"")))</f>
        <v>10602</v>
      </c>
      <c r="W75" s="26" t="n">
        <f aca="false">IF(B75="",0,IF(N75&gt;=4,S75,(H75+I75+J75+K75)/(4-N75)))</f>
        <v>3</v>
      </c>
    </row>
    <row r="76" customFormat="false" ht="15" hidden="false" customHeight="false" outlineLevel="0" collapsed="false">
      <c r="A76" s="16" t="s">
        <v>406</v>
      </c>
      <c r="B76" s="16" t="s">
        <v>218</v>
      </c>
      <c r="C76" s="16" t="s">
        <v>339</v>
      </c>
      <c r="D76" s="16"/>
      <c r="E76" s="16" t="n">
        <v>132</v>
      </c>
      <c r="F76" s="16" t="n">
        <v>0</v>
      </c>
      <c r="G76" s="16" t="n">
        <v>80</v>
      </c>
      <c r="H76" s="16" t="n">
        <v>2</v>
      </c>
      <c r="I76" s="16" t="n">
        <v>1</v>
      </c>
      <c r="J76" s="16" t="n">
        <v>1</v>
      </c>
      <c r="K76" s="16" t="n">
        <v>1</v>
      </c>
      <c r="L76" s="16" t="n">
        <v>52</v>
      </c>
      <c r="M76" s="16" t="n">
        <v>31</v>
      </c>
      <c r="N76" s="16" t="n">
        <v>0</v>
      </c>
      <c r="O76" s="9" t="str">
        <f aca="false">IF(B76="","",IFERROR(INDEX(Options!$G$6:$G$85,MATCH($B76,Options!$A$6:$A$85,0)),""))</f>
        <v>Letter</v>
      </c>
      <c r="P76" s="9" t="str">
        <f aca="false">IF(B76="","",IFERROR(INDEX(Options!$H$6:$H$85,MATCH($B76,Options!$A$6:$A$85,0)),""))</f>
        <v>Seasonal</v>
      </c>
      <c r="Q76" s="24" t="n">
        <f aca="false">IF(B76="",0,N(IFERROR(INDEX(Options!$J$6:$J$85,MATCH($B76,Options!$A$6:$A$85,0)),"")))</f>
        <v>180</v>
      </c>
      <c r="R76" s="25" t="n">
        <f aca="false">K76*Settings!$B$10+J76*Settings!$B$11+I76*Settings!$B$12+H76*Settings!$B$13</f>
        <v>1.1</v>
      </c>
      <c r="S76" s="25" t="n">
        <f aca="false">IFERROR(L76/Settings!$B$8,0)</f>
        <v>2.36363636363636</v>
      </c>
      <c r="T76" s="26" t="n">
        <f aca="false">IF(OR(B76="",P76="End of life"),0,W76*MIN(4,N76))</f>
        <v>0</v>
      </c>
      <c r="U76" s="27" t="n">
        <f aca="false">T76*Q76</f>
        <v>0</v>
      </c>
      <c r="V76" s="14" t="n">
        <f aca="false">IF(B76="",0,G76*N(IFERROR(INDEX(Options!$K$6:$K$85,MATCH($B76,Options!$A$6:$A$85,0)),"")))</f>
        <v>5472</v>
      </c>
      <c r="W76" s="26" t="n">
        <f aca="false">IF(B76="",0,IF(N76&gt;=4,S76,(H76+I76+J76+K76)/(4-N76)))</f>
        <v>1.25</v>
      </c>
    </row>
    <row r="77" customFormat="false" ht="15" hidden="false" customHeight="false" outlineLevel="0" collapsed="false">
      <c r="A77" s="16" t="s">
        <v>407</v>
      </c>
      <c r="B77" s="16" t="s">
        <v>218</v>
      </c>
      <c r="C77" s="16" t="s">
        <v>341</v>
      </c>
      <c r="D77" s="16"/>
      <c r="E77" s="16" t="n">
        <v>76</v>
      </c>
      <c r="F77" s="16" t="n">
        <v>0</v>
      </c>
      <c r="G77" s="16" t="n">
        <v>56</v>
      </c>
      <c r="H77" s="16" t="n">
        <v>1</v>
      </c>
      <c r="I77" s="16" t="n">
        <v>1</v>
      </c>
      <c r="J77" s="16" t="n">
        <v>1</v>
      </c>
      <c r="K77" s="16" t="n">
        <v>1</v>
      </c>
      <c r="L77" s="16" t="n">
        <v>20</v>
      </c>
      <c r="M77" s="16" t="n">
        <v>12</v>
      </c>
      <c r="N77" s="16" t="n">
        <v>0</v>
      </c>
      <c r="O77" s="9" t="str">
        <f aca="false">IF(B77="","",IFERROR(INDEX(Options!$G$6:$G$85,MATCH($B77,Options!$A$6:$A$85,0)),""))</f>
        <v>Letter</v>
      </c>
      <c r="P77" s="9" t="str">
        <f aca="false">IF(B77="","",IFERROR(INDEX(Options!$H$6:$H$85,MATCH($B77,Options!$A$6:$A$85,0)),""))</f>
        <v>Seasonal</v>
      </c>
      <c r="Q77" s="24" t="n">
        <f aca="false">IF(B77="",0,N(IFERROR(INDEX(Options!$J$6:$J$85,MATCH($B77,Options!$A$6:$A$85,0)),"")))</f>
        <v>180</v>
      </c>
      <c r="R77" s="25" t="n">
        <f aca="false">K77*Settings!$B$10+J77*Settings!$B$11+I77*Settings!$B$12+H77*Settings!$B$13</f>
        <v>1</v>
      </c>
      <c r="S77" s="25" t="n">
        <f aca="false">IFERROR(L77/Settings!$B$8,0)</f>
        <v>0.909090909090909</v>
      </c>
      <c r="T77" s="26" t="n">
        <f aca="false">IF(OR(B77="",P77="End of life"),0,W77*MIN(4,N77))</f>
        <v>0</v>
      </c>
      <c r="U77" s="27" t="n">
        <f aca="false">T77*Q77</f>
        <v>0</v>
      </c>
      <c r="V77" s="14" t="n">
        <f aca="false">IF(B77="",0,G77*N(IFERROR(INDEX(Options!$K$6:$K$85,MATCH($B77,Options!$A$6:$A$85,0)),"")))</f>
        <v>3830.4</v>
      </c>
      <c r="W77" s="26" t="n">
        <f aca="false">IF(B77="",0,IF(N77&gt;=4,S77,(H77+I77+J77+K77)/(4-N77)))</f>
        <v>1</v>
      </c>
    </row>
    <row r="78" customFormat="false" ht="15" hidden="false" customHeight="false" outlineLevel="0" collapsed="false">
      <c r="A78" s="16" t="s">
        <v>408</v>
      </c>
      <c r="B78" s="16" t="s">
        <v>221</v>
      </c>
      <c r="C78" s="16" t="s">
        <v>331</v>
      </c>
      <c r="D78" s="16"/>
      <c r="E78" s="16" t="n">
        <v>72</v>
      </c>
      <c r="F78" s="16" t="n">
        <v>0</v>
      </c>
      <c r="G78" s="16" t="n">
        <v>56</v>
      </c>
      <c r="H78" s="16" t="n">
        <v>0</v>
      </c>
      <c r="I78" s="16" t="n">
        <v>0</v>
      </c>
      <c r="J78" s="16" t="n">
        <v>1</v>
      </c>
      <c r="K78" s="16" t="n">
        <v>1</v>
      </c>
      <c r="L78" s="16" t="n">
        <v>16</v>
      </c>
      <c r="M78" s="16" t="n">
        <v>10</v>
      </c>
      <c r="N78" s="16" t="n">
        <v>0</v>
      </c>
      <c r="O78" s="9" t="str">
        <f aca="false">IF(B78="","",IFERROR(INDEX(Options!$G$6:$G$85,MATCH($B78,Options!$A$6:$A$85,0)),""))</f>
        <v>Letter</v>
      </c>
      <c r="P78" s="9" t="str">
        <f aca="false">IF(B78="","",IFERROR(INDEX(Options!$H$6:$H$85,MATCH($B78,Options!$A$6:$A$85,0)),""))</f>
        <v>Seasonal</v>
      </c>
      <c r="Q78" s="24" t="n">
        <f aca="false">IF(B78="",0,N(IFERROR(INDEX(Options!$J$6:$J$85,MATCH($B78,Options!$A$6:$A$85,0)),"")))</f>
        <v>180</v>
      </c>
      <c r="R78" s="25" t="n">
        <f aca="false">K78*Settings!$B$10+J78*Settings!$B$11+I78*Settings!$B$12+H78*Settings!$B$13</f>
        <v>0.7</v>
      </c>
      <c r="S78" s="25" t="n">
        <f aca="false">IFERROR(L78/Settings!$B$8,0)</f>
        <v>0.727272727272727</v>
      </c>
      <c r="T78" s="26" t="n">
        <f aca="false">IF(OR(B78="",P78="End of life"),0,W78*MIN(4,N78))</f>
        <v>0</v>
      </c>
      <c r="U78" s="27" t="n">
        <f aca="false">T78*Q78</f>
        <v>0</v>
      </c>
      <c r="V78" s="14" t="n">
        <f aca="false">IF(B78="",0,G78*N(IFERROR(INDEX(Options!$K$6:$K$85,MATCH($B78,Options!$A$6:$A$85,0)),"")))</f>
        <v>3830.4</v>
      </c>
      <c r="W78" s="26" t="n">
        <f aca="false">IF(B78="",0,IF(N78&gt;=4,S78,(H78+I78+J78+K78)/(4-N78)))</f>
        <v>0.5</v>
      </c>
    </row>
    <row r="79" customFormat="false" ht="15" hidden="false" customHeight="false" outlineLevel="0" collapsed="false">
      <c r="A79" s="16" t="s">
        <v>409</v>
      </c>
      <c r="B79" s="16" t="s">
        <v>221</v>
      </c>
      <c r="C79" s="16" t="s">
        <v>333</v>
      </c>
      <c r="D79" s="16" t="s">
        <v>183</v>
      </c>
      <c r="E79" s="16" t="n">
        <v>160</v>
      </c>
      <c r="F79" s="16" t="n">
        <v>0</v>
      </c>
      <c r="G79" s="16" t="n">
        <v>116</v>
      </c>
      <c r="H79" s="16" t="n">
        <v>2</v>
      </c>
      <c r="I79" s="16" t="n">
        <v>2</v>
      </c>
      <c r="J79" s="16" t="n">
        <v>2</v>
      </c>
      <c r="K79" s="16" t="n">
        <v>2</v>
      </c>
      <c r="L79" s="16" t="n">
        <v>44</v>
      </c>
      <c r="M79" s="16" t="n">
        <v>26</v>
      </c>
      <c r="N79" s="16" t="n">
        <v>0</v>
      </c>
      <c r="O79" s="9" t="str">
        <f aca="false">IF(B79="","",IFERROR(INDEX(Options!$G$6:$G$85,MATCH($B79,Options!$A$6:$A$85,0)),""))</f>
        <v>Letter</v>
      </c>
      <c r="P79" s="9" t="str">
        <f aca="false">IF(B79="","",IFERROR(INDEX(Options!$H$6:$H$85,MATCH($B79,Options!$A$6:$A$85,0)),""))</f>
        <v>Seasonal</v>
      </c>
      <c r="Q79" s="24" t="n">
        <f aca="false">IF(B79="",0,N(IFERROR(INDEX(Options!$J$6:$J$85,MATCH($B79,Options!$A$6:$A$85,0)),"")))</f>
        <v>180</v>
      </c>
      <c r="R79" s="25" t="n">
        <f aca="false">K79*Settings!$B$10+J79*Settings!$B$11+I79*Settings!$B$12+H79*Settings!$B$13</f>
        <v>2</v>
      </c>
      <c r="S79" s="25" t="n">
        <f aca="false">IFERROR(L79/Settings!$B$8,0)</f>
        <v>2</v>
      </c>
      <c r="T79" s="26" t="n">
        <f aca="false">IF(OR(B79="",P79="End of life"),0,W79*MIN(4,N79))</f>
        <v>0</v>
      </c>
      <c r="U79" s="27" t="n">
        <f aca="false">T79*Q79</f>
        <v>0</v>
      </c>
      <c r="V79" s="14" t="n">
        <f aca="false">IF(B79="",0,G79*N(IFERROR(INDEX(Options!$K$6:$K$85,MATCH($B79,Options!$A$6:$A$85,0)),"")))</f>
        <v>7934.4</v>
      </c>
      <c r="W79" s="26" t="n">
        <f aca="false">IF(B79="",0,IF(N79&gt;=4,S79,(H79+I79+J79+K79)/(4-N79)))</f>
        <v>2</v>
      </c>
    </row>
    <row r="80" customFormat="false" ht="15" hidden="false" customHeight="false" outlineLevel="0" collapsed="false">
      <c r="A80" s="16" t="s">
        <v>410</v>
      </c>
      <c r="B80" s="16" t="s">
        <v>221</v>
      </c>
      <c r="C80" s="16" t="s">
        <v>335</v>
      </c>
      <c r="D80" s="16" t="s">
        <v>183</v>
      </c>
      <c r="E80" s="16" t="n">
        <v>267</v>
      </c>
      <c r="F80" s="16" t="n">
        <v>0</v>
      </c>
      <c r="G80" s="16" t="n">
        <v>185</v>
      </c>
      <c r="H80" s="16" t="n">
        <v>2</v>
      </c>
      <c r="I80" s="16" t="n">
        <v>3</v>
      </c>
      <c r="J80" s="16" t="n">
        <v>3</v>
      </c>
      <c r="K80" s="16" t="n">
        <v>4</v>
      </c>
      <c r="L80" s="16" t="n">
        <v>82</v>
      </c>
      <c r="M80" s="16" t="n">
        <v>49</v>
      </c>
      <c r="N80" s="16" t="n">
        <v>0</v>
      </c>
      <c r="O80" s="9" t="str">
        <f aca="false">IF(B80="","",IFERROR(INDEX(Options!$G$6:$G$85,MATCH($B80,Options!$A$6:$A$85,0)),""))</f>
        <v>Letter</v>
      </c>
      <c r="P80" s="9" t="str">
        <f aca="false">IF(B80="","",IFERROR(INDEX(Options!$H$6:$H$85,MATCH($B80,Options!$A$6:$A$85,0)),""))</f>
        <v>Seasonal</v>
      </c>
      <c r="Q80" s="24" t="n">
        <f aca="false">IF(B80="",0,N(IFERROR(INDEX(Options!$J$6:$J$85,MATCH($B80,Options!$A$6:$A$85,0)),"")))</f>
        <v>180</v>
      </c>
      <c r="R80" s="25" t="n">
        <f aca="false">K80*Settings!$B$10+J80*Settings!$B$11+I80*Settings!$B$12+H80*Settings!$B$13</f>
        <v>3.3</v>
      </c>
      <c r="S80" s="25" t="n">
        <f aca="false">IFERROR(L80/Settings!$B$8,0)</f>
        <v>3.72727272727273</v>
      </c>
      <c r="T80" s="26" t="n">
        <f aca="false">IF(OR(B80="",P80="End of life"),0,W80*MIN(4,N80))</f>
        <v>0</v>
      </c>
      <c r="U80" s="27" t="n">
        <f aca="false">T80*Q80</f>
        <v>0</v>
      </c>
      <c r="V80" s="14" t="n">
        <f aca="false">IF(B80="",0,G80*N(IFERROR(INDEX(Options!$K$6:$K$85,MATCH($B80,Options!$A$6:$A$85,0)),"")))</f>
        <v>12654</v>
      </c>
      <c r="W80" s="26" t="n">
        <f aca="false">IF(B80="",0,IF(N80&gt;=4,S80,(H80+I80+J80+K80)/(4-N80)))</f>
        <v>3</v>
      </c>
    </row>
    <row r="81" customFormat="false" ht="15" hidden="false" customHeight="false" outlineLevel="0" collapsed="false">
      <c r="A81" s="16" t="s">
        <v>411</v>
      </c>
      <c r="B81" s="16" t="s">
        <v>221</v>
      </c>
      <c r="C81" s="16" t="s">
        <v>337</v>
      </c>
      <c r="D81" s="16" t="s">
        <v>183</v>
      </c>
      <c r="E81" s="16" t="n">
        <v>231</v>
      </c>
      <c r="F81" s="16" t="n">
        <v>0</v>
      </c>
      <c r="G81" s="16" t="n">
        <v>164</v>
      </c>
      <c r="H81" s="16" t="n">
        <v>2</v>
      </c>
      <c r="I81" s="16" t="n">
        <v>2</v>
      </c>
      <c r="J81" s="16" t="n">
        <v>3</v>
      </c>
      <c r="K81" s="16" t="n">
        <v>3</v>
      </c>
      <c r="L81" s="16" t="n">
        <v>67</v>
      </c>
      <c r="M81" s="16" t="n">
        <v>40</v>
      </c>
      <c r="N81" s="16" t="n">
        <v>0</v>
      </c>
      <c r="O81" s="9" t="str">
        <f aca="false">IF(B81="","",IFERROR(INDEX(Options!$G$6:$G$85,MATCH($B81,Options!$A$6:$A$85,0)),""))</f>
        <v>Letter</v>
      </c>
      <c r="P81" s="9" t="str">
        <f aca="false">IF(B81="","",IFERROR(INDEX(Options!$H$6:$H$85,MATCH($B81,Options!$A$6:$A$85,0)),""))</f>
        <v>Seasonal</v>
      </c>
      <c r="Q81" s="24" t="n">
        <f aca="false">IF(B81="",0,N(IFERROR(INDEX(Options!$J$6:$J$85,MATCH($B81,Options!$A$6:$A$85,0)),"")))</f>
        <v>180</v>
      </c>
      <c r="R81" s="25" t="n">
        <f aca="false">K81*Settings!$B$10+J81*Settings!$B$11+I81*Settings!$B$12+H81*Settings!$B$13</f>
        <v>2.7</v>
      </c>
      <c r="S81" s="25" t="n">
        <f aca="false">IFERROR(L81/Settings!$B$8,0)</f>
        <v>3.04545454545455</v>
      </c>
      <c r="T81" s="26" t="n">
        <f aca="false">IF(OR(B81="",P81="End of life"),0,W81*MIN(4,N81))</f>
        <v>0</v>
      </c>
      <c r="U81" s="27" t="n">
        <f aca="false">T81*Q81</f>
        <v>0</v>
      </c>
      <c r="V81" s="14" t="n">
        <f aca="false">IF(B81="",0,G81*N(IFERROR(INDEX(Options!$K$6:$K$85,MATCH($B81,Options!$A$6:$A$85,0)),"")))</f>
        <v>11217.6</v>
      </c>
      <c r="W81" s="26" t="n">
        <f aca="false">IF(B81="",0,IF(N81&gt;=4,S81,(H81+I81+J81+K81)/(4-N81)))</f>
        <v>2.5</v>
      </c>
    </row>
    <row r="82" customFormat="false" ht="15" hidden="false" customHeight="false" outlineLevel="0" collapsed="false">
      <c r="A82" s="16" t="s">
        <v>412</v>
      </c>
      <c r="B82" s="16" t="s">
        <v>221</v>
      </c>
      <c r="C82" s="16" t="s">
        <v>339</v>
      </c>
      <c r="D82" s="16"/>
      <c r="E82" s="16" t="n">
        <v>125</v>
      </c>
      <c r="F82" s="16" t="n">
        <v>0</v>
      </c>
      <c r="G82" s="16" t="n">
        <v>86</v>
      </c>
      <c r="H82" s="16" t="n">
        <v>1</v>
      </c>
      <c r="I82" s="16" t="n">
        <v>1</v>
      </c>
      <c r="J82" s="16" t="n">
        <v>1</v>
      </c>
      <c r="K82" s="16" t="n">
        <v>1</v>
      </c>
      <c r="L82" s="16" t="n">
        <v>39</v>
      </c>
      <c r="M82" s="16" t="n">
        <v>23</v>
      </c>
      <c r="N82" s="16" t="n">
        <v>0</v>
      </c>
      <c r="O82" s="9" t="str">
        <f aca="false">IF(B82="","",IFERROR(INDEX(Options!$G$6:$G$85,MATCH($B82,Options!$A$6:$A$85,0)),""))</f>
        <v>Letter</v>
      </c>
      <c r="P82" s="9" t="str">
        <f aca="false">IF(B82="","",IFERROR(INDEX(Options!$H$6:$H$85,MATCH($B82,Options!$A$6:$A$85,0)),""))</f>
        <v>Seasonal</v>
      </c>
      <c r="Q82" s="24" t="n">
        <f aca="false">IF(B82="",0,N(IFERROR(INDEX(Options!$J$6:$J$85,MATCH($B82,Options!$A$6:$A$85,0)),"")))</f>
        <v>180</v>
      </c>
      <c r="R82" s="25" t="n">
        <f aca="false">K82*Settings!$B$10+J82*Settings!$B$11+I82*Settings!$B$12+H82*Settings!$B$13</f>
        <v>1</v>
      </c>
      <c r="S82" s="25" t="n">
        <f aca="false">IFERROR(L82/Settings!$B$8,0)</f>
        <v>1.77272727272727</v>
      </c>
      <c r="T82" s="26" t="n">
        <f aca="false">IF(OR(B82="",P82="End of life"),0,W82*MIN(4,N82))</f>
        <v>0</v>
      </c>
      <c r="U82" s="27" t="n">
        <f aca="false">T82*Q82</f>
        <v>0</v>
      </c>
      <c r="V82" s="14" t="n">
        <f aca="false">IF(B82="",0,G82*N(IFERROR(INDEX(Options!$K$6:$K$85,MATCH($B82,Options!$A$6:$A$85,0)),"")))</f>
        <v>5882.4</v>
      </c>
      <c r="W82" s="26" t="n">
        <f aca="false">IF(B82="",0,IF(N82&gt;=4,S82,(H82+I82+J82+K82)/(4-N82)))</f>
        <v>1</v>
      </c>
    </row>
    <row r="83" customFormat="false" ht="15" hidden="false" customHeight="false" outlineLevel="0" collapsed="false">
      <c r="A83" s="16" t="s">
        <v>413</v>
      </c>
      <c r="B83" s="16" t="s">
        <v>221</v>
      </c>
      <c r="C83" s="16" t="s">
        <v>341</v>
      </c>
      <c r="D83" s="16"/>
      <c r="E83" s="16" t="n">
        <v>72</v>
      </c>
      <c r="F83" s="16" t="n">
        <v>0</v>
      </c>
      <c r="G83" s="16" t="n">
        <v>55</v>
      </c>
      <c r="H83" s="16" t="n">
        <v>0</v>
      </c>
      <c r="I83" s="16" t="n">
        <v>1</v>
      </c>
      <c r="J83" s="16" t="n">
        <v>1</v>
      </c>
      <c r="K83" s="16" t="n">
        <v>0</v>
      </c>
      <c r="L83" s="16" t="n">
        <v>17</v>
      </c>
      <c r="M83" s="16" t="n">
        <v>10</v>
      </c>
      <c r="N83" s="16" t="n">
        <v>0</v>
      </c>
      <c r="O83" s="9" t="str">
        <f aca="false">IF(B83="","",IFERROR(INDEX(Options!$G$6:$G$85,MATCH($B83,Options!$A$6:$A$85,0)),""))</f>
        <v>Letter</v>
      </c>
      <c r="P83" s="9" t="str">
        <f aca="false">IF(B83="","",IFERROR(INDEX(Options!$H$6:$H$85,MATCH($B83,Options!$A$6:$A$85,0)),""))</f>
        <v>Seasonal</v>
      </c>
      <c r="Q83" s="24" t="n">
        <f aca="false">IF(B83="",0,N(IFERROR(INDEX(Options!$J$6:$J$85,MATCH($B83,Options!$A$6:$A$85,0)),"")))</f>
        <v>180</v>
      </c>
      <c r="R83" s="25" t="n">
        <f aca="false">K83*Settings!$B$10+J83*Settings!$B$11+I83*Settings!$B$12+H83*Settings!$B$13</f>
        <v>0.5</v>
      </c>
      <c r="S83" s="25" t="n">
        <f aca="false">IFERROR(L83/Settings!$B$8,0)</f>
        <v>0.772727272727273</v>
      </c>
      <c r="T83" s="26" t="n">
        <f aca="false">IF(OR(B83="",P83="End of life"),0,W83*MIN(4,N83))</f>
        <v>0</v>
      </c>
      <c r="U83" s="27" t="n">
        <f aca="false">T83*Q83</f>
        <v>0</v>
      </c>
      <c r="V83" s="14" t="n">
        <f aca="false">IF(B83="",0,G83*N(IFERROR(INDEX(Options!$K$6:$K$85,MATCH($B83,Options!$A$6:$A$85,0)),"")))</f>
        <v>3762</v>
      </c>
      <c r="W83" s="26" t="n">
        <f aca="false">IF(B83="",0,IF(N83&gt;=4,S83,(H83+I83+J83+K83)/(4-N83)))</f>
        <v>0.5</v>
      </c>
    </row>
    <row r="84" customFormat="false" ht="15" hidden="false" customHeight="false" outlineLevel="0" collapsed="false">
      <c r="A84" s="16" t="s">
        <v>414</v>
      </c>
      <c r="B84" s="16" t="s">
        <v>223</v>
      </c>
      <c r="C84" s="16" t="s">
        <v>331</v>
      </c>
      <c r="D84" s="16"/>
      <c r="E84" s="16" t="n">
        <v>72</v>
      </c>
      <c r="F84" s="16" t="n">
        <v>0</v>
      </c>
      <c r="G84" s="16" t="n">
        <v>1</v>
      </c>
      <c r="H84" s="16" t="n">
        <v>0</v>
      </c>
      <c r="I84" s="16" t="n">
        <v>0</v>
      </c>
      <c r="J84" s="16" t="n">
        <v>1</v>
      </c>
      <c r="K84" s="16" t="n">
        <v>1</v>
      </c>
      <c r="L84" s="16" t="n">
        <v>22</v>
      </c>
      <c r="M84" s="16" t="n">
        <v>19</v>
      </c>
      <c r="N84" s="16" t="n">
        <v>0</v>
      </c>
      <c r="O84" s="9" t="str">
        <f aca="false">IF(B84="","",IFERROR(INDEX(Options!$G$6:$G$85,MATCH($B84,Options!$A$6:$A$85,0)),""))</f>
        <v>Letter</v>
      </c>
      <c r="P84" s="9" t="str">
        <f aca="false">IF(B84="","",IFERROR(INDEX(Options!$H$6:$H$85,MATCH($B84,Options!$A$6:$A$85,0)),""))</f>
        <v>Seasonal</v>
      </c>
      <c r="Q84" s="24" t="n">
        <f aca="false">IF(B84="",0,N(IFERROR(INDEX(Options!$J$6:$J$85,MATCH($B84,Options!$A$6:$A$85,0)),"")))</f>
        <v>180</v>
      </c>
      <c r="R84" s="25" t="n">
        <f aca="false">K84*Settings!$B$10+J84*Settings!$B$11+I84*Settings!$B$12+H84*Settings!$B$13</f>
        <v>0.7</v>
      </c>
      <c r="S84" s="25" t="n">
        <f aca="false">IFERROR(L84/Settings!$B$8,0)</f>
        <v>1</v>
      </c>
      <c r="T84" s="26" t="n">
        <f aca="false">IF(OR(B84="",P84="End of life"),0,W84*MIN(4,N84))</f>
        <v>0</v>
      </c>
      <c r="U84" s="27" t="n">
        <f aca="false">T84*Q84</f>
        <v>0</v>
      </c>
      <c r="V84" s="14" t="n">
        <f aca="false">IF(B84="",0,G84*N(IFERROR(INDEX(Options!$K$6:$K$85,MATCH($B84,Options!$A$6:$A$85,0)),"")))</f>
        <v>68.4</v>
      </c>
      <c r="W84" s="26" t="n">
        <f aca="false">IF(B84="",0,IF(N84&gt;=4,S84,(H84+I84+J84+K84)/(4-N84)))</f>
        <v>0.5</v>
      </c>
    </row>
    <row r="85" customFormat="false" ht="15" hidden="false" customHeight="false" outlineLevel="0" collapsed="false">
      <c r="A85" s="16" t="s">
        <v>415</v>
      </c>
      <c r="B85" s="16" t="s">
        <v>223</v>
      </c>
      <c r="C85" s="16" t="s">
        <v>333</v>
      </c>
      <c r="D85" s="16" t="s">
        <v>183</v>
      </c>
      <c r="E85" s="16" t="n">
        <v>90</v>
      </c>
      <c r="F85" s="16" t="n">
        <v>0</v>
      </c>
      <c r="G85" s="16" t="n">
        <v>0</v>
      </c>
      <c r="H85" s="16" t="n">
        <v>0</v>
      </c>
      <c r="I85" s="16" t="n">
        <v>0</v>
      </c>
      <c r="J85" s="16" t="n">
        <v>0</v>
      </c>
      <c r="K85" s="16" t="n">
        <v>0</v>
      </c>
      <c r="L85" s="16" t="n">
        <v>90</v>
      </c>
      <c r="M85" s="16" t="n">
        <v>79</v>
      </c>
      <c r="N85" s="16" t="n">
        <v>4</v>
      </c>
      <c r="O85" s="9" t="str">
        <f aca="false">IF(B85="","",IFERROR(INDEX(Options!$G$6:$G$85,MATCH($B85,Options!$A$6:$A$85,0)),""))</f>
        <v>Letter</v>
      </c>
      <c r="P85" s="9" t="str">
        <f aca="false">IF(B85="","",IFERROR(INDEX(Options!$H$6:$H$85,MATCH($B85,Options!$A$6:$A$85,0)),""))</f>
        <v>Seasonal</v>
      </c>
      <c r="Q85" s="24" t="n">
        <f aca="false">IF(B85="",0,N(IFERROR(INDEX(Options!$J$6:$J$85,MATCH($B85,Options!$A$6:$A$85,0)),"")))</f>
        <v>180</v>
      </c>
      <c r="R85" s="25" t="n">
        <f aca="false">K85*Settings!$B$10+J85*Settings!$B$11+I85*Settings!$B$12+H85*Settings!$B$13</f>
        <v>0</v>
      </c>
      <c r="S85" s="25" t="n">
        <f aca="false">IFERROR(L85/Settings!$B$8,0)</f>
        <v>4.09090909090909</v>
      </c>
      <c r="T85" s="26" t="n">
        <f aca="false">IF(OR(B85="",P85="End of life"),0,W85*MIN(4,N85))</f>
        <v>16.3636363636364</v>
      </c>
      <c r="U85" s="27" t="n">
        <f aca="false">T85*Q85</f>
        <v>2945.45454545455</v>
      </c>
      <c r="V85" s="14" t="n">
        <f aca="false">IF(B85="",0,G85*N(IFERROR(INDEX(Options!$K$6:$K$85,MATCH($B85,Options!$A$6:$A$85,0)),"")))</f>
        <v>0</v>
      </c>
      <c r="W85" s="26" t="n">
        <f aca="false">IF(B85="",0,IF(N85&gt;=4,S85,(H85+I85+J85+K85)/(4-N85)))</f>
        <v>4.09090909090909</v>
      </c>
    </row>
    <row r="86" customFormat="false" ht="15" hidden="false" customHeight="false" outlineLevel="0" collapsed="false">
      <c r="A86" s="16" t="s">
        <v>416</v>
      </c>
      <c r="B86" s="16" t="s">
        <v>223</v>
      </c>
      <c r="C86" s="16" t="s">
        <v>335</v>
      </c>
      <c r="D86" s="16" t="s">
        <v>183</v>
      </c>
      <c r="E86" s="16" t="n">
        <v>150</v>
      </c>
      <c r="F86" s="16" t="n">
        <v>0</v>
      </c>
      <c r="G86" s="16" t="n">
        <v>0</v>
      </c>
      <c r="H86" s="16" t="n">
        <v>2</v>
      </c>
      <c r="I86" s="16" t="n">
        <v>3</v>
      </c>
      <c r="J86" s="16" t="n">
        <v>0</v>
      </c>
      <c r="K86" s="16" t="n">
        <v>0</v>
      </c>
      <c r="L86" s="16" t="n">
        <v>150</v>
      </c>
      <c r="M86" s="16" t="n">
        <v>132</v>
      </c>
      <c r="N86" s="16" t="n">
        <v>2</v>
      </c>
      <c r="O86" s="9" t="str">
        <f aca="false">IF(B86="","",IFERROR(INDEX(Options!$G$6:$G$85,MATCH($B86,Options!$A$6:$A$85,0)),""))</f>
        <v>Letter</v>
      </c>
      <c r="P86" s="9" t="str">
        <f aca="false">IF(B86="","",IFERROR(INDEX(Options!$H$6:$H$85,MATCH($B86,Options!$A$6:$A$85,0)),""))</f>
        <v>Seasonal</v>
      </c>
      <c r="Q86" s="24" t="n">
        <f aca="false">IF(B86="",0,N(IFERROR(INDEX(Options!$J$6:$J$85,MATCH($B86,Options!$A$6:$A$85,0)),"")))</f>
        <v>180</v>
      </c>
      <c r="R86" s="25" t="n">
        <f aca="false">K86*Settings!$B$10+J86*Settings!$B$11+I86*Settings!$B$12+H86*Settings!$B$13</f>
        <v>0.8</v>
      </c>
      <c r="S86" s="25" t="n">
        <f aca="false">IFERROR(L86/Settings!$B$8,0)</f>
        <v>6.81818181818182</v>
      </c>
      <c r="T86" s="26" t="n">
        <f aca="false">IF(OR(B86="",P86="End of life"),0,W86*MIN(4,N86))</f>
        <v>5</v>
      </c>
      <c r="U86" s="27" t="n">
        <f aca="false">T86*Q86</f>
        <v>900</v>
      </c>
      <c r="V86" s="14" t="n">
        <f aca="false">IF(B86="",0,G86*N(IFERROR(INDEX(Options!$K$6:$K$85,MATCH($B86,Options!$A$6:$A$85,0)),"")))</f>
        <v>0</v>
      </c>
      <c r="W86" s="26" t="n">
        <f aca="false">IF(B86="",0,IF(N86&gt;=4,S86,(H86+I86+J86+K86)/(4-N86)))</f>
        <v>2.5</v>
      </c>
    </row>
    <row r="87" customFormat="false" ht="15" hidden="false" customHeight="false" outlineLevel="0" collapsed="false">
      <c r="A87" s="16" t="s">
        <v>417</v>
      </c>
      <c r="B87" s="16" t="s">
        <v>223</v>
      </c>
      <c r="C87" s="16" t="s">
        <v>337</v>
      </c>
      <c r="D87" s="16" t="s">
        <v>183</v>
      </c>
      <c r="E87" s="16" t="n">
        <v>130</v>
      </c>
      <c r="F87" s="16" t="n">
        <v>0</v>
      </c>
      <c r="G87" s="16" t="n">
        <v>0</v>
      </c>
      <c r="H87" s="16" t="n">
        <v>0</v>
      </c>
      <c r="I87" s="16" t="n">
        <v>0</v>
      </c>
      <c r="J87" s="16" t="n">
        <v>0</v>
      </c>
      <c r="K87" s="16" t="n">
        <v>0</v>
      </c>
      <c r="L87" s="16" t="n">
        <v>130</v>
      </c>
      <c r="M87" s="16" t="n">
        <v>114</v>
      </c>
      <c r="N87" s="16" t="n">
        <v>4</v>
      </c>
      <c r="O87" s="9" t="str">
        <f aca="false">IF(B87="","",IFERROR(INDEX(Options!$G$6:$G$85,MATCH($B87,Options!$A$6:$A$85,0)),""))</f>
        <v>Letter</v>
      </c>
      <c r="P87" s="9" t="str">
        <f aca="false">IF(B87="","",IFERROR(INDEX(Options!$H$6:$H$85,MATCH($B87,Options!$A$6:$A$85,0)),""))</f>
        <v>Seasonal</v>
      </c>
      <c r="Q87" s="24" t="n">
        <f aca="false">IF(B87="",0,N(IFERROR(INDEX(Options!$J$6:$J$85,MATCH($B87,Options!$A$6:$A$85,0)),"")))</f>
        <v>180</v>
      </c>
      <c r="R87" s="25" t="n">
        <f aca="false">K87*Settings!$B$10+J87*Settings!$B$11+I87*Settings!$B$12+H87*Settings!$B$13</f>
        <v>0</v>
      </c>
      <c r="S87" s="25" t="n">
        <f aca="false">IFERROR(L87/Settings!$B$8,0)</f>
        <v>5.90909090909091</v>
      </c>
      <c r="T87" s="26" t="n">
        <f aca="false">IF(OR(B87="",P87="End of life"),0,W87*MIN(4,N87))</f>
        <v>23.6363636363636</v>
      </c>
      <c r="U87" s="27" t="n">
        <f aca="false">T87*Q87</f>
        <v>4254.54545454546</v>
      </c>
      <c r="V87" s="14" t="n">
        <f aca="false">IF(B87="",0,G87*N(IFERROR(INDEX(Options!$K$6:$K$85,MATCH($B87,Options!$A$6:$A$85,0)),"")))</f>
        <v>0</v>
      </c>
      <c r="W87" s="26" t="n">
        <f aca="false">IF(B87="",0,IF(N87&gt;=4,S87,(H87+I87+J87+K87)/(4-N87)))</f>
        <v>5.90909090909091</v>
      </c>
    </row>
    <row r="88" customFormat="false" ht="15" hidden="false" customHeight="false" outlineLevel="0" collapsed="false">
      <c r="A88" s="16" t="s">
        <v>418</v>
      </c>
      <c r="B88" s="16" t="s">
        <v>223</v>
      </c>
      <c r="C88" s="16" t="s">
        <v>339</v>
      </c>
      <c r="D88" s="16"/>
      <c r="E88" s="16" t="n">
        <v>168</v>
      </c>
      <c r="F88" s="16" t="n">
        <v>0</v>
      </c>
      <c r="G88" s="16" t="n">
        <v>3</v>
      </c>
      <c r="H88" s="16" t="n">
        <v>1</v>
      </c>
      <c r="I88" s="16" t="n">
        <v>1</v>
      </c>
      <c r="J88" s="16" t="n">
        <v>1</v>
      </c>
      <c r="K88" s="16" t="n">
        <v>1</v>
      </c>
      <c r="L88" s="16" t="n">
        <v>47</v>
      </c>
      <c r="M88" s="16" t="n">
        <v>41</v>
      </c>
      <c r="N88" s="16" t="n">
        <v>0</v>
      </c>
      <c r="O88" s="9" t="str">
        <f aca="false">IF(B88="","",IFERROR(INDEX(Options!$G$6:$G$85,MATCH($B88,Options!$A$6:$A$85,0)),""))</f>
        <v>Letter</v>
      </c>
      <c r="P88" s="9" t="str">
        <f aca="false">IF(B88="","",IFERROR(INDEX(Options!$H$6:$H$85,MATCH($B88,Options!$A$6:$A$85,0)),""))</f>
        <v>Seasonal</v>
      </c>
      <c r="Q88" s="24" t="n">
        <f aca="false">IF(B88="",0,N(IFERROR(INDEX(Options!$J$6:$J$85,MATCH($B88,Options!$A$6:$A$85,0)),"")))</f>
        <v>180</v>
      </c>
      <c r="R88" s="25" t="n">
        <f aca="false">K88*Settings!$B$10+J88*Settings!$B$11+I88*Settings!$B$12+H88*Settings!$B$13</f>
        <v>1</v>
      </c>
      <c r="S88" s="25" t="n">
        <f aca="false">IFERROR(L88/Settings!$B$8,0)</f>
        <v>2.13636363636364</v>
      </c>
      <c r="T88" s="26" t="n">
        <f aca="false">IF(OR(B88="",P88="End of life"),0,W88*MIN(4,N88))</f>
        <v>0</v>
      </c>
      <c r="U88" s="27" t="n">
        <f aca="false">T88*Q88</f>
        <v>0</v>
      </c>
      <c r="V88" s="14" t="n">
        <f aca="false">IF(B88="",0,G88*N(IFERROR(INDEX(Options!$K$6:$K$85,MATCH($B88,Options!$A$6:$A$85,0)),"")))</f>
        <v>205.2</v>
      </c>
      <c r="W88" s="26" t="n">
        <f aca="false">IF(B88="",0,IF(N88&gt;=4,S88,(H88+I88+J88+K88)/(4-N88)))</f>
        <v>1</v>
      </c>
    </row>
    <row r="89" customFormat="false" ht="15" hidden="false" customHeight="false" outlineLevel="0" collapsed="false">
      <c r="A89" s="16" t="s">
        <v>419</v>
      </c>
      <c r="B89" s="16" t="s">
        <v>223</v>
      </c>
      <c r="C89" s="16" t="s">
        <v>341</v>
      </c>
      <c r="D89" s="16"/>
      <c r="E89" s="16" t="n">
        <v>72</v>
      </c>
      <c r="F89" s="16" t="n">
        <v>0</v>
      </c>
      <c r="G89" s="16" t="n">
        <v>1</v>
      </c>
      <c r="H89" s="16" t="n">
        <v>0</v>
      </c>
      <c r="I89" s="16" t="n">
        <v>0</v>
      </c>
      <c r="J89" s="16" t="n">
        <v>1</v>
      </c>
      <c r="K89" s="16" t="n">
        <v>0</v>
      </c>
      <c r="L89" s="16" t="n">
        <v>21</v>
      </c>
      <c r="M89" s="16" t="n">
        <v>18</v>
      </c>
      <c r="N89" s="16" t="n">
        <v>0</v>
      </c>
      <c r="O89" s="9" t="str">
        <f aca="false">IF(B89="","",IFERROR(INDEX(Options!$G$6:$G$85,MATCH($B89,Options!$A$6:$A$85,0)),""))</f>
        <v>Letter</v>
      </c>
      <c r="P89" s="9" t="str">
        <f aca="false">IF(B89="","",IFERROR(INDEX(Options!$H$6:$H$85,MATCH($B89,Options!$A$6:$A$85,0)),""))</f>
        <v>Seasonal</v>
      </c>
      <c r="Q89" s="24" t="n">
        <f aca="false">IF(B89="",0,N(IFERROR(INDEX(Options!$J$6:$J$85,MATCH($B89,Options!$A$6:$A$85,0)),"")))</f>
        <v>180</v>
      </c>
      <c r="R89" s="25" t="n">
        <f aca="false">K89*Settings!$B$10+J89*Settings!$B$11+I89*Settings!$B$12+H89*Settings!$B$13</f>
        <v>0.3</v>
      </c>
      <c r="S89" s="25" t="n">
        <f aca="false">IFERROR(L89/Settings!$B$8,0)</f>
        <v>0.954545454545455</v>
      </c>
      <c r="T89" s="26" t="n">
        <f aca="false">IF(OR(B89="",P89="End of life"),0,W89*MIN(4,N89))</f>
        <v>0</v>
      </c>
      <c r="U89" s="27" t="n">
        <f aca="false">T89*Q89</f>
        <v>0</v>
      </c>
      <c r="V89" s="14" t="n">
        <f aca="false">IF(B89="",0,G89*N(IFERROR(INDEX(Options!$K$6:$K$85,MATCH($B89,Options!$A$6:$A$85,0)),"")))</f>
        <v>68.4</v>
      </c>
      <c r="W89" s="26" t="n">
        <f aca="false">IF(B89="",0,IF(N89&gt;=4,S89,(H89+I89+J89+K89)/(4-N89)))</f>
        <v>0.25</v>
      </c>
    </row>
    <row r="90" customFormat="false" ht="15" hidden="false" customHeight="false" outlineLevel="0" collapsed="false">
      <c r="A90" s="16" t="s">
        <v>420</v>
      </c>
      <c r="B90" s="16" t="s">
        <v>227</v>
      </c>
      <c r="C90" s="16" t="s">
        <v>331</v>
      </c>
      <c r="D90" s="16"/>
      <c r="E90" s="16" t="n">
        <v>45</v>
      </c>
      <c r="F90" s="16" t="n">
        <v>0</v>
      </c>
      <c r="G90" s="16" t="n">
        <v>17</v>
      </c>
      <c r="H90" s="16" t="n">
        <v>1</v>
      </c>
      <c r="I90" s="16" t="n">
        <v>1</v>
      </c>
      <c r="J90" s="16" t="n">
        <v>2</v>
      </c>
      <c r="K90" s="16" t="n">
        <v>2</v>
      </c>
      <c r="L90" s="16" t="n">
        <v>28</v>
      </c>
      <c r="M90" s="16" t="n">
        <v>25</v>
      </c>
      <c r="N90" s="16" t="n">
        <v>0</v>
      </c>
      <c r="O90" s="9" t="str">
        <f aca="false">IF(B90="","",IFERROR(INDEX(Options!$G$6:$G$85,MATCH($B90,Options!$A$6:$A$85,0)),""))</f>
        <v>Letter</v>
      </c>
      <c r="P90" s="9" t="str">
        <f aca="false">IF(B90="","",IFERROR(INDEX(Options!$H$6:$H$85,MATCH($B90,Options!$A$6:$A$85,0)),""))</f>
        <v>Seasonal</v>
      </c>
      <c r="Q90" s="24" t="n">
        <f aca="false">IF(B90="",0,N(IFERROR(INDEX(Options!$J$6:$J$85,MATCH($B90,Options!$A$6:$A$85,0)),"")))</f>
        <v>220</v>
      </c>
      <c r="R90" s="25" t="n">
        <f aca="false">K90*Settings!$B$10+J90*Settings!$B$11+I90*Settings!$B$12+H90*Settings!$B$13</f>
        <v>1.7</v>
      </c>
      <c r="S90" s="25" t="n">
        <f aca="false">IFERROR(L90/Settings!$B$8,0)</f>
        <v>1.27272727272727</v>
      </c>
      <c r="T90" s="26" t="n">
        <f aca="false">IF(OR(B90="",P90="End of life"),0,W90*MIN(4,N90))</f>
        <v>0</v>
      </c>
      <c r="U90" s="27" t="n">
        <f aca="false">T90*Q90</f>
        <v>0</v>
      </c>
      <c r="V90" s="14" t="n">
        <f aca="false">IF(B90="",0,G90*N(IFERROR(INDEX(Options!$K$6:$K$85,MATCH($B90,Options!$A$6:$A$85,0)),"")))</f>
        <v>1421.2</v>
      </c>
      <c r="W90" s="26" t="n">
        <f aca="false">IF(B90="",0,IF(N90&gt;=4,S90,(H90+I90+J90+K90)/(4-N90)))</f>
        <v>1.5</v>
      </c>
    </row>
    <row r="91" customFormat="false" ht="15" hidden="false" customHeight="false" outlineLevel="0" collapsed="false">
      <c r="A91" s="16" t="s">
        <v>421</v>
      </c>
      <c r="B91" s="16" t="s">
        <v>227</v>
      </c>
      <c r="C91" s="16" t="s">
        <v>333</v>
      </c>
      <c r="D91" s="16" t="s">
        <v>183</v>
      </c>
      <c r="E91" s="16" t="n">
        <v>100</v>
      </c>
      <c r="F91" s="16" t="n">
        <v>0</v>
      </c>
      <c r="G91" s="16" t="n">
        <v>20</v>
      </c>
      <c r="H91" s="16" t="n">
        <v>3</v>
      </c>
      <c r="I91" s="16" t="n">
        <v>3</v>
      </c>
      <c r="J91" s="16" t="n">
        <v>4</v>
      </c>
      <c r="K91" s="16" t="n">
        <v>3</v>
      </c>
      <c r="L91" s="16" t="n">
        <v>80</v>
      </c>
      <c r="M91" s="16" t="n">
        <v>70</v>
      </c>
      <c r="N91" s="16" t="n">
        <v>0</v>
      </c>
      <c r="O91" s="9" t="str">
        <f aca="false">IF(B91="","",IFERROR(INDEX(Options!$G$6:$G$85,MATCH($B91,Options!$A$6:$A$85,0)),""))</f>
        <v>Letter</v>
      </c>
      <c r="P91" s="9" t="str">
        <f aca="false">IF(B91="","",IFERROR(INDEX(Options!$H$6:$H$85,MATCH($B91,Options!$A$6:$A$85,0)),""))</f>
        <v>Seasonal</v>
      </c>
      <c r="Q91" s="24" t="n">
        <f aca="false">IF(B91="",0,N(IFERROR(INDEX(Options!$J$6:$J$85,MATCH($B91,Options!$A$6:$A$85,0)),"")))</f>
        <v>220</v>
      </c>
      <c r="R91" s="25" t="n">
        <f aca="false">K91*Settings!$B$10+J91*Settings!$B$11+I91*Settings!$B$12+H91*Settings!$B$13</f>
        <v>3.3</v>
      </c>
      <c r="S91" s="25" t="n">
        <f aca="false">IFERROR(L91/Settings!$B$8,0)</f>
        <v>3.63636363636364</v>
      </c>
      <c r="T91" s="26" t="n">
        <f aca="false">IF(OR(B91="",P91="End of life"),0,W91*MIN(4,N91))</f>
        <v>0</v>
      </c>
      <c r="U91" s="27" t="n">
        <f aca="false">T91*Q91</f>
        <v>0</v>
      </c>
      <c r="V91" s="14" t="n">
        <f aca="false">IF(B91="",0,G91*N(IFERROR(INDEX(Options!$K$6:$K$85,MATCH($B91,Options!$A$6:$A$85,0)),"")))</f>
        <v>1672</v>
      </c>
      <c r="W91" s="26" t="n">
        <f aca="false">IF(B91="",0,IF(N91&gt;=4,S91,(H91+I91+J91+K91)/(4-N91)))</f>
        <v>3.25</v>
      </c>
    </row>
    <row r="92" customFormat="false" ht="15" hidden="false" customHeight="false" outlineLevel="0" collapsed="false">
      <c r="A92" s="16" t="s">
        <v>422</v>
      </c>
      <c r="B92" s="16" t="s">
        <v>227</v>
      </c>
      <c r="C92" s="16" t="s">
        <v>335</v>
      </c>
      <c r="D92" s="16" t="s">
        <v>183</v>
      </c>
      <c r="E92" s="16" t="n">
        <v>166</v>
      </c>
      <c r="F92" s="16" t="n">
        <v>0</v>
      </c>
      <c r="G92" s="16" t="n">
        <v>27</v>
      </c>
      <c r="H92" s="16" t="n">
        <v>5</v>
      </c>
      <c r="I92" s="16" t="n">
        <v>6</v>
      </c>
      <c r="J92" s="16" t="n">
        <v>7</v>
      </c>
      <c r="K92" s="16" t="n">
        <v>6</v>
      </c>
      <c r="L92" s="16" t="n">
        <v>139</v>
      </c>
      <c r="M92" s="16" t="n">
        <v>122</v>
      </c>
      <c r="N92" s="16" t="n">
        <v>0</v>
      </c>
      <c r="O92" s="9" t="str">
        <f aca="false">IF(B92="","",IFERROR(INDEX(Options!$G$6:$G$85,MATCH($B92,Options!$A$6:$A$85,0)),""))</f>
        <v>Letter</v>
      </c>
      <c r="P92" s="9" t="str">
        <f aca="false">IF(B92="","",IFERROR(INDEX(Options!$H$6:$H$85,MATCH($B92,Options!$A$6:$A$85,0)),""))</f>
        <v>Seasonal</v>
      </c>
      <c r="Q92" s="24" t="n">
        <f aca="false">IF(B92="",0,N(IFERROR(INDEX(Options!$J$6:$J$85,MATCH($B92,Options!$A$6:$A$85,0)),"")))</f>
        <v>220</v>
      </c>
      <c r="R92" s="25" t="n">
        <f aca="false">K92*Settings!$B$10+J92*Settings!$B$11+I92*Settings!$B$12+H92*Settings!$B$13</f>
        <v>6.2</v>
      </c>
      <c r="S92" s="25" t="n">
        <f aca="false">IFERROR(L92/Settings!$B$8,0)</f>
        <v>6.31818181818182</v>
      </c>
      <c r="T92" s="26" t="n">
        <f aca="false">IF(OR(B92="",P92="End of life"),0,W92*MIN(4,N92))</f>
        <v>0</v>
      </c>
      <c r="U92" s="27" t="n">
        <f aca="false">T92*Q92</f>
        <v>0</v>
      </c>
      <c r="V92" s="14" t="n">
        <f aca="false">IF(B92="",0,G92*N(IFERROR(INDEX(Options!$K$6:$K$85,MATCH($B92,Options!$A$6:$A$85,0)),"")))</f>
        <v>2257.2</v>
      </c>
      <c r="W92" s="26" t="n">
        <f aca="false">IF(B92="",0,IF(N92&gt;=4,S92,(H92+I92+J92+K92)/(4-N92)))</f>
        <v>6</v>
      </c>
    </row>
    <row r="93" customFormat="false" ht="15" hidden="false" customHeight="false" outlineLevel="0" collapsed="false">
      <c r="A93" s="16" t="s">
        <v>423</v>
      </c>
      <c r="B93" s="16" t="s">
        <v>227</v>
      </c>
      <c r="C93" s="16" t="s">
        <v>337</v>
      </c>
      <c r="D93" s="16" t="s">
        <v>183</v>
      </c>
      <c r="E93" s="16" t="n">
        <v>144</v>
      </c>
      <c r="F93" s="16" t="n">
        <v>0</v>
      </c>
      <c r="G93" s="16" t="n">
        <v>20</v>
      </c>
      <c r="H93" s="16" t="n">
        <v>6</v>
      </c>
      <c r="I93" s="16" t="n">
        <v>5</v>
      </c>
      <c r="J93" s="16" t="n">
        <v>6</v>
      </c>
      <c r="K93" s="16" t="n">
        <v>6</v>
      </c>
      <c r="L93" s="16" t="n">
        <v>124</v>
      </c>
      <c r="M93" s="16" t="n">
        <v>109</v>
      </c>
      <c r="N93" s="16" t="n">
        <v>0</v>
      </c>
      <c r="O93" s="9" t="str">
        <f aca="false">IF(B93="","",IFERROR(INDEX(Options!$G$6:$G$85,MATCH($B93,Options!$A$6:$A$85,0)),""))</f>
        <v>Letter</v>
      </c>
      <c r="P93" s="9" t="str">
        <f aca="false">IF(B93="","",IFERROR(INDEX(Options!$H$6:$H$85,MATCH($B93,Options!$A$6:$A$85,0)),""))</f>
        <v>Seasonal</v>
      </c>
      <c r="Q93" s="24" t="n">
        <f aca="false">IF(B93="",0,N(IFERROR(INDEX(Options!$J$6:$J$85,MATCH($B93,Options!$A$6:$A$85,0)),"")))</f>
        <v>220</v>
      </c>
      <c r="R93" s="25" t="n">
        <f aca="false">K93*Settings!$B$10+J93*Settings!$B$11+I93*Settings!$B$12+H93*Settings!$B$13</f>
        <v>5.8</v>
      </c>
      <c r="S93" s="25" t="n">
        <f aca="false">IFERROR(L93/Settings!$B$8,0)</f>
        <v>5.63636363636364</v>
      </c>
      <c r="T93" s="26" t="n">
        <f aca="false">IF(OR(B93="",P93="End of life"),0,W93*MIN(4,N93))</f>
        <v>0</v>
      </c>
      <c r="U93" s="27" t="n">
        <f aca="false">T93*Q93</f>
        <v>0</v>
      </c>
      <c r="V93" s="14" t="n">
        <f aca="false">IF(B93="",0,G93*N(IFERROR(INDEX(Options!$K$6:$K$85,MATCH($B93,Options!$A$6:$A$85,0)),"")))</f>
        <v>1672</v>
      </c>
      <c r="W93" s="26" t="n">
        <f aca="false">IF(B93="",0,IF(N93&gt;=4,S93,(H93+I93+J93+K93)/(4-N93)))</f>
        <v>5.75</v>
      </c>
    </row>
    <row r="94" customFormat="false" ht="15" hidden="false" customHeight="false" outlineLevel="0" collapsed="false">
      <c r="A94" s="16" t="s">
        <v>424</v>
      </c>
      <c r="B94" s="16" t="s">
        <v>227</v>
      </c>
      <c r="C94" s="16" t="s">
        <v>339</v>
      </c>
      <c r="D94" s="16"/>
      <c r="E94" s="16" t="n">
        <v>78</v>
      </c>
      <c r="F94" s="16" t="n">
        <v>0</v>
      </c>
      <c r="G94" s="16" t="n">
        <v>12</v>
      </c>
      <c r="H94" s="16" t="n">
        <v>3</v>
      </c>
      <c r="I94" s="16" t="n">
        <v>2</v>
      </c>
      <c r="J94" s="16" t="n">
        <v>3</v>
      </c>
      <c r="K94" s="16" t="n">
        <v>3</v>
      </c>
      <c r="L94" s="16" t="n">
        <v>66</v>
      </c>
      <c r="M94" s="16" t="n">
        <v>58</v>
      </c>
      <c r="N94" s="16" t="n">
        <v>0</v>
      </c>
      <c r="O94" s="9" t="str">
        <f aca="false">IF(B94="","",IFERROR(INDEX(Options!$G$6:$G$85,MATCH($B94,Options!$A$6:$A$85,0)),""))</f>
        <v>Letter</v>
      </c>
      <c r="P94" s="9" t="str">
        <f aca="false">IF(B94="","",IFERROR(INDEX(Options!$H$6:$H$85,MATCH($B94,Options!$A$6:$A$85,0)),""))</f>
        <v>Seasonal</v>
      </c>
      <c r="Q94" s="24" t="n">
        <f aca="false">IF(B94="",0,N(IFERROR(INDEX(Options!$J$6:$J$85,MATCH($B94,Options!$A$6:$A$85,0)),"")))</f>
        <v>220</v>
      </c>
      <c r="R94" s="25" t="n">
        <f aca="false">K94*Settings!$B$10+J94*Settings!$B$11+I94*Settings!$B$12+H94*Settings!$B$13</f>
        <v>2.8</v>
      </c>
      <c r="S94" s="25" t="n">
        <f aca="false">IFERROR(L94/Settings!$B$8,0)</f>
        <v>3</v>
      </c>
      <c r="T94" s="26" t="n">
        <f aca="false">IF(OR(B94="",P94="End of life"),0,W94*MIN(4,N94))</f>
        <v>0</v>
      </c>
      <c r="U94" s="27" t="n">
        <f aca="false">T94*Q94</f>
        <v>0</v>
      </c>
      <c r="V94" s="14" t="n">
        <f aca="false">IF(B94="",0,G94*N(IFERROR(INDEX(Options!$K$6:$K$85,MATCH($B94,Options!$A$6:$A$85,0)),"")))</f>
        <v>1003.2</v>
      </c>
      <c r="W94" s="26" t="n">
        <f aca="false">IF(B94="",0,IF(N94&gt;=4,S94,(H94+I94+J94+K94)/(4-N94)))</f>
        <v>2.75</v>
      </c>
    </row>
    <row r="95" customFormat="false" ht="15" hidden="false" customHeight="false" outlineLevel="0" collapsed="false">
      <c r="A95" s="16" t="s">
        <v>425</v>
      </c>
      <c r="B95" s="16" t="s">
        <v>227</v>
      </c>
      <c r="C95" s="16" t="s">
        <v>341</v>
      </c>
      <c r="D95" s="16"/>
      <c r="E95" s="16" t="n">
        <v>45</v>
      </c>
      <c r="F95" s="16" t="n">
        <v>0</v>
      </c>
      <c r="G95" s="16" t="n">
        <v>17</v>
      </c>
      <c r="H95" s="16" t="n">
        <v>1</v>
      </c>
      <c r="I95" s="16" t="n">
        <v>1</v>
      </c>
      <c r="J95" s="16" t="n">
        <v>1</v>
      </c>
      <c r="K95" s="16" t="n">
        <v>1</v>
      </c>
      <c r="L95" s="16" t="n">
        <v>28</v>
      </c>
      <c r="M95" s="16" t="n">
        <v>25</v>
      </c>
      <c r="N95" s="16" t="n">
        <v>0</v>
      </c>
      <c r="O95" s="9" t="str">
        <f aca="false">IF(B95="","",IFERROR(INDEX(Options!$G$6:$G$85,MATCH($B95,Options!$A$6:$A$85,0)),""))</f>
        <v>Letter</v>
      </c>
      <c r="P95" s="9" t="str">
        <f aca="false">IF(B95="","",IFERROR(INDEX(Options!$H$6:$H$85,MATCH($B95,Options!$A$6:$A$85,0)),""))</f>
        <v>Seasonal</v>
      </c>
      <c r="Q95" s="24" t="n">
        <f aca="false">IF(B95="",0,N(IFERROR(INDEX(Options!$J$6:$J$85,MATCH($B95,Options!$A$6:$A$85,0)),"")))</f>
        <v>220</v>
      </c>
      <c r="R95" s="25" t="n">
        <f aca="false">K95*Settings!$B$10+J95*Settings!$B$11+I95*Settings!$B$12+H95*Settings!$B$13</f>
        <v>1</v>
      </c>
      <c r="S95" s="25" t="n">
        <f aca="false">IFERROR(L95/Settings!$B$8,0)</f>
        <v>1.27272727272727</v>
      </c>
      <c r="T95" s="26" t="n">
        <f aca="false">IF(OR(B95="",P95="End of life"),0,W95*MIN(4,N95))</f>
        <v>0</v>
      </c>
      <c r="U95" s="27" t="n">
        <f aca="false">T95*Q95</f>
        <v>0</v>
      </c>
      <c r="V95" s="14" t="n">
        <f aca="false">IF(B95="",0,G95*N(IFERROR(INDEX(Options!$K$6:$K$85,MATCH($B95,Options!$A$6:$A$85,0)),"")))</f>
        <v>1421.2</v>
      </c>
      <c r="W95" s="26" t="n">
        <f aca="false">IF(B95="",0,IF(N95&gt;=4,S95,(H95+I95+J95+K95)/(4-N95)))</f>
        <v>1</v>
      </c>
    </row>
    <row r="96" customFormat="false" ht="15" hidden="false" customHeight="false" outlineLevel="0" collapsed="false">
      <c r="A96" s="16" t="s">
        <v>426</v>
      </c>
      <c r="B96" s="16" t="s">
        <v>229</v>
      </c>
      <c r="C96" s="16" t="s">
        <v>331</v>
      </c>
      <c r="D96" s="16"/>
      <c r="E96" s="16" t="n">
        <v>46</v>
      </c>
      <c r="F96" s="16" t="n">
        <v>0</v>
      </c>
      <c r="G96" s="16" t="n">
        <v>15</v>
      </c>
      <c r="H96" s="16" t="n">
        <v>2</v>
      </c>
      <c r="I96" s="16" t="n">
        <v>2</v>
      </c>
      <c r="J96" s="16" t="n">
        <v>2</v>
      </c>
      <c r="K96" s="16" t="n">
        <v>3</v>
      </c>
      <c r="L96" s="16" t="n">
        <v>31</v>
      </c>
      <c r="M96" s="16" t="n">
        <v>27</v>
      </c>
      <c r="N96" s="16" t="n">
        <v>0</v>
      </c>
      <c r="O96" s="9" t="str">
        <f aca="false">IF(B96="","",IFERROR(INDEX(Options!$G$6:$G$85,MATCH($B96,Options!$A$6:$A$85,0)),""))</f>
        <v>Letter</v>
      </c>
      <c r="P96" s="9" t="str">
        <f aca="false">IF(B96="","",IFERROR(INDEX(Options!$H$6:$H$85,MATCH($B96,Options!$A$6:$A$85,0)),""))</f>
        <v>Seasonal</v>
      </c>
      <c r="Q96" s="24" t="n">
        <f aca="false">IF(B96="",0,N(IFERROR(INDEX(Options!$J$6:$J$85,MATCH($B96,Options!$A$6:$A$85,0)),"")))</f>
        <v>85</v>
      </c>
      <c r="R96" s="25" t="n">
        <f aca="false">K96*Settings!$B$10+J96*Settings!$B$11+I96*Settings!$B$12+H96*Settings!$B$13</f>
        <v>2.4</v>
      </c>
      <c r="S96" s="25" t="n">
        <f aca="false">IFERROR(L96/Settings!$B$8,0)</f>
        <v>1.40909090909091</v>
      </c>
      <c r="T96" s="26" t="n">
        <f aca="false">IF(OR(B96="",P96="End of life"),0,W96*MIN(4,N96))</f>
        <v>0</v>
      </c>
      <c r="U96" s="27" t="n">
        <f aca="false">T96*Q96</f>
        <v>0</v>
      </c>
      <c r="V96" s="14" t="n">
        <f aca="false">IF(B96="",0,G96*N(IFERROR(INDEX(Options!$K$6:$K$85,MATCH($B96,Options!$A$6:$A$85,0)),"")))</f>
        <v>484.5</v>
      </c>
      <c r="W96" s="26" t="n">
        <f aca="false">IF(B96="",0,IF(N96&gt;=4,S96,(H96+I96+J96+K96)/(4-N96)))</f>
        <v>2.25</v>
      </c>
    </row>
    <row r="97" customFormat="false" ht="15" hidden="false" customHeight="false" outlineLevel="0" collapsed="false">
      <c r="A97" s="16" t="s">
        <v>427</v>
      </c>
      <c r="B97" s="16" t="s">
        <v>229</v>
      </c>
      <c r="C97" s="16" t="s">
        <v>333</v>
      </c>
      <c r="D97" s="16" t="s">
        <v>183</v>
      </c>
      <c r="E97" s="16" t="n">
        <v>101</v>
      </c>
      <c r="F97" s="16" t="n">
        <v>0</v>
      </c>
      <c r="G97" s="16" t="n">
        <v>8</v>
      </c>
      <c r="H97" s="16" t="n">
        <v>7</v>
      </c>
      <c r="I97" s="16" t="n">
        <v>6</v>
      </c>
      <c r="J97" s="16" t="n">
        <v>6</v>
      </c>
      <c r="K97" s="16" t="n">
        <v>6</v>
      </c>
      <c r="L97" s="16" t="n">
        <v>93</v>
      </c>
      <c r="M97" s="16" t="n">
        <v>82</v>
      </c>
      <c r="N97" s="16" t="n">
        <v>0</v>
      </c>
      <c r="O97" s="9" t="str">
        <f aca="false">IF(B97="","",IFERROR(INDEX(Options!$G$6:$G$85,MATCH($B97,Options!$A$6:$A$85,0)),""))</f>
        <v>Letter</v>
      </c>
      <c r="P97" s="9" t="str">
        <f aca="false">IF(B97="","",IFERROR(INDEX(Options!$H$6:$H$85,MATCH($B97,Options!$A$6:$A$85,0)),""))</f>
        <v>Seasonal</v>
      </c>
      <c r="Q97" s="24" t="n">
        <f aca="false">IF(B97="",0,N(IFERROR(INDEX(Options!$J$6:$J$85,MATCH($B97,Options!$A$6:$A$85,0)),"")))</f>
        <v>85</v>
      </c>
      <c r="R97" s="25" t="n">
        <f aca="false">K97*Settings!$B$10+J97*Settings!$B$11+I97*Settings!$B$12+H97*Settings!$B$13</f>
        <v>6.1</v>
      </c>
      <c r="S97" s="25" t="n">
        <f aca="false">IFERROR(L97/Settings!$B$8,0)</f>
        <v>4.22727272727273</v>
      </c>
      <c r="T97" s="26" t="n">
        <f aca="false">IF(OR(B97="",P97="End of life"),0,W97*MIN(4,N97))</f>
        <v>0</v>
      </c>
      <c r="U97" s="27" t="n">
        <f aca="false">T97*Q97</f>
        <v>0</v>
      </c>
      <c r="V97" s="14" t="n">
        <f aca="false">IF(B97="",0,G97*N(IFERROR(INDEX(Options!$K$6:$K$85,MATCH($B97,Options!$A$6:$A$85,0)),"")))</f>
        <v>258.4</v>
      </c>
      <c r="W97" s="26" t="n">
        <f aca="false">IF(B97="",0,IF(N97&gt;=4,S97,(H97+I97+J97+K97)/(4-N97)))</f>
        <v>6.25</v>
      </c>
    </row>
    <row r="98" customFormat="false" ht="15" hidden="false" customHeight="false" outlineLevel="0" collapsed="false">
      <c r="A98" s="16" t="s">
        <v>428</v>
      </c>
      <c r="B98" s="16" t="s">
        <v>229</v>
      </c>
      <c r="C98" s="16" t="s">
        <v>335</v>
      </c>
      <c r="D98" s="16" t="s">
        <v>183</v>
      </c>
      <c r="E98" s="16" t="n">
        <v>169</v>
      </c>
      <c r="F98" s="16" t="n">
        <v>0</v>
      </c>
      <c r="G98" s="16" t="n">
        <v>17</v>
      </c>
      <c r="H98" s="16" t="n">
        <v>13</v>
      </c>
      <c r="I98" s="16" t="n">
        <v>8</v>
      </c>
      <c r="J98" s="16" t="n">
        <v>11</v>
      </c>
      <c r="K98" s="16" t="n">
        <v>12</v>
      </c>
      <c r="L98" s="16" t="n">
        <v>152</v>
      </c>
      <c r="M98" s="16" t="n">
        <v>134</v>
      </c>
      <c r="N98" s="16" t="n">
        <v>0</v>
      </c>
      <c r="O98" s="9" t="str">
        <f aca="false">IF(B98="","",IFERROR(INDEX(Options!$G$6:$G$85,MATCH($B98,Options!$A$6:$A$85,0)),""))</f>
        <v>Letter</v>
      </c>
      <c r="P98" s="9" t="str">
        <f aca="false">IF(B98="","",IFERROR(INDEX(Options!$H$6:$H$85,MATCH($B98,Options!$A$6:$A$85,0)),""))</f>
        <v>Seasonal</v>
      </c>
      <c r="Q98" s="24" t="n">
        <f aca="false">IF(B98="",0,N(IFERROR(INDEX(Options!$J$6:$J$85,MATCH($B98,Options!$A$6:$A$85,0)),"")))</f>
        <v>85</v>
      </c>
      <c r="R98" s="25" t="n">
        <f aca="false">K98*Settings!$B$10+J98*Settings!$B$11+I98*Settings!$B$12+H98*Settings!$B$13</f>
        <v>11</v>
      </c>
      <c r="S98" s="25" t="n">
        <f aca="false">IFERROR(L98/Settings!$B$8,0)</f>
        <v>6.90909090909091</v>
      </c>
      <c r="T98" s="26" t="n">
        <f aca="false">IF(OR(B98="",P98="End of life"),0,W98*MIN(4,N98))</f>
        <v>0</v>
      </c>
      <c r="U98" s="27" t="n">
        <f aca="false">T98*Q98</f>
        <v>0</v>
      </c>
      <c r="V98" s="14" t="n">
        <f aca="false">IF(B98="",0,G98*N(IFERROR(INDEX(Options!$K$6:$K$85,MATCH($B98,Options!$A$6:$A$85,0)),"")))</f>
        <v>549.1</v>
      </c>
      <c r="W98" s="26" t="n">
        <f aca="false">IF(B98="",0,IF(N98&gt;=4,S98,(H98+I98+J98+K98)/(4-N98)))</f>
        <v>11</v>
      </c>
    </row>
    <row r="99" customFormat="false" ht="15" hidden="false" customHeight="false" outlineLevel="0" collapsed="false">
      <c r="A99" s="16" t="s">
        <v>429</v>
      </c>
      <c r="B99" s="16" t="s">
        <v>229</v>
      </c>
      <c r="C99" s="16" t="s">
        <v>337</v>
      </c>
      <c r="D99" s="16" t="s">
        <v>183</v>
      </c>
      <c r="E99" s="16" t="n">
        <v>146</v>
      </c>
      <c r="F99" s="16" t="n">
        <v>0</v>
      </c>
      <c r="G99" s="16" t="n">
        <v>13</v>
      </c>
      <c r="H99" s="16" t="n">
        <v>7</v>
      </c>
      <c r="I99" s="16" t="n">
        <v>11</v>
      </c>
      <c r="J99" s="16" t="n">
        <v>10</v>
      </c>
      <c r="K99" s="16" t="n">
        <v>11</v>
      </c>
      <c r="L99" s="16" t="n">
        <v>133</v>
      </c>
      <c r="M99" s="16" t="n">
        <v>117</v>
      </c>
      <c r="N99" s="16" t="n">
        <v>0</v>
      </c>
      <c r="O99" s="9" t="str">
        <f aca="false">IF(B99="","",IFERROR(INDEX(Options!$G$6:$G$85,MATCH($B99,Options!$A$6:$A$85,0)),""))</f>
        <v>Letter</v>
      </c>
      <c r="P99" s="9" t="str">
        <f aca="false">IF(B99="","",IFERROR(INDEX(Options!$H$6:$H$85,MATCH($B99,Options!$A$6:$A$85,0)),""))</f>
        <v>Seasonal</v>
      </c>
      <c r="Q99" s="24" t="n">
        <f aca="false">IF(B99="",0,N(IFERROR(INDEX(Options!$J$6:$J$85,MATCH($B99,Options!$A$6:$A$85,0)),"")))</f>
        <v>85</v>
      </c>
      <c r="R99" s="25" t="n">
        <f aca="false">K99*Settings!$B$10+J99*Settings!$B$11+I99*Settings!$B$12+H99*Settings!$B$13</f>
        <v>10.3</v>
      </c>
      <c r="S99" s="25" t="n">
        <f aca="false">IFERROR(L99/Settings!$B$8,0)</f>
        <v>6.04545454545455</v>
      </c>
      <c r="T99" s="26" t="n">
        <f aca="false">IF(OR(B99="",P99="End of life"),0,W99*MIN(4,N99))</f>
        <v>0</v>
      </c>
      <c r="U99" s="27" t="n">
        <f aca="false">T99*Q99</f>
        <v>0</v>
      </c>
      <c r="V99" s="14" t="n">
        <f aca="false">IF(B99="",0,G99*N(IFERROR(INDEX(Options!$K$6:$K$85,MATCH($B99,Options!$A$6:$A$85,0)),"")))</f>
        <v>419.9</v>
      </c>
      <c r="W99" s="26" t="n">
        <f aca="false">IF(B99="",0,IF(N99&gt;=4,S99,(H99+I99+J99+K99)/(4-N99)))</f>
        <v>9.75</v>
      </c>
    </row>
    <row r="100" customFormat="false" ht="15" hidden="false" customHeight="false" outlineLevel="0" collapsed="false">
      <c r="A100" s="16" t="s">
        <v>430</v>
      </c>
      <c r="B100" s="16" t="s">
        <v>229</v>
      </c>
      <c r="C100" s="16" t="s">
        <v>339</v>
      </c>
      <c r="D100" s="16"/>
      <c r="E100" s="16" t="n">
        <v>79</v>
      </c>
      <c r="F100" s="16" t="n">
        <v>0</v>
      </c>
      <c r="G100" s="16" t="n">
        <v>5</v>
      </c>
      <c r="H100" s="16" t="n">
        <v>5</v>
      </c>
      <c r="I100" s="16" t="n">
        <v>6</v>
      </c>
      <c r="J100" s="16" t="n">
        <v>6</v>
      </c>
      <c r="K100" s="16" t="n">
        <v>6</v>
      </c>
      <c r="L100" s="16" t="n">
        <v>74</v>
      </c>
      <c r="M100" s="16" t="n">
        <v>65</v>
      </c>
      <c r="N100" s="16" t="n">
        <v>0</v>
      </c>
      <c r="O100" s="9" t="str">
        <f aca="false">IF(B100="","",IFERROR(INDEX(Options!$G$6:$G$85,MATCH($B100,Options!$A$6:$A$85,0)),""))</f>
        <v>Letter</v>
      </c>
      <c r="P100" s="9" t="str">
        <f aca="false">IF(B100="","",IFERROR(INDEX(Options!$H$6:$H$85,MATCH($B100,Options!$A$6:$A$85,0)),""))</f>
        <v>Seasonal</v>
      </c>
      <c r="Q100" s="24" t="n">
        <f aca="false">IF(B100="",0,N(IFERROR(INDEX(Options!$J$6:$J$85,MATCH($B100,Options!$A$6:$A$85,0)),"")))</f>
        <v>85</v>
      </c>
      <c r="R100" s="25" t="n">
        <f aca="false">K100*Settings!$B$10+J100*Settings!$B$11+I100*Settings!$B$12+H100*Settings!$B$13</f>
        <v>5.9</v>
      </c>
      <c r="S100" s="25" t="n">
        <f aca="false">IFERROR(L100/Settings!$B$8,0)</f>
        <v>3.36363636363636</v>
      </c>
      <c r="T100" s="26" t="n">
        <f aca="false">IF(OR(B100="",P100="End of life"),0,W100*MIN(4,N100))</f>
        <v>0</v>
      </c>
      <c r="U100" s="27" t="n">
        <f aca="false">T100*Q100</f>
        <v>0</v>
      </c>
      <c r="V100" s="14" t="n">
        <f aca="false">IF(B100="",0,G100*N(IFERROR(INDEX(Options!$K$6:$K$85,MATCH($B100,Options!$A$6:$A$85,0)),"")))</f>
        <v>161.5</v>
      </c>
      <c r="W100" s="26" t="n">
        <f aca="false">IF(B100="",0,IF(N100&gt;=4,S100,(H100+I100+J100+K100)/(4-N100)))</f>
        <v>5.75</v>
      </c>
    </row>
    <row r="101" customFormat="false" ht="15" hidden="false" customHeight="false" outlineLevel="0" collapsed="false">
      <c r="A101" s="16" t="s">
        <v>431</v>
      </c>
      <c r="B101" s="16" t="s">
        <v>229</v>
      </c>
      <c r="C101" s="16" t="s">
        <v>341</v>
      </c>
      <c r="D101" s="16"/>
      <c r="E101" s="16" t="n">
        <v>46</v>
      </c>
      <c r="F101" s="16" t="n">
        <v>0</v>
      </c>
      <c r="G101" s="16" t="n">
        <v>13</v>
      </c>
      <c r="H101" s="16" t="n">
        <v>2</v>
      </c>
      <c r="I101" s="16" t="n">
        <v>3</v>
      </c>
      <c r="J101" s="16" t="n">
        <v>3</v>
      </c>
      <c r="K101" s="16" t="n">
        <v>3</v>
      </c>
      <c r="L101" s="16" t="n">
        <v>33</v>
      </c>
      <c r="M101" s="16" t="n">
        <v>29</v>
      </c>
      <c r="N101" s="16" t="n">
        <v>0</v>
      </c>
      <c r="O101" s="9" t="str">
        <f aca="false">IF(B101="","",IFERROR(INDEX(Options!$G$6:$G$85,MATCH($B101,Options!$A$6:$A$85,0)),""))</f>
        <v>Letter</v>
      </c>
      <c r="P101" s="9" t="str">
        <f aca="false">IF(B101="","",IFERROR(INDEX(Options!$H$6:$H$85,MATCH($B101,Options!$A$6:$A$85,0)),""))</f>
        <v>Seasonal</v>
      </c>
      <c r="Q101" s="24" t="n">
        <f aca="false">IF(B101="",0,N(IFERROR(INDEX(Options!$J$6:$J$85,MATCH($B101,Options!$A$6:$A$85,0)),"")))</f>
        <v>85</v>
      </c>
      <c r="R101" s="25" t="n">
        <f aca="false">K101*Settings!$B$10+J101*Settings!$B$11+I101*Settings!$B$12+H101*Settings!$B$13</f>
        <v>2.9</v>
      </c>
      <c r="S101" s="25" t="n">
        <f aca="false">IFERROR(L101/Settings!$B$8,0)</f>
        <v>1.5</v>
      </c>
      <c r="T101" s="26" t="n">
        <f aca="false">IF(OR(B101="",P101="End of life"),0,W101*MIN(4,N101))</f>
        <v>0</v>
      </c>
      <c r="U101" s="27" t="n">
        <f aca="false">T101*Q101</f>
        <v>0</v>
      </c>
      <c r="V101" s="14" t="n">
        <f aca="false">IF(B101="",0,G101*N(IFERROR(INDEX(Options!$K$6:$K$85,MATCH($B101,Options!$A$6:$A$85,0)),"")))</f>
        <v>419.9</v>
      </c>
      <c r="W101" s="26" t="n">
        <f aca="false">IF(B101="",0,IF(N101&gt;=4,S101,(H101+I101+J101+K101)/(4-N101)))</f>
        <v>2.75</v>
      </c>
    </row>
    <row r="102" customFormat="false" ht="15" hidden="false" customHeight="false" outlineLevel="0" collapsed="false">
      <c r="A102" s="16" t="s">
        <v>432</v>
      </c>
      <c r="B102" s="16" t="s">
        <v>234</v>
      </c>
      <c r="C102" s="16" t="s">
        <v>331</v>
      </c>
      <c r="D102" s="16"/>
      <c r="E102" s="16" t="n">
        <v>50</v>
      </c>
      <c r="F102" s="16" t="n">
        <v>0</v>
      </c>
      <c r="G102" s="16" t="n">
        <v>24</v>
      </c>
      <c r="H102" s="16" t="n">
        <v>1</v>
      </c>
      <c r="I102" s="16" t="n">
        <v>1</v>
      </c>
      <c r="J102" s="16" t="n">
        <v>1</v>
      </c>
      <c r="K102" s="16" t="n">
        <v>1</v>
      </c>
      <c r="L102" s="16" t="n">
        <v>26</v>
      </c>
      <c r="M102" s="16" t="n">
        <v>23</v>
      </c>
      <c r="N102" s="16" t="n">
        <v>0</v>
      </c>
      <c r="O102" s="9" t="str">
        <f aca="false">IF(B102="","",IFERROR(INDEX(Options!$G$6:$G$85,MATCH($B102,Options!$A$6:$A$85,0)),""))</f>
        <v>Letter</v>
      </c>
      <c r="P102" s="9" t="str">
        <f aca="false">IF(B102="","",IFERROR(INDEX(Options!$H$6:$H$85,MATCH($B102,Options!$A$6:$A$85,0)),""))</f>
        <v>Seasonal</v>
      </c>
      <c r="Q102" s="24" t="n">
        <f aca="false">IF(B102="",0,N(IFERROR(INDEX(Options!$J$6:$J$85,MATCH($B102,Options!$A$6:$A$85,0)),"")))</f>
        <v>70</v>
      </c>
      <c r="R102" s="25" t="n">
        <f aca="false">K102*Settings!$B$10+J102*Settings!$B$11+I102*Settings!$B$12+H102*Settings!$B$13</f>
        <v>1</v>
      </c>
      <c r="S102" s="25" t="n">
        <f aca="false">IFERROR(L102/Settings!$B$8,0)</f>
        <v>1.18181818181818</v>
      </c>
      <c r="T102" s="26" t="n">
        <f aca="false">IF(OR(B102="",P102="End of life"),0,W102*MIN(4,N102))</f>
        <v>0</v>
      </c>
      <c r="U102" s="27" t="n">
        <f aca="false">T102*Q102</f>
        <v>0</v>
      </c>
      <c r="V102" s="14" t="n">
        <f aca="false">IF(B102="",0,G102*N(IFERROR(INDEX(Options!$K$6:$K$85,MATCH($B102,Options!$A$6:$A$85,0)),"")))</f>
        <v>638.4</v>
      </c>
      <c r="W102" s="26" t="n">
        <f aca="false">IF(B102="",0,IF(N102&gt;=4,S102,(H102+I102+J102+K102)/(4-N102)))</f>
        <v>1</v>
      </c>
    </row>
    <row r="103" customFormat="false" ht="15" hidden="false" customHeight="false" outlineLevel="0" collapsed="false">
      <c r="A103" s="16" t="s">
        <v>433</v>
      </c>
      <c r="B103" s="16" t="s">
        <v>234</v>
      </c>
      <c r="C103" s="16" t="s">
        <v>333</v>
      </c>
      <c r="D103" s="16" t="s">
        <v>183</v>
      </c>
      <c r="E103" s="16" t="n">
        <v>110</v>
      </c>
      <c r="F103" s="16" t="n">
        <v>0</v>
      </c>
      <c r="G103" s="16" t="n">
        <v>25</v>
      </c>
      <c r="H103" s="16" t="n">
        <v>3</v>
      </c>
      <c r="I103" s="16" t="n">
        <v>4</v>
      </c>
      <c r="J103" s="16" t="n">
        <v>4</v>
      </c>
      <c r="K103" s="16" t="n">
        <v>5</v>
      </c>
      <c r="L103" s="16" t="n">
        <v>85</v>
      </c>
      <c r="M103" s="16" t="n">
        <v>75</v>
      </c>
      <c r="N103" s="16" t="n">
        <v>0</v>
      </c>
      <c r="O103" s="9" t="str">
        <f aca="false">IF(B103="","",IFERROR(INDEX(Options!$G$6:$G$85,MATCH($B103,Options!$A$6:$A$85,0)),""))</f>
        <v>Letter</v>
      </c>
      <c r="P103" s="9" t="str">
        <f aca="false">IF(B103="","",IFERROR(INDEX(Options!$H$6:$H$85,MATCH($B103,Options!$A$6:$A$85,0)),""))</f>
        <v>Seasonal</v>
      </c>
      <c r="Q103" s="24" t="n">
        <f aca="false">IF(B103="",0,N(IFERROR(INDEX(Options!$J$6:$J$85,MATCH($B103,Options!$A$6:$A$85,0)),"")))</f>
        <v>70</v>
      </c>
      <c r="R103" s="25" t="n">
        <f aca="false">K103*Settings!$B$10+J103*Settings!$B$11+I103*Settings!$B$12+H103*Settings!$B$13</f>
        <v>4.3</v>
      </c>
      <c r="S103" s="25" t="n">
        <f aca="false">IFERROR(L103/Settings!$B$8,0)</f>
        <v>3.86363636363636</v>
      </c>
      <c r="T103" s="26" t="n">
        <f aca="false">IF(OR(B103="",P103="End of life"),0,W103*MIN(4,N103))</f>
        <v>0</v>
      </c>
      <c r="U103" s="27" t="n">
        <f aca="false">T103*Q103</f>
        <v>0</v>
      </c>
      <c r="V103" s="14" t="n">
        <f aca="false">IF(B103="",0,G103*N(IFERROR(INDEX(Options!$K$6:$K$85,MATCH($B103,Options!$A$6:$A$85,0)),"")))</f>
        <v>665</v>
      </c>
      <c r="W103" s="26" t="n">
        <f aca="false">IF(B103="",0,IF(N103&gt;=4,S103,(H103+I103+J103+K103)/(4-N103)))</f>
        <v>4</v>
      </c>
    </row>
    <row r="104" customFormat="false" ht="15" hidden="false" customHeight="false" outlineLevel="0" collapsed="false">
      <c r="A104" s="16" t="s">
        <v>434</v>
      </c>
      <c r="B104" s="16" t="s">
        <v>234</v>
      </c>
      <c r="C104" s="16" t="s">
        <v>335</v>
      </c>
      <c r="D104" s="16" t="s">
        <v>183</v>
      </c>
      <c r="E104" s="16" t="n">
        <v>184</v>
      </c>
      <c r="F104" s="16" t="n">
        <v>0</v>
      </c>
      <c r="G104" s="16" t="n">
        <v>42</v>
      </c>
      <c r="H104" s="16" t="n">
        <v>6</v>
      </c>
      <c r="I104" s="16" t="n">
        <v>6</v>
      </c>
      <c r="J104" s="16" t="n">
        <v>7</v>
      </c>
      <c r="K104" s="16" t="n">
        <v>8</v>
      </c>
      <c r="L104" s="16" t="n">
        <v>142</v>
      </c>
      <c r="M104" s="16" t="n">
        <v>125</v>
      </c>
      <c r="N104" s="16" t="n">
        <v>0</v>
      </c>
      <c r="O104" s="9" t="str">
        <f aca="false">IF(B104="","",IFERROR(INDEX(Options!$G$6:$G$85,MATCH($B104,Options!$A$6:$A$85,0)),""))</f>
        <v>Letter</v>
      </c>
      <c r="P104" s="9" t="str">
        <f aca="false">IF(B104="","",IFERROR(INDEX(Options!$H$6:$H$85,MATCH($B104,Options!$A$6:$A$85,0)),""))</f>
        <v>Seasonal</v>
      </c>
      <c r="Q104" s="24" t="n">
        <f aca="false">IF(B104="",0,N(IFERROR(INDEX(Options!$J$6:$J$85,MATCH($B104,Options!$A$6:$A$85,0)),"")))</f>
        <v>70</v>
      </c>
      <c r="R104" s="25" t="n">
        <f aca="false">K104*Settings!$B$10+J104*Settings!$B$11+I104*Settings!$B$12+H104*Settings!$B$13</f>
        <v>7.1</v>
      </c>
      <c r="S104" s="25" t="n">
        <f aca="false">IFERROR(L104/Settings!$B$8,0)</f>
        <v>6.45454545454545</v>
      </c>
      <c r="T104" s="26" t="n">
        <f aca="false">IF(OR(B104="",P104="End of life"),0,W104*MIN(4,N104))</f>
        <v>0</v>
      </c>
      <c r="U104" s="27" t="n">
        <f aca="false">T104*Q104</f>
        <v>0</v>
      </c>
      <c r="V104" s="14" t="n">
        <f aca="false">IF(B104="",0,G104*N(IFERROR(INDEX(Options!$K$6:$K$85,MATCH($B104,Options!$A$6:$A$85,0)),"")))</f>
        <v>1117.2</v>
      </c>
      <c r="W104" s="26" t="n">
        <f aca="false">IF(B104="",0,IF(N104&gt;=4,S104,(H104+I104+J104+K104)/(4-N104)))</f>
        <v>6.75</v>
      </c>
    </row>
    <row r="105" customFormat="false" ht="15" hidden="false" customHeight="false" outlineLevel="0" collapsed="false">
      <c r="A105" s="16" t="s">
        <v>435</v>
      </c>
      <c r="B105" s="16" t="s">
        <v>234</v>
      </c>
      <c r="C105" s="16" t="s">
        <v>337</v>
      </c>
      <c r="D105" s="16" t="s">
        <v>183</v>
      </c>
      <c r="E105" s="16" t="n">
        <v>160</v>
      </c>
      <c r="F105" s="16" t="n">
        <v>0</v>
      </c>
      <c r="G105" s="16" t="n">
        <v>47</v>
      </c>
      <c r="H105" s="16" t="n">
        <v>5</v>
      </c>
      <c r="I105" s="16" t="n">
        <v>5</v>
      </c>
      <c r="J105" s="16" t="n">
        <v>6</v>
      </c>
      <c r="K105" s="16" t="n">
        <v>6</v>
      </c>
      <c r="L105" s="16" t="n">
        <v>113</v>
      </c>
      <c r="M105" s="16" t="n">
        <v>99</v>
      </c>
      <c r="N105" s="16" t="n">
        <v>0</v>
      </c>
      <c r="O105" s="9" t="str">
        <f aca="false">IF(B105="","",IFERROR(INDEX(Options!$G$6:$G$85,MATCH($B105,Options!$A$6:$A$85,0)),""))</f>
        <v>Letter</v>
      </c>
      <c r="P105" s="9" t="str">
        <f aca="false">IF(B105="","",IFERROR(INDEX(Options!$H$6:$H$85,MATCH($B105,Options!$A$6:$A$85,0)),""))</f>
        <v>Seasonal</v>
      </c>
      <c r="Q105" s="24" t="n">
        <f aca="false">IF(B105="",0,N(IFERROR(INDEX(Options!$J$6:$J$85,MATCH($B105,Options!$A$6:$A$85,0)),"")))</f>
        <v>70</v>
      </c>
      <c r="R105" s="25" t="n">
        <f aca="false">K105*Settings!$B$10+J105*Settings!$B$11+I105*Settings!$B$12+H105*Settings!$B$13</f>
        <v>5.7</v>
      </c>
      <c r="S105" s="25" t="n">
        <f aca="false">IFERROR(L105/Settings!$B$8,0)</f>
        <v>5.13636363636364</v>
      </c>
      <c r="T105" s="26" t="n">
        <f aca="false">IF(OR(B105="",P105="End of life"),0,W105*MIN(4,N105))</f>
        <v>0</v>
      </c>
      <c r="U105" s="27" t="n">
        <f aca="false">T105*Q105</f>
        <v>0</v>
      </c>
      <c r="V105" s="14" t="n">
        <f aca="false">IF(B105="",0,G105*N(IFERROR(INDEX(Options!$K$6:$K$85,MATCH($B105,Options!$A$6:$A$85,0)),"")))</f>
        <v>1250.2</v>
      </c>
      <c r="W105" s="26" t="n">
        <f aca="false">IF(B105="",0,IF(N105&gt;=4,S105,(H105+I105+J105+K105)/(4-N105)))</f>
        <v>5.5</v>
      </c>
    </row>
    <row r="106" customFormat="false" ht="15" hidden="false" customHeight="false" outlineLevel="0" collapsed="false">
      <c r="A106" s="16" t="s">
        <v>436</v>
      </c>
      <c r="B106" s="16" t="s">
        <v>234</v>
      </c>
      <c r="C106" s="16" t="s">
        <v>339</v>
      </c>
      <c r="D106" s="16"/>
      <c r="E106" s="16" t="n">
        <v>86</v>
      </c>
      <c r="F106" s="16" t="n">
        <v>0</v>
      </c>
      <c r="G106" s="16" t="n">
        <v>19</v>
      </c>
      <c r="H106" s="16" t="n">
        <v>3</v>
      </c>
      <c r="I106" s="16" t="n">
        <v>2</v>
      </c>
      <c r="J106" s="16" t="n">
        <v>3</v>
      </c>
      <c r="K106" s="16" t="n">
        <v>4</v>
      </c>
      <c r="L106" s="16" t="n">
        <v>67</v>
      </c>
      <c r="M106" s="16" t="n">
        <v>59</v>
      </c>
      <c r="N106" s="16" t="n">
        <v>0</v>
      </c>
      <c r="O106" s="9" t="str">
        <f aca="false">IF(B106="","",IFERROR(INDEX(Options!$G$6:$G$85,MATCH($B106,Options!$A$6:$A$85,0)),""))</f>
        <v>Letter</v>
      </c>
      <c r="P106" s="9" t="str">
        <f aca="false">IF(B106="","",IFERROR(INDEX(Options!$H$6:$H$85,MATCH($B106,Options!$A$6:$A$85,0)),""))</f>
        <v>Seasonal</v>
      </c>
      <c r="Q106" s="24" t="n">
        <f aca="false">IF(B106="",0,N(IFERROR(INDEX(Options!$J$6:$J$85,MATCH($B106,Options!$A$6:$A$85,0)),"")))</f>
        <v>70</v>
      </c>
      <c r="R106" s="25" t="n">
        <f aca="false">K106*Settings!$B$10+J106*Settings!$B$11+I106*Settings!$B$12+H106*Settings!$B$13</f>
        <v>3.2</v>
      </c>
      <c r="S106" s="25" t="n">
        <f aca="false">IFERROR(L106/Settings!$B$8,0)</f>
        <v>3.04545454545455</v>
      </c>
      <c r="T106" s="26" t="n">
        <f aca="false">IF(OR(B106="",P106="End of life"),0,W106*MIN(4,N106))</f>
        <v>0</v>
      </c>
      <c r="U106" s="27" t="n">
        <f aca="false">T106*Q106</f>
        <v>0</v>
      </c>
      <c r="V106" s="14" t="n">
        <f aca="false">IF(B106="",0,G106*N(IFERROR(INDEX(Options!$K$6:$K$85,MATCH($B106,Options!$A$6:$A$85,0)),"")))</f>
        <v>505.4</v>
      </c>
      <c r="W106" s="26" t="n">
        <f aca="false">IF(B106="",0,IF(N106&gt;=4,S106,(H106+I106+J106+K106)/(4-N106)))</f>
        <v>3</v>
      </c>
    </row>
    <row r="107" customFormat="false" ht="15" hidden="false" customHeight="false" outlineLevel="0" collapsed="false">
      <c r="A107" s="16" t="s">
        <v>437</v>
      </c>
      <c r="B107" s="16" t="s">
        <v>234</v>
      </c>
      <c r="C107" s="16" t="s">
        <v>341</v>
      </c>
      <c r="D107" s="16"/>
      <c r="E107" s="16" t="n">
        <v>50</v>
      </c>
      <c r="F107" s="16" t="n">
        <v>0</v>
      </c>
      <c r="G107" s="16" t="n">
        <v>24</v>
      </c>
      <c r="H107" s="16" t="n">
        <v>1</v>
      </c>
      <c r="I107" s="16" t="n">
        <v>1</v>
      </c>
      <c r="J107" s="16" t="n">
        <v>1</v>
      </c>
      <c r="K107" s="16" t="n">
        <v>1</v>
      </c>
      <c r="L107" s="16" t="n">
        <v>26</v>
      </c>
      <c r="M107" s="16" t="n">
        <v>23</v>
      </c>
      <c r="N107" s="16" t="n">
        <v>0</v>
      </c>
      <c r="O107" s="9" t="str">
        <f aca="false">IF(B107="","",IFERROR(INDEX(Options!$G$6:$G$85,MATCH($B107,Options!$A$6:$A$85,0)),""))</f>
        <v>Letter</v>
      </c>
      <c r="P107" s="9" t="str">
        <f aca="false">IF(B107="","",IFERROR(INDEX(Options!$H$6:$H$85,MATCH($B107,Options!$A$6:$A$85,0)),""))</f>
        <v>Seasonal</v>
      </c>
      <c r="Q107" s="24" t="n">
        <f aca="false">IF(B107="",0,N(IFERROR(INDEX(Options!$J$6:$J$85,MATCH($B107,Options!$A$6:$A$85,0)),"")))</f>
        <v>70</v>
      </c>
      <c r="R107" s="25" t="n">
        <f aca="false">K107*Settings!$B$10+J107*Settings!$B$11+I107*Settings!$B$12+H107*Settings!$B$13</f>
        <v>1</v>
      </c>
      <c r="S107" s="25" t="n">
        <f aca="false">IFERROR(L107/Settings!$B$8,0)</f>
        <v>1.18181818181818</v>
      </c>
      <c r="T107" s="26" t="n">
        <f aca="false">IF(OR(B107="",P107="End of life"),0,W107*MIN(4,N107))</f>
        <v>0</v>
      </c>
      <c r="U107" s="27" t="n">
        <f aca="false">T107*Q107</f>
        <v>0</v>
      </c>
      <c r="V107" s="14" t="n">
        <f aca="false">IF(B107="",0,G107*N(IFERROR(INDEX(Options!$K$6:$K$85,MATCH($B107,Options!$A$6:$A$85,0)),"")))</f>
        <v>638.4</v>
      </c>
      <c r="W107" s="26" t="n">
        <f aca="false">IF(B107="",0,IF(N107&gt;=4,S107,(H107+I107+J107+K107)/(4-N107)))</f>
        <v>1</v>
      </c>
    </row>
    <row r="108" customFormat="false" ht="15" hidden="false" customHeight="false" outlineLevel="0" collapsed="false">
      <c r="A108" s="16" t="s">
        <v>438</v>
      </c>
      <c r="B108" s="16" t="s">
        <v>237</v>
      </c>
      <c r="C108" s="16" t="s">
        <v>331</v>
      </c>
      <c r="D108" s="16"/>
      <c r="E108" s="16" t="n">
        <v>72</v>
      </c>
      <c r="F108" s="16" t="n">
        <v>0</v>
      </c>
      <c r="G108" s="16" t="n">
        <v>42</v>
      </c>
      <c r="H108" s="16" t="n">
        <v>1</v>
      </c>
      <c r="I108" s="16" t="n">
        <v>1</v>
      </c>
      <c r="J108" s="16" t="n">
        <v>1</v>
      </c>
      <c r="K108" s="16" t="n">
        <v>1</v>
      </c>
      <c r="L108" s="16" t="n">
        <v>30</v>
      </c>
      <c r="M108" s="16" t="n">
        <v>26</v>
      </c>
      <c r="N108" s="16" t="n">
        <v>0</v>
      </c>
      <c r="O108" s="9" t="str">
        <f aca="false">IF(B108="","",IFERROR(INDEX(Options!$G$6:$G$85,MATCH($B108,Options!$A$6:$A$85,0)),""))</f>
        <v>Letter</v>
      </c>
      <c r="P108" s="9" t="str">
        <f aca="false">IF(B108="","",IFERROR(INDEX(Options!$H$6:$H$85,MATCH($B108,Options!$A$6:$A$85,0)),""))</f>
        <v>Seasonal</v>
      </c>
      <c r="Q108" s="24" t="n">
        <f aca="false">IF(B108="",0,N(IFERROR(INDEX(Options!$J$6:$J$85,MATCH($B108,Options!$A$6:$A$85,0)),"")))</f>
        <v>85</v>
      </c>
      <c r="R108" s="25" t="n">
        <f aca="false">K108*Settings!$B$10+J108*Settings!$B$11+I108*Settings!$B$12+H108*Settings!$B$13</f>
        <v>1</v>
      </c>
      <c r="S108" s="25" t="n">
        <f aca="false">IFERROR(L108/Settings!$B$8,0)</f>
        <v>1.36363636363636</v>
      </c>
      <c r="T108" s="26" t="n">
        <f aca="false">IF(OR(B108="",P108="End of life"),0,W108*MIN(4,N108))</f>
        <v>0</v>
      </c>
      <c r="U108" s="27" t="n">
        <f aca="false">T108*Q108</f>
        <v>0</v>
      </c>
      <c r="V108" s="14" t="n">
        <f aca="false">IF(B108="",0,G108*N(IFERROR(INDEX(Options!$K$6:$K$85,MATCH($B108,Options!$A$6:$A$85,0)),"")))</f>
        <v>1356.6</v>
      </c>
      <c r="W108" s="26" t="n">
        <f aca="false">IF(B108="",0,IF(N108&gt;=4,S108,(H108+I108+J108+K108)/(4-N108)))</f>
        <v>1</v>
      </c>
    </row>
    <row r="109" customFormat="false" ht="15" hidden="false" customHeight="false" outlineLevel="0" collapsed="false">
      <c r="A109" s="16" t="s">
        <v>439</v>
      </c>
      <c r="B109" s="16" t="s">
        <v>237</v>
      </c>
      <c r="C109" s="16" t="s">
        <v>333</v>
      </c>
      <c r="D109" s="16" t="s">
        <v>183</v>
      </c>
      <c r="E109" s="16" t="n">
        <v>90</v>
      </c>
      <c r="F109" s="16" t="n">
        <v>0</v>
      </c>
      <c r="G109" s="16" t="n">
        <v>0</v>
      </c>
      <c r="H109" s="16" t="n">
        <v>0</v>
      </c>
      <c r="I109" s="16" t="n">
        <v>0</v>
      </c>
      <c r="J109" s="16" t="n">
        <v>0</v>
      </c>
      <c r="K109" s="16" t="n">
        <v>0</v>
      </c>
      <c r="L109" s="16" t="n">
        <v>90</v>
      </c>
      <c r="M109" s="16" t="n">
        <v>79</v>
      </c>
      <c r="N109" s="16" t="n">
        <v>4</v>
      </c>
      <c r="O109" s="9" t="str">
        <f aca="false">IF(B109="","",IFERROR(INDEX(Options!$G$6:$G$85,MATCH($B109,Options!$A$6:$A$85,0)),""))</f>
        <v>Letter</v>
      </c>
      <c r="P109" s="9" t="str">
        <f aca="false">IF(B109="","",IFERROR(INDEX(Options!$H$6:$H$85,MATCH($B109,Options!$A$6:$A$85,0)),""))</f>
        <v>Seasonal</v>
      </c>
      <c r="Q109" s="24" t="n">
        <f aca="false">IF(B109="",0,N(IFERROR(INDEX(Options!$J$6:$J$85,MATCH($B109,Options!$A$6:$A$85,0)),"")))</f>
        <v>85</v>
      </c>
      <c r="R109" s="25" t="n">
        <f aca="false">K109*Settings!$B$10+J109*Settings!$B$11+I109*Settings!$B$12+H109*Settings!$B$13</f>
        <v>0</v>
      </c>
      <c r="S109" s="25" t="n">
        <f aca="false">IFERROR(L109/Settings!$B$8,0)</f>
        <v>4.09090909090909</v>
      </c>
      <c r="T109" s="26" t="n">
        <f aca="false">IF(OR(B109="",P109="End of life"),0,W109*MIN(4,N109))</f>
        <v>16.3636363636364</v>
      </c>
      <c r="U109" s="27" t="n">
        <f aca="false">T109*Q109</f>
        <v>1390.90909090909</v>
      </c>
      <c r="V109" s="14" t="n">
        <f aca="false">IF(B109="",0,G109*N(IFERROR(INDEX(Options!$K$6:$K$85,MATCH($B109,Options!$A$6:$A$85,0)),"")))</f>
        <v>0</v>
      </c>
      <c r="W109" s="26" t="n">
        <f aca="false">IF(B109="",0,IF(N109&gt;=4,S109,(H109+I109+J109+K109)/(4-N109)))</f>
        <v>4.09090909090909</v>
      </c>
    </row>
    <row r="110" customFormat="false" ht="15" hidden="false" customHeight="false" outlineLevel="0" collapsed="false">
      <c r="A110" s="16" t="s">
        <v>440</v>
      </c>
      <c r="B110" s="16" t="s">
        <v>237</v>
      </c>
      <c r="C110" s="16" t="s">
        <v>335</v>
      </c>
      <c r="D110" s="16" t="s">
        <v>183</v>
      </c>
      <c r="E110" s="16" t="n">
        <v>150</v>
      </c>
      <c r="F110" s="16" t="n">
        <v>0</v>
      </c>
      <c r="G110" s="16" t="n">
        <v>0</v>
      </c>
      <c r="H110" s="16" t="n">
        <v>3</v>
      </c>
      <c r="I110" s="16" t="n">
        <v>3</v>
      </c>
      <c r="J110" s="16" t="n">
        <v>5</v>
      </c>
      <c r="K110" s="16" t="n">
        <v>0</v>
      </c>
      <c r="L110" s="16" t="n">
        <v>150</v>
      </c>
      <c r="M110" s="16" t="n">
        <v>132</v>
      </c>
      <c r="N110" s="16" t="n">
        <v>1</v>
      </c>
      <c r="O110" s="9" t="str">
        <f aca="false">IF(B110="","",IFERROR(INDEX(Options!$G$6:$G$85,MATCH($B110,Options!$A$6:$A$85,0)),""))</f>
        <v>Letter</v>
      </c>
      <c r="P110" s="9" t="str">
        <f aca="false">IF(B110="","",IFERROR(INDEX(Options!$H$6:$H$85,MATCH($B110,Options!$A$6:$A$85,0)),""))</f>
        <v>Seasonal</v>
      </c>
      <c r="Q110" s="24" t="n">
        <f aca="false">IF(B110="",0,N(IFERROR(INDEX(Options!$J$6:$J$85,MATCH($B110,Options!$A$6:$A$85,0)),"")))</f>
        <v>85</v>
      </c>
      <c r="R110" s="25" t="n">
        <f aca="false">K110*Settings!$B$10+J110*Settings!$B$11+I110*Settings!$B$12+H110*Settings!$B$13</f>
        <v>2.4</v>
      </c>
      <c r="S110" s="25" t="n">
        <f aca="false">IFERROR(L110/Settings!$B$8,0)</f>
        <v>6.81818181818182</v>
      </c>
      <c r="T110" s="26" t="n">
        <f aca="false">IF(OR(B110="",P110="End of life"),0,W110*MIN(4,N110))</f>
        <v>3.66666666666667</v>
      </c>
      <c r="U110" s="27" t="n">
        <f aca="false">T110*Q110</f>
        <v>311.666666666667</v>
      </c>
      <c r="V110" s="14" t="n">
        <f aca="false">IF(B110="",0,G110*N(IFERROR(INDEX(Options!$K$6:$K$85,MATCH($B110,Options!$A$6:$A$85,0)),"")))</f>
        <v>0</v>
      </c>
      <c r="W110" s="26" t="n">
        <f aca="false">IF(B110="",0,IF(N110&gt;=4,S110,(H110+I110+J110+K110)/(4-N110)))</f>
        <v>3.66666666666667</v>
      </c>
    </row>
    <row r="111" customFormat="false" ht="15" hidden="false" customHeight="false" outlineLevel="0" collapsed="false">
      <c r="A111" s="16" t="s">
        <v>441</v>
      </c>
      <c r="B111" s="16" t="s">
        <v>237</v>
      </c>
      <c r="C111" s="16" t="s">
        <v>337</v>
      </c>
      <c r="D111" s="16" t="s">
        <v>183</v>
      </c>
      <c r="E111" s="16" t="n">
        <v>130</v>
      </c>
      <c r="F111" s="16" t="n">
        <v>0</v>
      </c>
      <c r="G111" s="16" t="n">
        <v>0</v>
      </c>
      <c r="H111" s="16" t="n">
        <v>0</v>
      </c>
      <c r="I111" s="16" t="n">
        <v>0</v>
      </c>
      <c r="J111" s="16" t="n">
        <v>0</v>
      </c>
      <c r="K111" s="16" t="n">
        <v>0</v>
      </c>
      <c r="L111" s="16" t="n">
        <v>130</v>
      </c>
      <c r="M111" s="16" t="n">
        <v>114</v>
      </c>
      <c r="N111" s="16" t="n">
        <v>4</v>
      </c>
      <c r="O111" s="9" t="str">
        <f aca="false">IF(B111="","",IFERROR(INDEX(Options!$G$6:$G$85,MATCH($B111,Options!$A$6:$A$85,0)),""))</f>
        <v>Letter</v>
      </c>
      <c r="P111" s="9" t="str">
        <f aca="false">IF(B111="","",IFERROR(INDEX(Options!$H$6:$H$85,MATCH($B111,Options!$A$6:$A$85,0)),""))</f>
        <v>Seasonal</v>
      </c>
      <c r="Q111" s="24" t="n">
        <f aca="false">IF(B111="",0,N(IFERROR(INDEX(Options!$J$6:$J$85,MATCH($B111,Options!$A$6:$A$85,0)),"")))</f>
        <v>85</v>
      </c>
      <c r="R111" s="25" t="n">
        <f aca="false">K111*Settings!$B$10+J111*Settings!$B$11+I111*Settings!$B$12+H111*Settings!$B$13</f>
        <v>0</v>
      </c>
      <c r="S111" s="25" t="n">
        <f aca="false">IFERROR(L111/Settings!$B$8,0)</f>
        <v>5.90909090909091</v>
      </c>
      <c r="T111" s="26" t="n">
        <f aca="false">IF(OR(B111="",P111="End of life"),0,W111*MIN(4,N111))</f>
        <v>23.6363636363636</v>
      </c>
      <c r="U111" s="27" t="n">
        <f aca="false">T111*Q111</f>
        <v>2009.09090909091</v>
      </c>
      <c r="V111" s="14" t="n">
        <f aca="false">IF(B111="",0,G111*N(IFERROR(INDEX(Options!$K$6:$K$85,MATCH($B111,Options!$A$6:$A$85,0)),"")))</f>
        <v>0</v>
      </c>
      <c r="W111" s="26" t="n">
        <f aca="false">IF(B111="",0,IF(N111&gt;=4,S111,(H111+I111+J111+K111)/(4-N111)))</f>
        <v>5.90909090909091</v>
      </c>
    </row>
    <row r="112" customFormat="false" ht="15" hidden="false" customHeight="false" outlineLevel="0" collapsed="false">
      <c r="A112" s="16" t="s">
        <v>442</v>
      </c>
      <c r="B112" s="16" t="s">
        <v>237</v>
      </c>
      <c r="C112" s="16" t="s">
        <v>339</v>
      </c>
      <c r="D112" s="16"/>
      <c r="E112" s="16" t="n">
        <v>168</v>
      </c>
      <c r="F112" s="16" t="n">
        <v>0</v>
      </c>
      <c r="G112" s="16" t="n">
        <v>94</v>
      </c>
      <c r="H112" s="16" t="n">
        <v>2</v>
      </c>
      <c r="I112" s="16" t="n">
        <v>2</v>
      </c>
      <c r="J112" s="16" t="n">
        <v>2</v>
      </c>
      <c r="K112" s="16" t="n">
        <v>2</v>
      </c>
      <c r="L112" s="16" t="n">
        <v>74</v>
      </c>
      <c r="M112" s="16" t="n">
        <v>65</v>
      </c>
      <c r="N112" s="16" t="n">
        <v>0</v>
      </c>
      <c r="O112" s="9" t="str">
        <f aca="false">IF(B112="","",IFERROR(INDEX(Options!$G$6:$G$85,MATCH($B112,Options!$A$6:$A$85,0)),""))</f>
        <v>Letter</v>
      </c>
      <c r="P112" s="9" t="str">
        <f aca="false">IF(B112="","",IFERROR(INDEX(Options!$H$6:$H$85,MATCH($B112,Options!$A$6:$A$85,0)),""))</f>
        <v>Seasonal</v>
      </c>
      <c r="Q112" s="24" t="n">
        <f aca="false">IF(B112="",0,N(IFERROR(INDEX(Options!$J$6:$J$85,MATCH($B112,Options!$A$6:$A$85,0)),"")))</f>
        <v>85</v>
      </c>
      <c r="R112" s="25" t="n">
        <f aca="false">K112*Settings!$B$10+J112*Settings!$B$11+I112*Settings!$B$12+H112*Settings!$B$13</f>
        <v>2</v>
      </c>
      <c r="S112" s="25" t="n">
        <f aca="false">IFERROR(L112/Settings!$B$8,0)</f>
        <v>3.36363636363636</v>
      </c>
      <c r="T112" s="26" t="n">
        <f aca="false">IF(OR(B112="",P112="End of life"),0,W112*MIN(4,N112))</f>
        <v>0</v>
      </c>
      <c r="U112" s="27" t="n">
        <f aca="false">T112*Q112</f>
        <v>0</v>
      </c>
      <c r="V112" s="14" t="n">
        <f aca="false">IF(B112="",0,G112*N(IFERROR(INDEX(Options!$K$6:$K$85,MATCH($B112,Options!$A$6:$A$85,0)),"")))</f>
        <v>3036.2</v>
      </c>
      <c r="W112" s="26" t="n">
        <f aca="false">IF(B112="",0,IF(N112&gt;=4,S112,(H112+I112+J112+K112)/(4-N112)))</f>
        <v>2</v>
      </c>
    </row>
    <row r="113" customFormat="false" ht="15" hidden="false" customHeight="false" outlineLevel="0" collapsed="false">
      <c r="A113" s="16" t="s">
        <v>443</v>
      </c>
      <c r="B113" s="16" t="s">
        <v>237</v>
      </c>
      <c r="C113" s="16" t="s">
        <v>341</v>
      </c>
      <c r="D113" s="16"/>
      <c r="E113" s="16" t="n">
        <v>72</v>
      </c>
      <c r="F113" s="16" t="n">
        <v>0</v>
      </c>
      <c r="G113" s="16" t="n">
        <v>40</v>
      </c>
      <c r="H113" s="16" t="n">
        <v>1</v>
      </c>
      <c r="I113" s="16" t="n">
        <v>1</v>
      </c>
      <c r="J113" s="16" t="n">
        <v>1</v>
      </c>
      <c r="K113" s="16" t="n">
        <v>1</v>
      </c>
      <c r="L113" s="16" t="n">
        <v>32</v>
      </c>
      <c r="M113" s="16" t="n">
        <v>28</v>
      </c>
      <c r="N113" s="16" t="n">
        <v>0</v>
      </c>
      <c r="O113" s="9" t="str">
        <f aca="false">IF(B113="","",IFERROR(INDEX(Options!$G$6:$G$85,MATCH($B113,Options!$A$6:$A$85,0)),""))</f>
        <v>Letter</v>
      </c>
      <c r="P113" s="9" t="str">
        <f aca="false">IF(B113="","",IFERROR(INDEX(Options!$H$6:$H$85,MATCH($B113,Options!$A$6:$A$85,0)),""))</f>
        <v>Seasonal</v>
      </c>
      <c r="Q113" s="24" t="n">
        <f aca="false">IF(B113="",0,N(IFERROR(INDEX(Options!$J$6:$J$85,MATCH($B113,Options!$A$6:$A$85,0)),"")))</f>
        <v>85</v>
      </c>
      <c r="R113" s="25" t="n">
        <f aca="false">K113*Settings!$B$10+J113*Settings!$B$11+I113*Settings!$B$12+H113*Settings!$B$13</f>
        <v>1</v>
      </c>
      <c r="S113" s="25" t="n">
        <f aca="false">IFERROR(L113/Settings!$B$8,0)</f>
        <v>1.45454545454545</v>
      </c>
      <c r="T113" s="26" t="n">
        <f aca="false">IF(OR(B113="",P113="End of life"),0,W113*MIN(4,N113))</f>
        <v>0</v>
      </c>
      <c r="U113" s="27" t="n">
        <f aca="false">T113*Q113</f>
        <v>0</v>
      </c>
      <c r="V113" s="14" t="n">
        <f aca="false">IF(B113="",0,G113*N(IFERROR(INDEX(Options!$K$6:$K$85,MATCH($B113,Options!$A$6:$A$85,0)),"")))</f>
        <v>1292</v>
      </c>
      <c r="W113" s="26" t="n">
        <f aca="false">IF(B113="",0,IF(N113&gt;=4,S113,(H113+I113+J113+K113)/(4-N113)))</f>
        <v>1</v>
      </c>
    </row>
    <row r="114" customFormat="false" ht="15" hidden="false" customHeight="false" outlineLevel="0" collapsed="false">
      <c r="A114" s="16" t="s">
        <v>444</v>
      </c>
      <c r="B114" s="16" t="s">
        <v>239</v>
      </c>
      <c r="C114" s="16" t="s">
        <v>331</v>
      </c>
      <c r="D114" s="16"/>
      <c r="E114" s="16" t="n">
        <v>21</v>
      </c>
      <c r="F114" s="16" t="n">
        <v>0</v>
      </c>
      <c r="G114" s="16" t="n">
        <v>8</v>
      </c>
      <c r="H114" s="16" t="n">
        <v>1</v>
      </c>
      <c r="I114" s="16" t="n">
        <v>1</v>
      </c>
      <c r="J114" s="16" t="n">
        <v>1</v>
      </c>
      <c r="K114" s="16" t="n">
        <v>1</v>
      </c>
      <c r="L114" s="16" t="n">
        <v>13</v>
      </c>
      <c r="M114" s="16" t="n">
        <v>11</v>
      </c>
      <c r="N114" s="16" t="n">
        <v>0</v>
      </c>
      <c r="O114" s="9" t="str">
        <f aca="false">IF(B114="","",IFERROR(INDEX(Options!$G$6:$G$85,MATCH($B114,Options!$A$6:$A$85,0)),""))</f>
        <v>Letter</v>
      </c>
      <c r="P114" s="9" t="str">
        <f aca="false">IF(B114="","",IFERROR(INDEX(Options!$H$6:$H$85,MATCH($B114,Options!$A$6:$A$85,0)),""))</f>
        <v>Seasonal</v>
      </c>
      <c r="Q114" s="24" t="n">
        <f aca="false">IF(B114="",0,N(IFERROR(INDEX(Options!$J$6:$J$85,MATCH($B114,Options!$A$6:$A$85,0)),"")))</f>
        <v>70</v>
      </c>
      <c r="R114" s="25" t="n">
        <f aca="false">K114*Settings!$B$10+J114*Settings!$B$11+I114*Settings!$B$12+H114*Settings!$B$13</f>
        <v>1</v>
      </c>
      <c r="S114" s="25" t="n">
        <f aca="false">IFERROR(L114/Settings!$B$8,0)</f>
        <v>0.590909090909091</v>
      </c>
      <c r="T114" s="26" t="n">
        <f aca="false">IF(OR(B114="",P114="End of life"),0,W114*MIN(4,N114))</f>
        <v>0</v>
      </c>
      <c r="U114" s="27" t="n">
        <f aca="false">T114*Q114</f>
        <v>0</v>
      </c>
      <c r="V114" s="14" t="n">
        <f aca="false">IF(B114="",0,G114*N(IFERROR(INDEX(Options!$K$6:$K$85,MATCH($B114,Options!$A$6:$A$85,0)),"")))</f>
        <v>212.8</v>
      </c>
      <c r="W114" s="26" t="n">
        <f aca="false">IF(B114="",0,IF(N114&gt;=4,S114,(H114+I114+J114+K114)/(4-N114)))</f>
        <v>1</v>
      </c>
    </row>
    <row r="115" customFormat="false" ht="15" hidden="false" customHeight="false" outlineLevel="0" collapsed="false">
      <c r="A115" s="16" t="s">
        <v>445</v>
      </c>
      <c r="B115" s="16" t="s">
        <v>239</v>
      </c>
      <c r="C115" s="16" t="s">
        <v>333</v>
      </c>
      <c r="D115" s="16" t="s">
        <v>183</v>
      </c>
      <c r="E115" s="16" t="n">
        <v>47</v>
      </c>
      <c r="F115" s="16" t="n">
        <v>0</v>
      </c>
      <c r="G115" s="16" t="n">
        <v>10</v>
      </c>
      <c r="H115" s="16" t="n">
        <v>2</v>
      </c>
      <c r="I115" s="16" t="n">
        <v>1</v>
      </c>
      <c r="J115" s="16" t="n">
        <v>2</v>
      </c>
      <c r="K115" s="16" t="n">
        <v>2</v>
      </c>
      <c r="L115" s="16" t="n">
        <v>37</v>
      </c>
      <c r="M115" s="16" t="n">
        <v>33</v>
      </c>
      <c r="N115" s="16" t="n">
        <v>0</v>
      </c>
      <c r="O115" s="9" t="str">
        <f aca="false">IF(B115="","",IFERROR(INDEX(Options!$G$6:$G$85,MATCH($B115,Options!$A$6:$A$85,0)),""))</f>
        <v>Letter</v>
      </c>
      <c r="P115" s="9" t="str">
        <f aca="false">IF(B115="","",IFERROR(INDEX(Options!$H$6:$H$85,MATCH($B115,Options!$A$6:$A$85,0)),""))</f>
        <v>Seasonal</v>
      </c>
      <c r="Q115" s="24" t="n">
        <f aca="false">IF(B115="",0,N(IFERROR(INDEX(Options!$J$6:$J$85,MATCH($B115,Options!$A$6:$A$85,0)),"")))</f>
        <v>70</v>
      </c>
      <c r="R115" s="25" t="n">
        <f aca="false">K115*Settings!$B$10+J115*Settings!$B$11+I115*Settings!$B$12+H115*Settings!$B$13</f>
        <v>1.8</v>
      </c>
      <c r="S115" s="25" t="n">
        <f aca="false">IFERROR(L115/Settings!$B$8,0)</f>
        <v>1.68181818181818</v>
      </c>
      <c r="T115" s="26" t="n">
        <f aca="false">IF(OR(B115="",P115="End of life"),0,W115*MIN(4,N115))</f>
        <v>0</v>
      </c>
      <c r="U115" s="27" t="n">
        <f aca="false">T115*Q115</f>
        <v>0</v>
      </c>
      <c r="V115" s="14" t="n">
        <f aca="false">IF(B115="",0,G115*N(IFERROR(INDEX(Options!$K$6:$K$85,MATCH($B115,Options!$A$6:$A$85,0)),"")))</f>
        <v>266</v>
      </c>
      <c r="W115" s="26" t="n">
        <f aca="false">IF(B115="",0,IF(N115&gt;=4,S115,(H115+I115+J115+K115)/(4-N115)))</f>
        <v>1.75</v>
      </c>
    </row>
    <row r="116" customFormat="false" ht="15" hidden="false" customHeight="false" outlineLevel="0" collapsed="false">
      <c r="A116" s="16" t="s">
        <v>446</v>
      </c>
      <c r="B116" s="16" t="s">
        <v>239</v>
      </c>
      <c r="C116" s="16" t="s">
        <v>335</v>
      </c>
      <c r="D116" s="16" t="s">
        <v>183</v>
      </c>
      <c r="E116" s="16" t="n">
        <v>78</v>
      </c>
      <c r="F116" s="16" t="n">
        <v>0</v>
      </c>
      <c r="G116" s="16" t="n">
        <v>16</v>
      </c>
      <c r="H116" s="16" t="n">
        <v>3</v>
      </c>
      <c r="I116" s="16" t="n">
        <v>3</v>
      </c>
      <c r="J116" s="16" t="n">
        <v>3</v>
      </c>
      <c r="K116" s="16" t="n">
        <v>3</v>
      </c>
      <c r="L116" s="16" t="n">
        <v>62</v>
      </c>
      <c r="M116" s="16" t="n">
        <v>55</v>
      </c>
      <c r="N116" s="16" t="n">
        <v>0</v>
      </c>
      <c r="O116" s="9" t="str">
        <f aca="false">IF(B116="","",IFERROR(INDEX(Options!$G$6:$G$85,MATCH($B116,Options!$A$6:$A$85,0)),""))</f>
        <v>Letter</v>
      </c>
      <c r="P116" s="9" t="str">
        <f aca="false">IF(B116="","",IFERROR(INDEX(Options!$H$6:$H$85,MATCH($B116,Options!$A$6:$A$85,0)),""))</f>
        <v>Seasonal</v>
      </c>
      <c r="Q116" s="24" t="n">
        <f aca="false">IF(B116="",0,N(IFERROR(INDEX(Options!$J$6:$J$85,MATCH($B116,Options!$A$6:$A$85,0)),"")))</f>
        <v>70</v>
      </c>
      <c r="R116" s="25" t="n">
        <f aca="false">K116*Settings!$B$10+J116*Settings!$B$11+I116*Settings!$B$12+H116*Settings!$B$13</f>
        <v>3</v>
      </c>
      <c r="S116" s="25" t="n">
        <f aca="false">IFERROR(L116/Settings!$B$8,0)</f>
        <v>2.81818181818182</v>
      </c>
      <c r="T116" s="26" t="n">
        <f aca="false">IF(OR(B116="",P116="End of life"),0,W116*MIN(4,N116))</f>
        <v>0</v>
      </c>
      <c r="U116" s="27" t="n">
        <f aca="false">T116*Q116</f>
        <v>0</v>
      </c>
      <c r="V116" s="14" t="n">
        <f aca="false">IF(B116="",0,G116*N(IFERROR(INDEX(Options!$K$6:$K$85,MATCH($B116,Options!$A$6:$A$85,0)),"")))</f>
        <v>425.6</v>
      </c>
      <c r="W116" s="26" t="n">
        <f aca="false">IF(B116="",0,IF(N116&gt;=4,S116,(H116+I116+J116+K116)/(4-N116)))</f>
        <v>3</v>
      </c>
    </row>
    <row r="117" customFormat="false" ht="15" hidden="false" customHeight="false" outlineLevel="0" collapsed="false">
      <c r="A117" s="16" t="s">
        <v>447</v>
      </c>
      <c r="B117" s="16" t="s">
        <v>239</v>
      </c>
      <c r="C117" s="16" t="s">
        <v>337</v>
      </c>
      <c r="D117" s="16" t="s">
        <v>183</v>
      </c>
      <c r="E117" s="16" t="n">
        <v>67</v>
      </c>
      <c r="F117" s="16" t="n">
        <v>0</v>
      </c>
      <c r="G117" s="16" t="n">
        <v>15</v>
      </c>
      <c r="H117" s="16" t="n">
        <v>2</v>
      </c>
      <c r="I117" s="16" t="n">
        <v>2</v>
      </c>
      <c r="J117" s="16" t="n">
        <v>2</v>
      </c>
      <c r="K117" s="16" t="n">
        <v>3</v>
      </c>
      <c r="L117" s="16" t="n">
        <v>52</v>
      </c>
      <c r="M117" s="16" t="n">
        <v>46</v>
      </c>
      <c r="N117" s="16" t="n">
        <v>0</v>
      </c>
      <c r="O117" s="9" t="str">
        <f aca="false">IF(B117="","",IFERROR(INDEX(Options!$G$6:$G$85,MATCH($B117,Options!$A$6:$A$85,0)),""))</f>
        <v>Letter</v>
      </c>
      <c r="P117" s="9" t="str">
        <f aca="false">IF(B117="","",IFERROR(INDEX(Options!$H$6:$H$85,MATCH($B117,Options!$A$6:$A$85,0)),""))</f>
        <v>Seasonal</v>
      </c>
      <c r="Q117" s="24" t="n">
        <f aca="false">IF(B117="",0,N(IFERROR(INDEX(Options!$J$6:$J$85,MATCH($B117,Options!$A$6:$A$85,0)),"")))</f>
        <v>70</v>
      </c>
      <c r="R117" s="25" t="n">
        <f aca="false">K117*Settings!$B$10+J117*Settings!$B$11+I117*Settings!$B$12+H117*Settings!$B$13</f>
        <v>2.4</v>
      </c>
      <c r="S117" s="25" t="n">
        <f aca="false">IFERROR(L117/Settings!$B$8,0)</f>
        <v>2.36363636363636</v>
      </c>
      <c r="T117" s="26" t="n">
        <f aca="false">IF(OR(B117="",P117="End of life"),0,W117*MIN(4,N117))</f>
        <v>0</v>
      </c>
      <c r="U117" s="27" t="n">
        <f aca="false">T117*Q117</f>
        <v>0</v>
      </c>
      <c r="V117" s="14" t="n">
        <f aca="false">IF(B117="",0,G117*N(IFERROR(INDEX(Options!$K$6:$K$85,MATCH($B117,Options!$A$6:$A$85,0)),"")))</f>
        <v>399</v>
      </c>
      <c r="W117" s="26" t="n">
        <f aca="false">IF(B117="",0,IF(N117&gt;=4,S117,(H117+I117+J117+K117)/(4-N117)))</f>
        <v>2.25</v>
      </c>
    </row>
    <row r="118" customFormat="false" ht="15" hidden="false" customHeight="false" outlineLevel="0" collapsed="false">
      <c r="A118" s="16" t="s">
        <v>448</v>
      </c>
      <c r="B118" s="16" t="s">
        <v>239</v>
      </c>
      <c r="C118" s="16" t="s">
        <v>339</v>
      </c>
      <c r="D118" s="16"/>
      <c r="E118" s="16" t="n">
        <v>36</v>
      </c>
      <c r="F118" s="16" t="n">
        <v>0</v>
      </c>
      <c r="G118" s="16" t="n">
        <v>8</v>
      </c>
      <c r="H118" s="16" t="n">
        <v>1</v>
      </c>
      <c r="I118" s="16" t="n">
        <v>1</v>
      </c>
      <c r="J118" s="16" t="n">
        <v>1</v>
      </c>
      <c r="K118" s="16" t="n">
        <v>1</v>
      </c>
      <c r="L118" s="16" t="n">
        <v>28</v>
      </c>
      <c r="M118" s="16" t="n">
        <v>25</v>
      </c>
      <c r="N118" s="16" t="n">
        <v>0</v>
      </c>
      <c r="O118" s="9" t="str">
        <f aca="false">IF(B118="","",IFERROR(INDEX(Options!$G$6:$G$85,MATCH($B118,Options!$A$6:$A$85,0)),""))</f>
        <v>Letter</v>
      </c>
      <c r="P118" s="9" t="str">
        <f aca="false">IF(B118="","",IFERROR(INDEX(Options!$H$6:$H$85,MATCH($B118,Options!$A$6:$A$85,0)),""))</f>
        <v>Seasonal</v>
      </c>
      <c r="Q118" s="24" t="n">
        <f aca="false">IF(B118="",0,N(IFERROR(INDEX(Options!$J$6:$J$85,MATCH($B118,Options!$A$6:$A$85,0)),"")))</f>
        <v>70</v>
      </c>
      <c r="R118" s="25" t="n">
        <f aca="false">K118*Settings!$B$10+J118*Settings!$B$11+I118*Settings!$B$12+H118*Settings!$B$13</f>
        <v>1</v>
      </c>
      <c r="S118" s="25" t="n">
        <f aca="false">IFERROR(L118/Settings!$B$8,0)</f>
        <v>1.27272727272727</v>
      </c>
      <c r="T118" s="26" t="n">
        <f aca="false">IF(OR(B118="",P118="End of life"),0,W118*MIN(4,N118))</f>
        <v>0</v>
      </c>
      <c r="U118" s="27" t="n">
        <f aca="false">T118*Q118</f>
        <v>0</v>
      </c>
      <c r="V118" s="14" t="n">
        <f aca="false">IF(B118="",0,G118*N(IFERROR(INDEX(Options!$K$6:$K$85,MATCH($B118,Options!$A$6:$A$85,0)),"")))</f>
        <v>212.8</v>
      </c>
      <c r="W118" s="26" t="n">
        <f aca="false">IF(B118="",0,IF(N118&gt;=4,S118,(H118+I118+J118+K118)/(4-N118)))</f>
        <v>1</v>
      </c>
    </row>
    <row r="119" customFormat="false" ht="15" hidden="false" customHeight="false" outlineLevel="0" collapsed="false">
      <c r="A119" s="16" t="s">
        <v>449</v>
      </c>
      <c r="B119" s="16" t="s">
        <v>239</v>
      </c>
      <c r="C119" s="16" t="s">
        <v>341</v>
      </c>
      <c r="D119" s="16"/>
      <c r="E119" s="16" t="n">
        <v>21</v>
      </c>
      <c r="F119" s="16" t="n">
        <v>0</v>
      </c>
      <c r="G119" s="16" t="n">
        <v>9</v>
      </c>
      <c r="H119" s="16" t="n">
        <v>1</v>
      </c>
      <c r="I119" s="16" t="n">
        <v>0</v>
      </c>
      <c r="J119" s="16" t="n">
        <v>1</v>
      </c>
      <c r="K119" s="16" t="n">
        <v>1</v>
      </c>
      <c r="L119" s="16" t="n">
        <v>12</v>
      </c>
      <c r="M119" s="16" t="n">
        <v>11</v>
      </c>
      <c r="N119" s="16" t="n">
        <v>0</v>
      </c>
      <c r="O119" s="9" t="str">
        <f aca="false">IF(B119="","",IFERROR(INDEX(Options!$G$6:$G$85,MATCH($B119,Options!$A$6:$A$85,0)),""))</f>
        <v>Letter</v>
      </c>
      <c r="P119" s="9" t="str">
        <f aca="false">IF(B119="","",IFERROR(INDEX(Options!$H$6:$H$85,MATCH($B119,Options!$A$6:$A$85,0)),""))</f>
        <v>Seasonal</v>
      </c>
      <c r="Q119" s="24" t="n">
        <f aca="false">IF(B119="",0,N(IFERROR(INDEX(Options!$J$6:$J$85,MATCH($B119,Options!$A$6:$A$85,0)),"")))</f>
        <v>70</v>
      </c>
      <c r="R119" s="25" t="n">
        <f aca="false">K119*Settings!$B$10+J119*Settings!$B$11+I119*Settings!$B$12+H119*Settings!$B$13</f>
        <v>0.8</v>
      </c>
      <c r="S119" s="25" t="n">
        <f aca="false">IFERROR(L119/Settings!$B$8,0)</f>
        <v>0.545454545454545</v>
      </c>
      <c r="T119" s="26" t="n">
        <f aca="false">IF(OR(B119="",P119="End of life"),0,W119*MIN(4,N119))</f>
        <v>0</v>
      </c>
      <c r="U119" s="27" t="n">
        <f aca="false">T119*Q119</f>
        <v>0</v>
      </c>
      <c r="V119" s="14" t="n">
        <f aca="false">IF(B119="",0,G119*N(IFERROR(INDEX(Options!$K$6:$K$85,MATCH($B119,Options!$A$6:$A$85,0)),"")))</f>
        <v>239.4</v>
      </c>
      <c r="W119" s="26" t="n">
        <f aca="false">IF(B119="",0,IF(N119&gt;=4,S119,(H119+I119+J119+K119)/(4-N119)))</f>
        <v>0.75</v>
      </c>
    </row>
    <row r="120" customFormat="false" ht="15" hidden="false" customHeight="false" outlineLevel="0" collapsed="false">
      <c r="A120" s="16" t="s">
        <v>450</v>
      </c>
      <c r="B120" s="16" t="s">
        <v>241</v>
      </c>
      <c r="C120" s="16" t="s">
        <v>331</v>
      </c>
      <c r="D120" s="16"/>
      <c r="E120" s="16" t="n">
        <v>55</v>
      </c>
      <c r="F120" s="16" t="n">
        <v>0</v>
      </c>
      <c r="G120" s="16" t="n">
        <v>27</v>
      </c>
      <c r="H120" s="16" t="n">
        <v>1</v>
      </c>
      <c r="I120" s="16" t="n">
        <v>1</v>
      </c>
      <c r="J120" s="16" t="n">
        <v>1</v>
      </c>
      <c r="K120" s="16" t="n">
        <v>2</v>
      </c>
      <c r="L120" s="16" t="n">
        <v>28</v>
      </c>
      <c r="M120" s="16" t="n">
        <v>25</v>
      </c>
      <c r="N120" s="16" t="n">
        <v>0</v>
      </c>
      <c r="O120" s="9" t="str">
        <f aca="false">IF(B120="","",IFERROR(INDEX(Options!$G$6:$G$85,MATCH($B120,Options!$A$6:$A$85,0)),""))</f>
        <v>Letter</v>
      </c>
      <c r="P120" s="9" t="str">
        <f aca="false">IF(B120="","",IFERROR(INDEX(Options!$H$6:$H$85,MATCH($B120,Options!$A$6:$A$85,0)),""))</f>
        <v>Seasonal</v>
      </c>
      <c r="Q120" s="24" t="n">
        <f aca="false">IF(B120="",0,N(IFERROR(INDEX(Options!$J$6:$J$85,MATCH($B120,Options!$A$6:$A$85,0)),"")))</f>
        <v>70</v>
      </c>
      <c r="R120" s="25" t="n">
        <f aca="false">K120*Settings!$B$10+J120*Settings!$B$11+I120*Settings!$B$12+H120*Settings!$B$13</f>
        <v>1.4</v>
      </c>
      <c r="S120" s="25" t="n">
        <f aca="false">IFERROR(L120/Settings!$B$8,0)</f>
        <v>1.27272727272727</v>
      </c>
      <c r="T120" s="26" t="n">
        <f aca="false">IF(OR(B120="",P120="End of life"),0,W120*MIN(4,N120))</f>
        <v>0</v>
      </c>
      <c r="U120" s="27" t="n">
        <f aca="false">T120*Q120</f>
        <v>0</v>
      </c>
      <c r="V120" s="14" t="n">
        <f aca="false">IF(B120="",0,G120*N(IFERROR(INDEX(Options!$K$6:$K$85,MATCH($B120,Options!$A$6:$A$85,0)),"")))</f>
        <v>718.2</v>
      </c>
      <c r="W120" s="26" t="n">
        <f aca="false">IF(B120="",0,IF(N120&gt;=4,S120,(H120+I120+J120+K120)/(4-N120)))</f>
        <v>1.25</v>
      </c>
    </row>
    <row r="121" customFormat="false" ht="15" hidden="false" customHeight="false" outlineLevel="0" collapsed="false">
      <c r="A121" s="16" t="s">
        <v>451</v>
      </c>
      <c r="B121" s="16" t="s">
        <v>241</v>
      </c>
      <c r="C121" s="16" t="s">
        <v>333</v>
      </c>
      <c r="D121" s="16" t="s">
        <v>183</v>
      </c>
      <c r="E121" s="16" t="n">
        <v>122</v>
      </c>
      <c r="F121" s="16" t="n">
        <v>0</v>
      </c>
      <c r="G121" s="16" t="n">
        <v>37</v>
      </c>
      <c r="H121" s="16" t="n">
        <v>4</v>
      </c>
      <c r="I121" s="16" t="n">
        <v>4</v>
      </c>
      <c r="J121" s="16" t="n">
        <v>4</v>
      </c>
      <c r="K121" s="16" t="n">
        <v>4</v>
      </c>
      <c r="L121" s="16" t="n">
        <v>85</v>
      </c>
      <c r="M121" s="16" t="n">
        <v>75</v>
      </c>
      <c r="N121" s="16" t="n">
        <v>0</v>
      </c>
      <c r="O121" s="9" t="str">
        <f aca="false">IF(B121="","",IFERROR(INDEX(Options!$G$6:$G$85,MATCH($B121,Options!$A$6:$A$85,0)),""))</f>
        <v>Letter</v>
      </c>
      <c r="P121" s="9" t="str">
        <f aca="false">IF(B121="","",IFERROR(INDEX(Options!$H$6:$H$85,MATCH($B121,Options!$A$6:$A$85,0)),""))</f>
        <v>Seasonal</v>
      </c>
      <c r="Q121" s="24" t="n">
        <f aca="false">IF(B121="",0,N(IFERROR(INDEX(Options!$J$6:$J$85,MATCH($B121,Options!$A$6:$A$85,0)),"")))</f>
        <v>70</v>
      </c>
      <c r="R121" s="25" t="n">
        <f aca="false">K121*Settings!$B$10+J121*Settings!$B$11+I121*Settings!$B$12+H121*Settings!$B$13</f>
        <v>4</v>
      </c>
      <c r="S121" s="25" t="n">
        <f aca="false">IFERROR(L121/Settings!$B$8,0)</f>
        <v>3.86363636363636</v>
      </c>
      <c r="T121" s="26" t="n">
        <f aca="false">IF(OR(B121="",P121="End of life"),0,W121*MIN(4,N121))</f>
        <v>0</v>
      </c>
      <c r="U121" s="27" t="n">
        <f aca="false">T121*Q121</f>
        <v>0</v>
      </c>
      <c r="V121" s="14" t="n">
        <f aca="false">IF(B121="",0,G121*N(IFERROR(INDEX(Options!$K$6:$K$85,MATCH($B121,Options!$A$6:$A$85,0)),"")))</f>
        <v>984.2</v>
      </c>
      <c r="W121" s="26" t="n">
        <f aca="false">IF(B121="",0,IF(N121&gt;=4,S121,(H121+I121+J121+K121)/(4-N121)))</f>
        <v>4</v>
      </c>
    </row>
    <row r="122" customFormat="false" ht="15" hidden="false" customHeight="false" outlineLevel="0" collapsed="false">
      <c r="A122" s="16" t="s">
        <v>452</v>
      </c>
      <c r="B122" s="16" t="s">
        <v>241</v>
      </c>
      <c r="C122" s="16" t="s">
        <v>335</v>
      </c>
      <c r="D122" s="16" t="s">
        <v>183</v>
      </c>
      <c r="E122" s="16" t="n">
        <v>204</v>
      </c>
      <c r="F122" s="16" t="n">
        <v>0</v>
      </c>
      <c r="G122" s="16" t="n">
        <v>69</v>
      </c>
      <c r="H122" s="16" t="n">
        <v>7</v>
      </c>
      <c r="I122" s="16" t="n">
        <v>5</v>
      </c>
      <c r="J122" s="16" t="n">
        <v>7</v>
      </c>
      <c r="K122" s="16" t="n">
        <v>8</v>
      </c>
      <c r="L122" s="16" t="n">
        <v>135</v>
      </c>
      <c r="M122" s="16" t="n">
        <v>119</v>
      </c>
      <c r="N122" s="16" t="n">
        <v>0</v>
      </c>
      <c r="O122" s="9" t="str">
        <f aca="false">IF(B122="","",IFERROR(INDEX(Options!$G$6:$G$85,MATCH($B122,Options!$A$6:$A$85,0)),""))</f>
        <v>Letter</v>
      </c>
      <c r="P122" s="9" t="str">
        <f aca="false">IF(B122="","",IFERROR(INDEX(Options!$H$6:$H$85,MATCH($B122,Options!$A$6:$A$85,0)),""))</f>
        <v>Seasonal</v>
      </c>
      <c r="Q122" s="24" t="n">
        <f aca="false">IF(B122="",0,N(IFERROR(INDEX(Options!$J$6:$J$85,MATCH($B122,Options!$A$6:$A$85,0)),"")))</f>
        <v>70</v>
      </c>
      <c r="R122" s="25" t="n">
        <f aca="false">K122*Settings!$B$10+J122*Settings!$B$11+I122*Settings!$B$12+H122*Settings!$B$13</f>
        <v>7</v>
      </c>
      <c r="S122" s="25" t="n">
        <f aca="false">IFERROR(L122/Settings!$B$8,0)</f>
        <v>6.13636363636364</v>
      </c>
      <c r="T122" s="26" t="n">
        <f aca="false">IF(OR(B122="",P122="End of life"),0,W122*MIN(4,N122))</f>
        <v>0</v>
      </c>
      <c r="U122" s="27" t="n">
        <f aca="false">T122*Q122</f>
        <v>0</v>
      </c>
      <c r="V122" s="14" t="n">
        <f aca="false">IF(B122="",0,G122*N(IFERROR(INDEX(Options!$K$6:$K$85,MATCH($B122,Options!$A$6:$A$85,0)),"")))</f>
        <v>1835.4</v>
      </c>
      <c r="W122" s="26" t="n">
        <f aca="false">IF(B122="",0,IF(N122&gt;=4,S122,(H122+I122+J122+K122)/(4-N122)))</f>
        <v>6.75</v>
      </c>
    </row>
    <row r="123" customFormat="false" ht="15" hidden="false" customHeight="false" outlineLevel="0" collapsed="false">
      <c r="A123" s="16" t="s">
        <v>453</v>
      </c>
      <c r="B123" s="16" t="s">
        <v>241</v>
      </c>
      <c r="C123" s="16" t="s">
        <v>337</v>
      </c>
      <c r="D123" s="16" t="s">
        <v>183</v>
      </c>
      <c r="E123" s="16" t="n">
        <v>177</v>
      </c>
      <c r="F123" s="16" t="n">
        <v>0</v>
      </c>
      <c r="G123" s="16" t="n">
        <v>51</v>
      </c>
      <c r="H123" s="16" t="n">
        <v>4</v>
      </c>
      <c r="I123" s="16" t="n">
        <v>5</v>
      </c>
      <c r="J123" s="16" t="n">
        <v>7</v>
      </c>
      <c r="K123" s="16" t="n">
        <v>7</v>
      </c>
      <c r="L123" s="16" t="n">
        <v>126</v>
      </c>
      <c r="M123" s="16" t="n">
        <v>111</v>
      </c>
      <c r="N123" s="16" t="n">
        <v>0</v>
      </c>
      <c r="O123" s="9" t="str">
        <f aca="false">IF(B123="","",IFERROR(INDEX(Options!$G$6:$G$85,MATCH($B123,Options!$A$6:$A$85,0)),""))</f>
        <v>Letter</v>
      </c>
      <c r="P123" s="9" t="str">
        <f aca="false">IF(B123="","",IFERROR(INDEX(Options!$H$6:$H$85,MATCH($B123,Options!$A$6:$A$85,0)),""))</f>
        <v>Seasonal</v>
      </c>
      <c r="Q123" s="24" t="n">
        <f aca="false">IF(B123="",0,N(IFERROR(INDEX(Options!$J$6:$J$85,MATCH($B123,Options!$A$6:$A$85,0)),"")))</f>
        <v>70</v>
      </c>
      <c r="R123" s="25" t="n">
        <f aca="false">K123*Settings!$B$10+J123*Settings!$B$11+I123*Settings!$B$12+H123*Settings!$B$13</f>
        <v>6.3</v>
      </c>
      <c r="S123" s="25" t="n">
        <f aca="false">IFERROR(L123/Settings!$B$8,0)</f>
        <v>5.72727272727273</v>
      </c>
      <c r="T123" s="26" t="n">
        <f aca="false">IF(OR(B123="",P123="End of life"),0,W123*MIN(4,N123))</f>
        <v>0</v>
      </c>
      <c r="U123" s="27" t="n">
        <f aca="false">T123*Q123</f>
        <v>0</v>
      </c>
      <c r="V123" s="14" t="n">
        <f aca="false">IF(B123="",0,G123*N(IFERROR(INDEX(Options!$K$6:$K$85,MATCH($B123,Options!$A$6:$A$85,0)),"")))</f>
        <v>1356.6</v>
      </c>
      <c r="W123" s="26" t="n">
        <f aca="false">IF(B123="",0,IF(N123&gt;=4,S123,(H123+I123+J123+K123)/(4-N123)))</f>
        <v>5.75</v>
      </c>
    </row>
    <row r="124" customFormat="false" ht="15" hidden="false" customHeight="false" outlineLevel="0" collapsed="false">
      <c r="A124" s="16" t="s">
        <v>454</v>
      </c>
      <c r="B124" s="16" t="s">
        <v>241</v>
      </c>
      <c r="C124" s="16" t="s">
        <v>339</v>
      </c>
      <c r="D124" s="16"/>
      <c r="E124" s="16" t="n">
        <v>95</v>
      </c>
      <c r="F124" s="16" t="n">
        <v>0</v>
      </c>
      <c r="G124" s="16" t="n">
        <v>24</v>
      </c>
      <c r="H124" s="16" t="n">
        <v>3</v>
      </c>
      <c r="I124" s="16" t="n">
        <v>3</v>
      </c>
      <c r="J124" s="16" t="n">
        <v>3</v>
      </c>
      <c r="K124" s="16" t="n">
        <v>4</v>
      </c>
      <c r="L124" s="16" t="n">
        <v>71</v>
      </c>
      <c r="M124" s="16" t="n">
        <v>62</v>
      </c>
      <c r="N124" s="16" t="n">
        <v>0</v>
      </c>
      <c r="O124" s="9" t="str">
        <f aca="false">IF(B124="","",IFERROR(INDEX(Options!$G$6:$G$85,MATCH($B124,Options!$A$6:$A$85,0)),""))</f>
        <v>Letter</v>
      </c>
      <c r="P124" s="9" t="str">
        <f aca="false">IF(B124="","",IFERROR(INDEX(Options!$H$6:$H$85,MATCH($B124,Options!$A$6:$A$85,0)),""))</f>
        <v>Seasonal</v>
      </c>
      <c r="Q124" s="24" t="n">
        <f aca="false">IF(B124="",0,N(IFERROR(INDEX(Options!$J$6:$J$85,MATCH($B124,Options!$A$6:$A$85,0)),"")))</f>
        <v>70</v>
      </c>
      <c r="R124" s="25" t="n">
        <f aca="false">K124*Settings!$B$10+J124*Settings!$B$11+I124*Settings!$B$12+H124*Settings!$B$13</f>
        <v>3.4</v>
      </c>
      <c r="S124" s="25" t="n">
        <f aca="false">IFERROR(L124/Settings!$B$8,0)</f>
        <v>3.22727272727273</v>
      </c>
      <c r="T124" s="26" t="n">
        <f aca="false">IF(OR(B124="",P124="End of life"),0,W124*MIN(4,N124))</f>
        <v>0</v>
      </c>
      <c r="U124" s="27" t="n">
        <f aca="false">T124*Q124</f>
        <v>0</v>
      </c>
      <c r="V124" s="14" t="n">
        <f aca="false">IF(B124="",0,G124*N(IFERROR(INDEX(Options!$K$6:$K$85,MATCH($B124,Options!$A$6:$A$85,0)),"")))</f>
        <v>638.4</v>
      </c>
      <c r="W124" s="26" t="n">
        <f aca="false">IF(B124="",0,IF(N124&gt;=4,S124,(H124+I124+J124+K124)/(4-N124)))</f>
        <v>3.25</v>
      </c>
    </row>
    <row r="125" customFormat="false" ht="15" hidden="false" customHeight="false" outlineLevel="0" collapsed="false">
      <c r="A125" s="16" t="s">
        <v>455</v>
      </c>
      <c r="B125" s="16" t="s">
        <v>241</v>
      </c>
      <c r="C125" s="16" t="s">
        <v>341</v>
      </c>
      <c r="D125" s="16"/>
      <c r="E125" s="16" t="n">
        <v>55</v>
      </c>
      <c r="F125" s="16" t="n">
        <v>0</v>
      </c>
      <c r="G125" s="16" t="n">
        <v>24</v>
      </c>
      <c r="H125" s="16" t="n">
        <v>1</v>
      </c>
      <c r="I125" s="16" t="n">
        <v>1</v>
      </c>
      <c r="J125" s="16" t="n">
        <v>2</v>
      </c>
      <c r="K125" s="16" t="n">
        <v>1</v>
      </c>
      <c r="L125" s="16" t="n">
        <v>31</v>
      </c>
      <c r="M125" s="16" t="n">
        <v>27</v>
      </c>
      <c r="N125" s="16" t="n">
        <v>0</v>
      </c>
      <c r="O125" s="9" t="str">
        <f aca="false">IF(B125="","",IFERROR(INDEX(Options!$G$6:$G$85,MATCH($B125,Options!$A$6:$A$85,0)),""))</f>
        <v>Letter</v>
      </c>
      <c r="P125" s="9" t="str">
        <f aca="false">IF(B125="","",IFERROR(INDEX(Options!$H$6:$H$85,MATCH($B125,Options!$A$6:$A$85,0)),""))</f>
        <v>Seasonal</v>
      </c>
      <c r="Q125" s="24" t="n">
        <f aca="false">IF(B125="",0,N(IFERROR(INDEX(Options!$J$6:$J$85,MATCH($B125,Options!$A$6:$A$85,0)),"")))</f>
        <v>70</v>
      </c>
      <c r="R125" s="25" t="n">
        <f aca="false">K125*Settings!$B$10+J125*Settings!$B$11+I125*Settings!$B$12+H125*Settings!$B$13</f>
        <v>1.3</v>
      </c>
      <c r="S125" s="25" t="n">
        <f aca="false">IFERROR(L125/Settings!$B$8,0)</f>
        <v>1.40909090909091</v>
      </c>
      <c r="T125" s="26" t="n">
        <f aca="false">IF(OR(B125="",P125="End of life"),0,W125*MIN(4,N125))</f>
        <v>0</v>
      </c>
      <c r="U125" s="27" t="n">
        <f aca="false">T125*Q125</f>
        <v>0</v>
      </c>
      <c r="V125" s="14" t="n">
        <f aca="false">IF(B125="",0,G125*N(IFERROR(INDEX(Options!$K$6:$K$85,MATCH($B125,Options!$A$6:$A$85,0)),"")))</f>
        <v>638.4</v>
      </c>
      <c r="W125" s="26" t="n">
        <f aca="false">IF(B125="",0,IF(N125&gt;=4,S125,(H125+I125+J125+K125)/(4-N125)))</f>
        <v>1.25</v>
      </c>
    </row>
    <row r="126" customFormat="false" ht="15" hidden="false" customHeight="false" outlineLevel="0" collapsed="false">
      <c r="A126" s="16" t="s">
        <v>456</v>
      </c>
      <c r="B126" s="16" t="s">
        <v>242</v>
      </c>
      <c r="C126" s="16" t="s">
        <v>331</v>
      </c>
      <c r="D126" s="16"/>
      <c r="E126" s="16" t="n">
        <v>8</v>
      </c>
      <c r="F126" s="16" t="n">
        <v>0</v>
      </c>
      <c r="G126" s="16" t="n">
        <v>7</v>
      </c>
      <c r="H126" s="16" t="n">
        <v>0</v>
      </c>
      <c r="I126" s="16" t="n">
        <v>0</v>
      </c>
      <c r="J126" s="16" t="n">
        <v>0</v>
      </c>
      <c r="K126" s="16" t="n">
        <v>0</v>
      </c>
      <c r="L126" s="16" t="n">
        <v>1</v>
      </c>
      <c r="M126" s="16" t="n">
        <v>1</v>
      </c>
      <c r="N126" s="16" t="n">
        <v>0</v>
      </c>
      <c r="O126" s="9" t="str">
        <f aca="false">IF(B126="","",IFERROR(INDEX(Options!$G$6:$G$85,MATCH($B126,Options!$A$6:$A$85,0)),""))</f>
        <v>Letter</v>
      </c>
      <c r="P126" s="9" t="str">
        <f aca="false">IF(B126="","",IFERROR(INDEX(Options!$H$6:$H$85,MATCH($B126,Options!$A$6:$A$85,0)),""))</f>
        <v>Seasonal</v>
      </c>
      <c r="Q126" s="24" t="n">
        <f aca="false">IF(B126="",0,N(IFERROR(INDEX(Options!$J$6:$J$85,MATCH($B126,Options!$A$6:$A$85,0)),"")))</f>
        <v>70</v>
      </c>
      <c r="R126" s="25" t="n">
        <f aca="false">K126*Settings!$B$10+J126*Settings!$B$11+I126*Settings!$B$12+H126*Settings!$B$13</f>
        <v>0</v>
      </c>
      <c r="S126" s="25" t="n">
        <f aca="false">IFERROR(L126/Settings!$B$8,0)</f>
        <v>0.0454545454545455</v>
      </c>
      <c r="T126" s="26" t="n">
        <f aca="false">IF(OR(B126="",P126="End of life"),0,W126*MIN(4,N126))</f>
        <v>0</v>
      </c>
      <c r="U126" s="27" t="n">
        <f aca="false">T126*Q126</f>
        <v>0</v>
      </c>
      <c r="V126" s="14" t="n">
        <f aca="false">IF(B126="",0,G126*N(IFERROR(INDEX(Options!$K$6:$K$85,MATCH($B126,Options!$A$6:$A$85,0)),"")))</f>
        <v>186.2</v>
      </c>
      <c r="W126" s="26" t="n">
        <f aca="false">IF(B126="",0,IF(N126&gt;=4,S126,(H126+I126+J126+K126)/(4-N126)))</f>
        <v>0</v>
      </c>
    </row>
    <row r="127" customFormat="false" ht="15" hidden="false" customHeight="false" outlineLevel="0" collapsed="false">
      <c r="A127" s="16" t="s">
        <v>457</v>
      </c>
      <c r="B127" s="16" t="s">
        <v>242</v>
      </c>
      <c r="C127" s="16" t="s">
        <v>333</v>
      </c>
      <c r="D127" s="16" t="s">
        <v>183</v>
      </c>
      <c r="E127" s="16" t="n">
        <v>18</v>
      </c>
      <c r="F127" s="16" t="n">
        <v>0</v>
      </c>
      <c r="G127" s="16" t="n">
        <v>16</v>
      </c>
      <c r="H127" s="16" t="n">
        <v>0</v>
      </c>
      <c r="I127" s="16" t="n">
        <v>0</v>
      </c>
      <c r="J127" s="16" t="n">
        <v>0</v>
      </c>
      <c r="K127" s="16" t="n">
        <v>0</v>
      </c>
      <c r="L127" s="16" t="n">
        <v>2</v>
      </c>
      <c r="M127" s="16" t="n">
        <v>2</v>
      </c>
      <c r="N127" s="16" t="n">
        <v>0</v>
      </c>
      <c r="O127" s="9" t="str">
        <f aca="false">IF(B127="","",IFERROR(INDEX(Options!$G$6:$G$85,MATCH($B127,Options!$A$6:$A$85,0)),""))</f>
        <v>Letter</v>
      </c>
      <c r="P127" s="9" t="str">
        <f aca="false">IF(B127="","",IFERROR(INDEX(Options!$H$6:$H$85,MATCH($B127,Options!$A$6:$A$85,0)),""))</f>
        <v>Seasonal</v>
      </c>
      <c r="Q127" s="24" t="n">
        <f aca="false">IF(B127="",0,N(IFERROR(INDEX(Options!$J$6:$J$85,MATCH($B127,Options!$A$6:$A$85,0)),"")))</f>
        <v>70</v>
      </c>
      <c r="R127" s="25" t="n">
        <f aca="false">K127*Settings!$B$10+J127*Settings!$B$11+I127*Settings!$B$12+H127*Settings!$B$13</f>
        <v>0</v>
      </c>
      <c r="S127" s="25" t="n">
        <f aca="false">IFERROR(L127/Settings!$B$8,0)</f>
        <v>0.0909090909090909</v>
      </c>
      <c r="T127" s="26" t="n">
        <f aca="false">IF(OR(B127="",P127="End of life"),0,W127*MIN(4,N127))</f>
        <v>0</v>
      </c>
      <c r="U127" s="27" t="n">
        <f aca="false">T127*Q127</f>
        <v>0</v>
      </c>
      <c r="V127" s="14" t="n">
        <f aca="false">IF(B127="",0,G127*N(IFERROR(INDEX(Options!$K$6:$K$85,MATCH($B127,Options!$A$6:$A$85,0)),"")))</f>
        <v>425.6</v>
      </c>
      <c r="W127" s="26" t="n">
        <f aca="false">IF(B127="",0,IF(N127&gt;=4,S127,(H127+I127+J127+K127)/(4-N127)))</f>
        <v>0</v>
      </c>
    </row>
    <row r="128" customFormat="false" ht="15" hidden="false" customHeight="false" outlineLevel="0" collapsed="false">
      <c r="A128" s="16" t="s">
        <v>458</v>
      </c>
      <c r="B128" s="16" t="s">
        <v>242</v>
      </c>
      <c r="C128" s="16" t="s">
        <v>335</v>
      </c>
      <c r="D128" s="16" t="s">
        <v>183</v>
      </c>
      <c r="E128" s="16" t="n">
        <v>30</v>
      </c>
      <c r="F128" s="16" t="n">
        <v>0</v>
      </c>
      <c r="G128" s="16" t="n">
        <v>27</v>
      </c>
      <c r="H128" s="16" t="n">
        <v>1</v>
      </c>
      <c r="I128" s="16" t="n">
        <v>0</v>
      </c>
      <c r="J128" s="16" t="n">
        <v>1</v>
      </c>
      <c r="K128" s="16" t="n">
        <v>0</v>
      </c>
      <c r="L128" s="16" t="n">
        <v>3</v>
      </c>
      <c r="M128" s="16" t="n">
        <v>3</v>
      </c>
      <c r="N128" s="16" t="n">
        <v>0</v>
      </c>
      <c r="O128" s="9" t="str">
        <f aca="false">IF(B128="","",IFERROR(INDEX(Options!$G$6:$G$85,MATCH($B128,Options!$A$6:$A$85,0)),""))</f>
        <v>Letter</v>
      </c>
      <c r="P128" s="9" t="str">
        <f aca="false">IF(B128="","",IFERROR(INDEX(Options!$H$6:$H$85,MATCH($B128,Options!$A$6:$A$85,0)),""))</f>
        <v>Seasonal</v>
      </c>
      <c r="Q128" s="24" t="n">
        <f aca="false">IF(B128="",0,N(IFERROR(INDEX(Options!$J$6:$J$85,MATCH($B128,Options!$A$6:$A$85,0)),"")))</f>
        <v>70</v>
      </c>
      <c r="R128" s="25" t="n">
        <f aca="false">K128*Settings!$B$10+J128*Settings!$B$11+I128*Settings!$B$12+H128*Settings!$B$13</f>
        <v>0.4</v>
      </c>
      <c r="S128" s="25" t="n">
        <f aca="false">IFERROR(L128/Settings!$B$8,0)</f>
        <v>0.136363636363636</v>
      </c>
      <c r="T128" s="26" t="n">
        <f aca="false">IF(OR(B128="",P128="End of life"),0,W128*MIN(4,N128))</f>
        <v>0</v>
      </c>
      <c r="U128" s="27" t="n">
        <f aca="false">T128*Q128</f>
        <v>0</v>
      </c>
      <c r="V128" s="14" t="n">
        <f aca="false">IF(B128="",0,G128*N(IFERROR(INDEX(Options!$K$6:$K$85,MATCH($B128,Options!$A$6:$A$85,0)),"")))</f>
        <v>718.2</v>
      </c>
      <c r="W128" s="26" t="n">
        <f aca="false">IF(B128="",0,IF(N128&gt;=4,S128,(H128+I128+J128+K128)/(4-N128)))</f>
        <v>0.5</v>
      </c>
    </row>
    <row r="129" customFormat="false" ht="15" hidden="false" customHeight="false" outlineLevel="0" collapsed="false">
      <c r="A129" s="16" t="s">
        <v>459</v>
      </c>
      <c r="B129" s="16" t="s">
        <v>242</v>
      </c>
      <c r="C129" s="16" t="s">
        <v>337</v>
      </c>
      <c r="D129" s="16" t="s">
        <v>183</v>
      </c>
      <c r="E129" s="16" t="n">
        <v>26</v>
      </c>
      <c r="F129" s="16" t="n">
        <v>0</v>
      </c>
      <c r="G129" s="16" t="n">
        <v>24</v>
      </c>
      <c r="H129" s="16" t="n">
        <v>0</v>
      </c>
      <c r="I129" s="16" t="n">
        <v>0</v>
      </c>
      <c r="J129" s="16" t="n">
        <v>1</v>
      </c>
      <c r="K129" s="16" t="n">
        <v>1</v>
      </c>
      <c r="L129" s="16" t="n">
        <v>2</v>
      </c>
      <c r="M129" s="16" t="n">
        <v>2</v>
      </c>
      <c r="N129" s="16" t="n">
        <v>0</v>
      </c>
      <c r="O129" s="9" t="str">
        <f aca="false">IF(B129="","",IFERROR(INDEX(Options!$G$6:$G$85,MATCH($B129,Options!$A$6:$A$85,0)),""))</f>
        <v>Letter</v>
      </c>
      <c r="P129" s="9" t="str">
        <f aca="false">IF(B129="","",IFERROR(INDEX(Options!$H$6:$H$85,MATCH($B129,Options!$A$6:$A$85,0)),""))</f>
        <v>Seasonal</v>
      </c>
      <c r="Q129" s="24" t="n">
        <f aca="false">IF(B129="",0,N(IFERROR(INDEX(Options!$J$6:$J$85,MATCH($B129,Options!$A$6:$A$85,0)),"")))</f>
        <v>70</v>
      </c>
      <c r="R129" s="25" t="n">
        <f aca="false">K129*Settings!$B$10+J129*Settings!$B$11+I129*Settings!$B$12+H129*Settings!$B$13</f>
        <v>0.7</v>
      </c>
      <c r="S129" s="25" t="n">
        <f aca="false">IFERROR(L129/Settings!$B$8,0)</f>
        <v>0.0909090909090909</v>
      </c>
      <c r="T129" s="26" t="n">
        <f aca="false">IF(OR(B129="",P129="End of life"),0,W129*MIN(4,N129))</f>
        <v>0</v>
      </c>
      <c r="U129" s="27" t="n">
        <f aca="false">T129*Q129</f>
        <v>0</v>
      </c>
      <c r="V129" s="14" t="n">
        <f aca="false">IF(B129="",0,G129*N(IFERROR(INDEX(Options!$K$6:$K$85,MATCH($B129,Options!$A$6:$A$85,0)),"")))</f>
        <v>638.4</v>
      </c>
      <c r="W129" s="26" t="n">
        <f aca="false">IF(B129="",0,IF(N129&gt;=4,S129,(H129+I129+J129+K129)/(4-N129)))</f>
        <v>0.5</v>
      </c>
    </row>
    <row r="130" customFormat="false" ht="15" hidden="false" customHeight="false" outlineLevel="0" collapsed="false">
      <c r="A130" s="16" t="s">
        <v>460</v>
      </c>
      <c r="B130" s="16" t="s">
        <v>242</v>
      </c>
      <c r="C130" s="16" t="s">
        <v>339</v>
      </c>
      <c r="D130" s="16"/>
      <c r="E130" s="16" t="n">
        <v>14</v>
      </c>
      <c r="F130" s="16" t="n">
        <v>0</v>
      </c>
      <c r="G130" s="16" t="n">
        <v>13</v>
      </c>
      <c r="H130" s="16" t="n">
        <v>0</v>
      </c>
      <c r="I130" s="16" t="n">
        <v>0</v>
      </c>
      <c r="J130" s="16" t="n">
        <v>0</v>
      </c>
      <c r="K130" s="16" t="n">
        <v>0</v>
      </c>
      <c r="L130" s="16" t="n">
        <v>1</v>
      </c>
      <c r="M130" s="16" t="n">
        <v>1</v>
      </c>
      <c r="N130" s="16" t="n">
        <v>0</v>
      </c>
      <c r="O130" s="9" t="str">
        <f aca="false">IF(B130="","",IFERROR(INDEX(Options!$G$6:$G$85,MATCH($B130,Options!$A$6:$A$85,0)),""))</f>
        <v>Letter</v>
      </c>
      <c r="P130" s="9" t="str">
        <f aca="false">IF(B130="","",IFERROR(INDEX(Options!$H$6:$H$85,MATCH($B130,Options!$A$6:$A$85,0)),""))</f>
        <v>Seasonal</v>
      </c>
      <c r="Q130" s="24" t="n">
        <f aca="false">IF(B130="",0,N(IFERROR(INDEX(Options!$J$6:$J$85,MATCH($B130,Options!$A$6:$A$85,0)),"")))</f>
        <v>70</v>
      </c>
      <c r="R130" s="25" t="n">
        <f aca="false">K130*Settings!$B$10+J130*Settings!$B$11+I130*Settings!$B$12+H130*Settings!$B$13</f>
        <v>0</v>
      </c>
      <c r="S130" s="25" t="n">
        <f aca="false">IFERROR(L130/Settings!$B$8,0)</f>
        <v>0.0454545454545455</v>
      </c>
      <c r="T130" s="26" t="n">
        <f aca="false">IF(OR(B130="",P130="End of life"),0,W130*MIN(4,N130))</f>
        <v>0</v>
      </c>
      <c r="U130" s="27" t="n">
        <f aca="false">T130*Q130</f>
        <v>0</v>
      </c>
      <c r="V130" s="14" t="n">
        <f aca="false">IF(B130="",0,G130*N(IFERROR(INDEX(Options!$K$6:$K$85,MATCH($B130,Options!$A$6:$A$85,0)),"")))</f>
        <v>345.8</v>
      </c>
      <c r="W130" s="26" t="n">
        <f aca="false">IF(B130="",0,IF(N130&gt;=4,S130,(H130+I130+J130+K130)/(4-N130)))</f>
        <v>0</v>
      </c>
    </row>
    <row r="131" customFormat="false" ht="15" hidden="false" customHeight="false" outlineLevel="0" collapsed="false">
      <c r="A131" s="16" t="s">
        <v>461</v>
      </c>
      <c r="B131" s="16" t="s">
        <v>242</v>
      </c>
      <c r="C131" s="16" t="s">
        <v>341</v>
      </c>
      <c r="D131" s="16"/>
      <c r="E131" s="16" t="n">
        <v>8</v>
      </c>
      <c r="F131" s="16" t="n">
        <v>0</v>
      </c>
      <c r="G131" s="16" t="n">
        <v>7</v>
      </c>
      <c r="H131" s="16" t="n">
        <v>0</v>
      </c>
      <c r="I131" s="16" t="n">
        <v>0</v>
      </c>
      <c r="J131" s="16" t="n">
        <v>0</v>
      </c>
      <c r="K131" s="16" t="n">
        <v>0</v>
      </c>
      <c r="L131" s="16" t="n">
        <v>1</v>
      </c>
      <c r="M131" s="16" t="n">
        <v>1</v>
      </c>
      <c r="N131" s="16" t="n">
        <v>0</v>
      </c>
      <c r="O131" s="9" t="str">
        <f aca="false">IF(B131="","",IFERROR(INDEX(Options!$G$6:$G$85,MATCH($B131,Options!$A$6:$A$85,0)),""))</f>
        <v>Letter</v>
      </c>
      <c r="P131" s="9" t="str">
        <f aca="false">IF(B131="","",IFERROR(INDEX(Options!$H$6:$H$85,MATCH($B131,Options!$A$6:$A$85,0)),""))</f>
        <v>Seasonal</v>
      </c>
      <c r="Q131" s="24" t="n">
        <f aca="false">IF(B131="",0,N(IFERROR(INDEX(Options!$J$6:$J$85,MATCH($B131,Options!$A$6:$A$85,0)),"")))</f>
        <v>70</v>
      </c>
      <c r="R131" s="25" t="n">
        <f aca="false">K131*Settings!$B$10+J131*Settings!$B$11+I131*Settings!$B$12+H131*Settings!$B$13</f>
        <v>0</v>
      </c>
      <c r="S131" s="25" t="n">
        <f aca="false">IFERROR(L131/Settings!$B$8,0)</f>
        <v>0.0454545454545455</v>
      </c>
      <c r="T131" s="26" t="n">
        <f aca="false">IF(OR(B131="",P131="End of life"),0,W131*MIN(4,N131))</f>
        <v>0</v>
      </c>
      <c r="U131" s="27" t="n">
        <f aca="false">T131*Q131</f>
        <v>0</v>
      </c>
      <c r="V131" s="14" t="n">
        <f aca="false">IF(B131="",0,G131*N(IFERROR(INDEX(Options!$K$6:$K$85,MATCH($B131,Options!$A$6:$A$85,0)),"")))</f>
        <v>186.2</v>
      </c>
      <c r="W131" s="26" t="n">
        <f aca="false">IF(B131="",0,IF(N131&gt;=4,S131,(H131+I131+J131+K131)/(4-N131)))</f>
        <v>0</v>
      </c>
    </row>
    <row r="132" customFormat="false" ht="15" hidden="false" customHeight="false" outlineLevel="0" collapsed="false">
      <c r="A132" s="16" t="s">
        <v>462</v>
      </c>
      <c r="B132" s="16" t="s">
        <v>245</v>
      </c>
      <c r="C132" s="16" t="s">
        <v>331</v>
      </c>
      <c r="D132" s="16"/>
      <c r="E132" s="16" t="n">
        <v>18</v>
      </c>
      <c r="F132" s="16" t="n">
        <v>0</v>
      </c>
      <c r="G132" s="16" t="n">
        <v>5</v>
      </c>
      <c r="H132" s="16" t="n">
        <v>1</v>
      </c>
      <c r="I132" s="16" t="n">
        <v>1</v>
      </c>
      <c r="J132" s="16" t="n">
        <v>1</v>
      </c>
      <c r="K132" s="16" t="n">
        <v>1</v>
      </c>
      <c r="L132" s="16" t="n">
        <v>13</v>
      </c>
      <c r="M132" s="16" t="n">
        <v>11</v>
      </c>
      <c r="N132" s="16" t="n">
        <v>0</v>
      </c>
      <c r="O132" s="9" t="str">
        <f aca="false">IF(B132="","",IFERROR(INDEX(Options!$G$6:$G$85,MATCH($B132,Options!$A$6:$A$85,0)),""))</f>
        <v>Letter</v>
      </c>
      <c r="P132" s="9" t="str">
        <f aca="false">IF(B132="","",IFERROR(INDEX(Options!$H$6:$H$85,MATCH($B132,Options!$A$6:$A$85,0)),""))</f>
        <v>Seasonal</v>
      </c>
      <c r="Q132" s="24" t="n">
        <f aca="false">IF(B132="",0,N(IFERROR(INDEX(Options!$J$6:$J$85,MATCH($B132,Options!$A$6:$A$85,0)),"")))</f>
        <v>85</v>
      </c>
      <c r="R132" s="25" t="n">
        <f aca="false">K132*Settings!$B$10+J132*Settings!$B$11+I132*Settings!$B$12+H132*Settings!$B$13</f>
        <v>1</v>
      </c>
      <c r="S132" s="25" t="n">
        <f aca="false">IFERROR(L132/Settings!$B$8,0)</f>
        <v>0.590909090909091</v>
      </c>
      <c r="T132" s="26" t="n">
        <f aca="false">IF(OR(B132="",P132="End of life"),0,W132*MIN(4,N132))</f>
        <v>0</v>
      </c>
      <c r="U132" s="27" t="n">
        <f aca="false">T132*Q132</f>
        <v>0</v>
      </c>
      <c r="V132" s="14" t="n">
        <f aca="false">IF(B132="",0,G132*N(IFERROR(INDEX(Options!$K$6:$K$85,MATCH($B132,Options!$A$6:$A$85,0)),"")))</f>
        <v>161.5</v>
      </c>
      <c r="W132" s="26" t="n">
        <f aca="false">IF(B132="",0,IF(N132&gt;=4,S132,(H132+I132+J132+K132)/(4-N132)))</f>
        <v>1</v>
      </c>
    </row>
    <row r="133" customFormat="false" ht="15" hidden="false" customHeight="false" outlineLevel="0" collapsed="false">
      <c r="A133" s="16" t="s">
        <v>463</v>
      </c>
      <c r="B133" s="16" t="s">
        <v>245</v>
      </c>
      <c r="C133" s="16" t="s">
        <v>333</v>
      </c>
      <c r="D133" s="16" t="s">
        <v>183</v>
      </c>
      <c r="E133" s="16" t="n">
        <v>40</v>
      </c>
      <c r="F133" s="16" t="n">
        <v>0</v>
      </c>
      <c r="G133" s="16" t="n">
        <v>2</v>
      </c>
      <c r="H133" s="16" t="n">
        <v>2</v>
      </c>
      <c r="I133" s="16" t="n">
        <v>2</v>
      </c>
      <c r="J133" s="16" t="n">
        <v>3</v>
      </c>
      <c r="K133" s="16" t="n">
        <v>2</v>
      </c>
      <c r="L133" s="16" t="n">
        <v>38</v>
      </c>
      <c r="M133" s="16" t="n">
        <v>33</v>
      </c>
      <c r="N133" s="16" t="n">
        <v>0</v>
      </c>
      <c r="O133" s="9" t="str">
        <f aca="false">IF(B133="","",IFERROR(INDEX(Options!$G$6:$G$85,MATCH($B133,Options!$A$6:$A$85,0)),""))</f>
        <v>Letter</v>
      </c>
      <c r="P133" s="9" t="str">
        <f aca="false">IF(B133="","",IFERROR(INDEX(Options!$H$6:$H$85,MATCH($B133,Options!$A$6:$A$85,0)),""))</f>
        <v>Seasonal</v>
      </c>
      <c r="Q133" s="24" t="n">
        <f aca="false">IF(B133="",0,N(IFERROR(INDEX(Options!$J$6:$J$85,MATCH($B133,Options!$A$6:$A$85,0)),"")))</f>
        <v>85</v>
      </c>
      <c r="R133" s="25" t="n">
        <f aca="false">K133*Settings!$B$10+J133*Settings!$B$11+I133*Settings!$B$12+H133*Settings!$B$13</f>
        <v>2.3</v>
      </c>
      <c r="S133" s="25" t="n">
        <f aca="false">IFERROR(L133/Settings!$B$8,0)</f>
        <v>1.72727272727273</v>
      </c>
      <c r="T133" s="26" t="n">
        <f aca="false">IF(OR(B133="",P133="End of life"),0,W133*MIN(4,N133))</f>
        <v>0</v>
      </c>
      <c r="U133" s="27" t="n">
        <f aca="false">T133*Q133</f>
        <v>0</v>
      </c>
      <c r="V133" s="14" t="n">
        <f aca="false">IF(B133="",0,G133*N(IFERROR(INDEX(Options!$K$6:$K$85,MATCH($B133,Options!$A$6:$A$85,0)),"")))</f>
        <v>64.6</v>
      </c>
      <c r="W133" s="26" t="n">
        <f aca="false">IF(B133="",0,IF(N133&gt;=4,S133,(H133+I133+J133+K133)/(4-N133)))</f>
        <v>2.25</v>
      </c>
    </row>
    <row r="134" customFormat="false" ht="15" hidden="false" customHeight="false" outlineLevel="0" collapsed="false">
      <c r="A134" s="16" t="s">
        <v>464</v>
      </c>
      <c r="B134" s="16" t="s">
        <v>245</v>
      </c>
      <c r="C134" s="16" t="s">
        <v>335</v>
      </c>
      <c r="D134" s="16" t="s">
        <v>183</v>
      </c>
      <c r="E134" s="16" t="n">
        <v>67</v>
      </c>
      <c r="F134" s="16" t="n">
        <v>0</v>
      </c>
      <c r="G134" s="16" t="n">
        <v>4</v>
      </c>
      <c r="H134" s="16" t="n">
        <v>4</v>
      </c>
      <c r="I134" s="16" t="n">
        <v>3</v>
      </c>
      <c r="J134" s="16" t="n">
        <v>3</v>
      </c>
      <c r="K134" s="16" t="n">
        <v>4</v>
      </c>
      <c r="L134" s="16" t="n">
        <v>63</v>
      </c>
      <c r="M134" s="16" t="n">
        <v>55</v>
      </c>
      <c r="N134" s="16" t="n">
        <v>0</v>
      </c>
      <c r="O134" s="9" t="str">
        <f aca="false">IF(B134="","",IFERROR(INDEX(Options!$G$6:$G$85,MATCH($B134,Options!$A$6:$A$85,0)),""))</f>
        <v>Letter</v>
      </c>
      <c r="P134" s="9" t="str">
        <f aca="false">IF(B134="","",IFERROR(INDEX(Options!$H$6:$H$85,MATCH($B134,Options!$A$6:$A$85,0)),""))</f>
        <v>Seasonal</v>
      </c>
      <c r="Q134" s="24" t="n">
        <f aca="false">IF(B134="",0,N(IFERROR(INDEX(Options!$J$6:$J$85,MATCH($B134,Options!$A$6:$A$85,0)),"")))</f>
        <v>85</v>
      </c>
      <c r="R134" s="25" t="n">
        <f aca="false">K134*Settings!$B$10+J134*Settings!$B$11+I134*Settings!$B$12+H134*Settings!$B$13</f>
        <v>3.5</v>
      </c>
      <c r="S134" s="25" t="n">
        <f aca="false">IFERROR(L134/Settings!$B$8,0)</f>
        <v>2.86363636363636</v>
      </c>
      <c r="T134" s="26" t="n">
        <f aca="false">IF(OR(B134="",P134="End of life"),0,W134*MIN(4,N134))</f>
        <v>0</v>
      </c>
      <c r="U134" s="27" t="n">
        <f aca="false">T134*Q134</f>
        <v>0</v>
      </c>
      <c r="V134" s="14" t="n">
        <f aca="false">IF(B134="",0,G134*N(IFERROR(INDEX(Options!$K$6:$K$85,MATCH($B134,Options!$A$6:$A$85,0)),"")))</f>
        <v>129.2</v>
      </c>
      <c r="W134" s="26" t="n">
        <f aca="false">IF(B134="",0,IF(N134&gt;=4,S134,(H134+I134+J134+K134)/(4-N134)))</f>
        <v>3.5</v>
      </c>
    </row>
    <row r="135" customFormat="false" ht="15" hidden="false" customHeight="false" outlineLevel="0" collapsed="false">
      <c r="A135" s="16" t="s">
        <v>465</v>
      </c>
      <c r="B135" s="16" t="s">
        <v>245</v>
      </c>
      <c r="C135" s="16" t="s">
        <v>337</v>
      </c>
      <c r="D135" s="16" t="s">
        <v>183</v>
      </c>
      <c r="E135" s="16" t="n">
        <v>58</v>
      </c>
      <c r="F135" s="16" t="n">
        <v>0</v>
      </c>
      <c r="G135" s="16" t="n">
        <v>7</v>
      </c>
      <c r="H135" s="16" t="n">
        <v>3</v>
      </c>
      <c r="I135" s="16" t="n">
        <v>3</v>
      </c>
      <c r="J135" s="16" t="n">
        <v>3</v>
      </c>
      <c r="K135" s="16" t="n">
        <v>3</v>
      </c>
      <c r="L135" s="16" t="n">
        <v>51</v>
      </c>
      <c r="M135" s="16" t="n">
        <v>45</v>
      </c>
      <c r="N135" s="16" t="n">
        <v>0</v>
      </c>
      <c r="O135" s="9" t="str">
        <f aca="false">IF(B135="","",IFERROR(INDEX(Options!$G$6:$G$85,MATCH($B135,Options!$A$6:$A$85,0)),""))</f>
        <v>Letter</v>
      </c>
      <c r="P135" s="9" t="str">
        <f aca="false">IF(B135="","",IFERROR(INDEX(Options!$H$6:$H$85,MATCH($B135,Options!$A$6:$A$85,0)),""))</f>
        <v>Seasonal</v>
      </c>
      <c r="Q135" s="24" t="n">
        <f aca="false">IF(B135="",0,N(IFERROR(INDEX(Options!$J$6:$J$85,MATCH($B135,Options!$A$6:$A$85,0)),"")))</f>
        <v>85</v>
      </c>
      <c r="R135" s="25" t="n">
        <f aca="false">K135*Settings!$B$10+J135*Settings!$B$11+I135*Settings!$B$12+H135*Settings!$B$13</f>
        <v>3</v>
      </c>
      <c r="S135" s="25" t="n">
        <f aca="false">IFERROR(L135/Settings!$B$8,0)</f>
        <v>2.31818181818182</v>
      </c>
      <c r="T135" s="26" t="n">
        <f aca="false">IF(OR(B135="",P135="End of life"),0,W135*MIN(4,N135))</f>
        <v>0</v>
      </c>
      <c r="U135" s="27" t="n">
        <f aca="false">T135*Q135</f>
        <v>0</v>
      </c>
      <c r="V135" s="14" t="n">
        <f aca="false">IF(B135="",0,G135*N(IFERROR(INDEX(Options!$K$6:$K$85,MATCH($B135,Options!$A$6:$A$85,0)),"")))</f>
        <v>226.1</v>
      </c>
      <c r="W135" s="26" t="n">
        <f aca="false">IF(B135="",0,IF(N135&gt;=4,S135,(H135+I135+J135+K135)/(4-N135)))</f>
        <v>3</v>
      </c>
    </row>
    <row r="136" customFormat="false" ht="15" hidden="false" customHeight="false" outlineLevel="0" collapsed="false">
      <c r="A136" s="16" t="s">
        <v>466</v>
      </c>
      <c r="B136" s="16" t="s">
        <v>245</v>
      </c>
      <c r="C136" s="16" t="s">
        <v>339</v>
      </c>
      <c r="D136" s="16"/>
      <c r="E136" s="16" t="n">
        <v>31</v>
      </c>
      <c r="F136" s="16" t="n">
        <v>0</v>
      </c>
      <c r="G136" s="16" t="n">
        <v>1</v>
      </c>
      <c r="H136" s="16" t="n">
        <v>1</v>
      </c>
      <c r="I136" s="16" t="n">
        <v>1</v>
      </c>
      <c r="J136" s="16" t="n">
        <v>1</v>
      </c>
      <c r="K136" s="16" t="n">
        <v>2</v>
      </c>
      <c r="L136" s="16" t="n">
        <v>30</v>
      </c>
      <c r="M136" s="16" t="n">
        <v>26</v>
      </c>
      <c r="N136" s="16" t="n">
        <v>0</v>
      </c>
      <c r="O136" s="9" t="str">
        <f aca="false">IF(B136="","",IFERROR(INDEX(Options!$G$6:$G$85,MATCH($B136,Options!$A$6:$A$85,0)),""))</f>
        <v>Letter</v>
      </c>
      <c r="P136" s="9" t="str">
        <f aca="false">IF(B136="","",IFERROR(INDEX(Options!$H$6:$H$85,MATCH($B136,Options!$A$6:$A$85,0)),""))</f>
        <v>Seasonal</v>
      </c>
      <c r="Q136" s="24" t="n">
        <f aca="false">IF(B136="",0,N(IFERROR(INDEX(Options!$J$6:$J$85,MATCH($B136,Options!$A$6:$A$85,0)),"")))</f>
        <v>85</v>
      </c>
      <c r="R136" s="25" t="n">
        <f aca="false">K136*Settings!$B$10+J136*Settings!$B$11+I136*Settings!$B$12+H136*Settings!$B$13</f>
        <v>1.4</v>
      </c>
      <c r="S136" s="25" t="n">
        <f aca="false">IFERROR(L136/Settings!$B$8,0)</f>
        <v>1.36363636363636</v>
      </c>
      <c r="T136" s="26" t="n">
        <f aca="false">IF(OR(B136="",P136="End of life"),0,W136*MIN(4,N136))</f>
        <v>0</v>
      </c>
      <c r="U136" s="27" t="n">
        <f aca="false">T136*Q136</f>
        <v>0</v>
      </c>
      <c r="V136" s="14" t="n">
        <f aca="false">IF(B136="",0,G136*N(IFERROR(INDEX(Options!$K$6:$K$85,MATCH($B136,Options!$A$6:$A$85,0)),"")))</f>
        <v>32.3</v>
      </c>
      <c r="W136" s="26" t="n">
        <f aca="false">IF(B136="",0,IF(N136&gt;=4,S136,(H136+I136+J136+K136)/(4-N136)))</f>
        <v>1.25</v>
      </c>
    </row>
    <row r="137" customFormat="false" ht="15" hidden="false" customHeight="false" outlineLevel="0" collapsed="false">
      <c r="A137" s="16" t="s">
        <v>467</v>
      </c>
      <c r="B137" s="16" t="s">
        <v>245</v>
      </c>
      <c r="C137" s="16" t="s">
        <v>341</v>
      </c>
      <c r="D137" s="16"/>
      <c r="E137" s="16" t="n">
        <v>18</v>
      </c>
      <c r="F137" s="16" t="n">
        <v>0</v>
      </c>
      <c r="G137" s="16" t="n">
        <v>6</v>
      </c>
      <c r="H137" s="16" t="n">
        <v>1</v>
      </c>
      <c r="I137" s="16" t="n">
        <v>1</v>
      </c>
      <c r="J137" s="16" t="n">
        <v>1</v>
      </c>
      <c r="K137" s="16" t="n">
        <v>1</v>
      </c>
      <c r="L137" s="16" t="n">
        <v>12</v>
      </c>
      <c r="M137" s="16" t="n">
        <v>11</v>
      </c>
      <c r="N137" s="16" t="n">
        <v>0</v>
      </c>
      <c r="O137" s="9" t="str">
        <f aca="false">IF(B137="","",IFERROR(INDEX(Options!$G$6:$G$85,MATCH($B137,Options!$A$6:$A$85,0)),""))</f>
        <v>Letter</v>
      </c>
      <c r="P137" s="9" t="str">
        <f aca="false">IF(B137="","",IFERROR(INDEX(Options!$H$6:$H$85,MATCH($B137,Options!$A$6:$A$85,0)),""))</f>
        <v>Seasonal</v>
      </c>
      <c r="Q137" s="24" t="n">
        <f aca="false">IF(B137="",0,N(IFERROR(INDEX(Options!$J$6:$J$85,MATCH($B137,Options!$A$6:$A$85,0)),"")))</f>
        <v>85</v>
      </c>
      <c r="R137" s="25" t="n">
        <f aca="false">K137*Settings!$B$10+J137*Settings!$B$11+I137*Settings!$B$12+H137*Settings!$B$13</f>
        <v>1</v>
      </c>
      <c r="S137" s="25" t="n">
        <f aca="false">IFERROR(L137/Settings!$B$8,0)</f>
        <v>0.545454545454545</v>
      </c>
      <c r="T137" s="26" t="n">
        <f aca="false">IF(OR(B137="",P137="End of life"),0,W137*MIN(4,N137))</f>
        <v>0</v>
      </c>
      <c r="U137" s="27" t="n">
        <f aca="false">T137*Q137</f>
        <v>0</v>
      </c>
      <c r="V137" s="14" t="n">
        <f aca="false">IF(B137="",0,G137*N(IFERROR(INDEX(Options!$K$6:$K$85,MATCH($B137,Options!$A$6:$A$85,0)),"")))</f>
        <v>193.8</v>
      </c>
      <c r="W137" s="26" t="n">
        <f aca="false">IF(B137="",0,IF(N137&gt;=4,S137,(H137+I137+J137+K137)/(4-N137)))</f>
        <v>1</v>
      </c>
    </row>
    <row r="138" customFormat="false" ht="15" hidden="false" customHeight="false" outlineLevel="0" collapsed="false">
      <c r="A138" s="16" t="s">
        <v>468</v>
      </c>
      <c r="B138" s="16" t="s">
        <v>248</v>
      </c>
      <c r="C138" s="16" t="s">
        <v>331</v>
      </c>
      <c r="D138" s="16"/>
      <c r="E138" s="16" t="n">
        <v>35</v>
      </c>
      <c r="F138" s="16" t="n">
        <v>0</v>
      </c>
      <c r="G138" s="16" t="n">
        <v>17</v>
      </c>
      <c r="H138" s="16" t="n">
        <v>1</v>
      </c>
      <c r="I138" s="16" t="n">
        <v>1</v>
      </c>
      <c r="J138" s="16" t="n">
        <v>1</v>
      </c>
      <c r="K138" s="16" t="n">
        <v>1</v>
      </c>
      <c r="L138" s="16" t="n">
        <v>18</v>
      </c>
      <c r="M138" s="16" t="n">
        <v>16</v>
      </c>
      <c r="N138" s="16" t="n">
        <v>0</v>
      </c>
      <c r="O138" s="9" t="str">
        <f aca="false">IF(B138="","",IFERROR(INDEX(Options!$G$6:$G$85,MATCH($B138,Options!$A$6:$A$85,0)),""))</f>
        <v>Letter</v>
      </c>
      <c r="P138" s="9" t="str">
        <f aca="false">IF(B138="","",IFERROR(INDEX(Options!$H$6:$H$85,MATCH($B138,Options!$A$6:$A$85,0)),""))</f>
        <v>Core</v>
      </c>
      <c r="Q138" s="24" t="n">
        <f aca="false">IF(B138="",0,N(IFERROR(INDEX(Options!$J$6:$J$85,MATCH($B138,Options!$A$6:$A$85,0)),"")))</f>
        <v>70</v>
      </c>
      <c r="R138" s="25" t="n">
        <f aca="false">K138*Settings!$B$10+J138*Settings!$B$11+I138*Settings!$B$12+H138*Settings!$B$13</f>
        <v>1</v>
      </c>
      <c r="S138" s="25" t="n">
        <f aca="false">IFERROR(L138/Settings!$B$8,0)</f>
        <v>0.818181818181818</v>
      </c>
      <c r="T138" s="26" t="n">
        <f aca="false">IF(OR(B138="",P138="End of life"),0,W138*MIN(4,N138))</f>
        <v>0</v>
      </c>
      <c r="U138" s="27" t="n">
        <f aca="false">T138*Q138</f>
        <v>0</v>
      </c>
      <c r="V138" s="14" t="n">
        <f aca="false">IF(B138="",0,G138*N(IFERROR(INDEX(Options!$K$6:$K$85,MATCH($B138,Options!$A$6:$A$85,0)),"")))</f>
        <v>452.2</v>
      </c>
      <c r="W138" s="26" t="n">
        <f aca="false">IF(B138="",0,IF(N138&gt;=4,S138,(H138+I138+J138+K138)/(4-N138)))</f>
        <v>1</v>
      </c>
    </row>
    <row r="139" customFormat="false" ht="15" hidden="false" customHeight="false" outlineLevel="0" collapsed="false">
      <c r="A139" s="16" t="s">
        <v>469</v>
      </c>
      <c r="B139" s="16" t="s">
        <v>248</v>
      </c>
      <c r="C139" s="16" t="s">
        <v>333</v>
      </c>
      <c r="D139" s="16" t="s">
        <v>183</v>
      </c>
      <c r="E139" s="16" t="n">
        <v>78</v>
      </c>
      <c r="F139" s="16" t="n">
        <v>0</v>
      </c>
      <c r="G139" s="16" t="n">
        <v>16</v>
      </c>
      <c r="H139" s="16" t="n">
        <v>3</v>
      </c>
      <c r="I139" s="16" t="n">
        <v>2</v>
      </c>
      <c r="J139" s="16" t="n">
        <v>2</v>
      </c>
      <c r="K139" s="16" t="n">
        <v>3</v>
      </c>
      <c r="L139" s="16" t="n">
        <v>62</v>
      </c>
      <c r="M139" s="16" t="n">
        <v>55</v>
      </c>
      <c r="N139" s="16" t="n">
        <v>0</v>
      </c>
      <c r="O139" s="9" t="str">
        <f aca="false">IF(B139="","",IFERROR(INDEX(Options!$G$6:$G$85,MATCH($B139,Options!$A$6:$A$85,0)),""))</f>
        <v>Letter</v>
      </c>
      <c r="P139" s="9" t="str">
        <f aca="false">IF(B139="","",IFERROR(INDEX(Options!$H$6:$H$85,MATCH($B139,Options!$A$6:$A$85,0)),""))</f>
        <v>Core</v>
      </c>
      <c r="Q139" s="24" t="n">
        <f aca="false">IF(B139="",0,N(IFERROR(INDEX(Options!$J$6:$J$85,MATCH($B139,Options!$A$6:$A$85,0)),"")))</f>
        <v>70</v>
      </c>
      <c r="R139" s="25" t="n">
        <f aca="false">K139*Settings!$B$10+J139*Settings!$B$11+I139*Settings!$B$12+H139*Settings!$B$13</f>
        <v>2.5</v>
      </c>
      <c r="S139" s="25" t="n">
        <f aca="false">IFERROR(L139/Settings!$B$8,0)</f>
        <v>2.81818181818182</v>
      </c>
      <c r="T139" s="26" t="n">
        <f aca="false">IF(OR(B139="",P139="End of life"),0,W139*MIN(4,N139))</f>
        <v>0</v>
      </c>
      <c r="U139" s="27" t="n">
        <f aca="false">T139*Q139</f>
        <v>0</v>
      </c>
      <c r="V139" s="14" t="n">
        <f aca="false">IF(B139="",0,G139*N(IFERROR(INDEX(Options!$K$6:$K$85,MATCH($B139,Options!$A$6:$A$85,0)),"")))</f>
        <v>425.6</v>
      </c>
      <c r="W139" s="26" t="n">
        <f aca="false">IF(B139="",0,IF(N139&gt;=4,S139,(H139+I139+J139+K139)/(4-N139)))</f>
        <v>2.5</v>
      </c>
    </row>
    <row r="140" customFormat="false" ht="15" hidden="false" customHeight="false" outlineLevel="0" collapsed="false">
      <c r="A140" s="16" t="s">
        <v>470</v>
      </c>
      <c r="B140" s="16" t="s">
        <v>248</v>
      </c>
      <c r="C140" s="16" t="s">
        <v>335</v>
      </c>
      <c r="D140" s="16" t="s">
        <v>183</v>
      </c>
      <c r="E140" s="16" t="n">
        <v>130</v>
      </c>
      <c r="F140" s="16" t="n">
        <v>0</v>
      </c>
      <c r="G140" s="16" t="n">
        <v>31</v>
      </c>
      <c r="H140" s="16" t="n">
        <v>4</v>
      </c>
      <c r="I140" s="16" t="n">
        <v>4</v>
      </c>
      <c r="J140" s="16" t="n">
        <v>4</v>
      </c>
      <c r="K140" s="16" t="n">
        <v>4</v>
      </c>
      <c r="L140" s="16" t="n">
        <v>99</v>
      </c>
      <c r="M140" s="16" t="n">
        <v>87</v>
      </c>
      <c r="N140" s="16" t="n">
        <v>0</v>
      </c>
      <c r="O140" s="9" t="str">
        <f aca="false">IF(B140="","",IFERROR(INDEX(Options!$G$6:$G$85,MATCH($B140,Options!$A$6:$A$85,0)),""))</f>
        <v>Letter</v>
      </c>
      <c r="P140" s="9" t="str">
        <f aca="false">IF(B140="","",IFERROR(INDEX(Options!$H$6:$H$85,MATCH($B140,Options!$A$6:$A$85,0)),""))</f>
        <v>Core</v>
      </c>
      <c r="Q140" s="24" t="n">
        <f aca="false">IF(B140="",0,N(IFERROR(INDEX(Options!$J$6:$J$85,MATCH($B140,Options!$A$6:$A$85,0)),"")))</f>
        <v>70</v>
      </c>
      <c r="R140" s="25" t="n">
        <f aca="false">K140*Settings!$B$10+J140*Settings!$B$11+I140*Settings!$B$12+H140*Settings!$B$13</f>
        <v>4</v>
      </c>
      <c r="S140" s="25" t="n">
        <f aca="false">IFERROR(L140/Settings!$B$8,0)</f>
        <v>4.5</v>
      </c>
      <c r="T140" s="26" t="n">
        <f aca="false">IF(OR(B140="",P140="End of life"),0,W140*MIN(4,N140))</f>
        <v>0</v>
      </c>
      <c r="U140" s="27" t="n">
        <f aca="false">T140*Q140</f>
        <v>0</v>
      </c>
      <c r="V140" s="14" t="n">
        <f aca="false">IF(B140="",0,G140*N(IFERROR(INDEX(Options!$K$6:$K$85,MATCH($B140,Options!$A$6:$A$85,0)),"")))</f>
        <v>824.6</v>
      </c>
      <c r="W140" s="26" t="n">
        <f aca="false">IF(B140="",0,IF(N140&gt;=4,S140,(H140+I140+J140+K140)/(4-N140)))</f>
        <v>4</v>
      </c>
    </row>
    <row r="141" customFormat="false" ht="15" hidden="false" customHeight="false" outlineLevel="0" collapsed="false">
      <c r="A141" s="16" t="s">
        <v>471</v>
      </c>
      <c r="B141" s="16" t="s">
        <v>248</v>
      </c>
      <c r="C141" s="16" t="s">
        <v>337</v>
      </c>
      <c r="D141" s="16" t="s">
        <v>183</v>
      </c>
      <c r="E141" s="16" t="n">
        <v>112</v>
      </c>
      <c r="F141" s="16" t="n">
        <v>0</v>
      </c>
      <c r="G141" s="16" t="n">
        <v>25</v>
      </c>
      <c r="H141" s="16" t="n">
        <v>3</v>
      </c>
      <c r="I141" s="16" t="n">
        <v>3</v>
      </c>
      <c r="J141" s="16" t="n">
        <v>4</v>
      </c>
      <c r="K141" s="16" t="n">
        <v>4</v>
      </c>
      <c r="L141" s="16" t="n">
        <v>87</v>
      </c>
      <c r="M141" s="16" t="n">
        <v>77</v>
      </c>
      <c r="N141" s="16" t="n">
        <v>0</v>
      </c>
      <c r="O141" s="9" t="str">
        <f aca="false">IF(B141="","",IFERROR(INDEX(Options!$G$6:$G$85,MATCH($B141,Options!$A$6:$A$85,0)),""))</f>
        <v>Letter</v>
      </c>
      <c r="P141" s="9" t="str">
        <f aca="false">IF(B141="","",IFERROR(INDEX(Options!$H$6:$H$85,MATCH($B141,Options!$A$6:$A$85,0)),""))</f>
        <v>Core</v>
      </c>
      <c r="Q141" s="24" t="n">
        <f aca="false">IF(B141="",0,N(IFERROR(INDEX(Options!$J$6:$J$85,MATCH($B141,Options!$A$6:$A$85,0)),"")))</f>
        <v>70</v>
      </c>
      <c r="R141" s="25" t="n">
        <f aca="false">K141*Settings!$B$10+J141*Settings!$B$11+I141*Settings!$B$12+H141*Settings!$B$13</f>
        <v>3.7</v>
      </c>
      <c r="S141" s="25" t="n">
        <f aca="false">IFERROR(L141/Settings!$B$8,0)</f>
        <v>3.95454545454545</v>
      </c>
      <c r="T141" s="26" t="n">
        <f aca="false">IF(OR(B141="",P141="End of life"),0,W141*MIN(4,N141))</f>
        <v>0</v>
      </c>
      <c r="U141" s="27" t="n">
        <f aca="false">T141*Q141</f>
        <v>0</v>
      </c>
      <c r="V141" s="14" t="n">
        <f aca="false">IF(B141="",0,G141*N(IFERROR(INDEX(Options!$K$6:$K$85,MATCH($B141,Options!$A$6:$A$85,0)),"")))</f>
        <v>665</v>
      </c>
      <c r="W141" s="26" t="n">
        <f aca="false">IF(B141="",0,IF(N141&gt;=4,S141,(H141+I141+J141+K141)/(4-N141)))</f>
        <v>3.5</v>
      </c>
    </row>
    <row r="142" customFormat="false" ht="15" hidden="false" customHeight="false" outlineLevel="0" collapsed="false">
      <c r="A142" s="16" t="s">
        <v>472</v>
      </c>
      <c r="B142" s="16" t="s">
        <v>248</v>
      </c>
      <c r="C142" s="16" t="s">
        <v>339</v>
      </c>
      <c r="D142" s="16"/>
      <c r="E142" s="16" t="n">
        <v>60</v>
      </c>
      <c r="F142" s="16" t="n">
        <v>0</v>
      </c>
      <c r="G142" s="16" t="n">
        <v>14</v>
      </c>
      <c r="H142" s="16" t="n">
        <v>2</v>
      </c>
      <c r="I142" s="16" t="n">
        <v>2</v>
      </c>
      <c r="J142" s="16" t="n">
        <v>2</v>
      </c>
      <c r="K142" s="16" t="n">
        <v>3</v>
      </c>
      <c r="L142" s="16" t="n">
        <v>46</v>
      </c>
      <c r="M142" s="16" t="n">
        <v>40</v>
      </c>
      <c r="N142" s="16" t="n">
        <v>0</v>
      </c>
      <c r="O142" s="9" t="str">
        <f aca="false">IF(B142="","",IFERROR(INDEX(Options!$G$6:$G$85,MATCH($B142,Options!$A$6:$A$85,0)),""))</f>
        <v>Letter</v>
      </c>
      <c r="P142" s="9" t="str">
        <f aca="false">IF(B142="","",IFERROR(INDEX(Options!$H$6:$H$85,MATCH($B142,Options!$A$6:$A$85,0)),""))</f>
        <v>Core</v>
      </c>
      <c r="Q142" s="24" t="n">
        <f aca="false">IF(B142="",0,N(IFERROR(INDEX(Options!$J$6:$J$85,MATCH($B142,Options!$A$6:$A$85,0)),"")))</f>
        <v>70</v>
      </c>
      <c r="R142" s="25" t="n">
        <f aca="false">K142*Settings!$B$10+J142*Settings!$B$11+I142*Settings!$B$12+H142*Settings!$B$13</f>
        <v>2.4</v>
      </c>
      <c r="S142" s="25" t="n">
        <f aca="false">IFERROR(L142/Settings!$B$8,0)</f>
        <v>2.09090909090909</v>
      </c>
      <c r="T142" s="26" t="n">
        <f aca="false">IF(OR(B142="",P142="End of life"),0,W142*MIN(4,N142))</f>
        <v>0</v>
      </c>
      <c r="U142" s="27" t="n">
        <f aca="false">T142*Q142</f>
        <v>0</v>
      </c>
      <c r="V142" s="14" t="n">
        <f aca="false">IF(B142="",0,G142*N(IFERROR(INDEX(Options!$K$6:$K$85,MATCH($B142,Options!$A$6:$A$85,0)),"")))</f>
        <v>372.4</v>
      </c>
      <c r="W142" s="26" t="n">
        <f aca="false">IF(B142="",0,IF(N142&gt;=4,S142,(H142+I142+J142+K142)/(4-N142)))</f>
        <v>2.25</v>
      </c>
    </row>
    <row r="143" customFormat="false" ht="15" hidden="false" customHeight="false" outlineLevel="0" collapsed="false">
      <c r="A143" s="16" t="s">
        <v>473</v>
      </c>
      <c r="B143" s="16" t="s">
        <v>248</v>
      </c>
      <c r="C143" s="16" t="s">
        <v>341</v>
      </c>
      <c r="D143" s="16"/>
      <c r="E143" s="16" t="n">
        <v>35</v>
      </c>
      <c r="F143" s="16" t="n">
        <v>0</v>
      </c>
      <c r="G143" s="16" t="n">
        <v>17</v>
      </c>
      <c r="H143" s="16" t="n">
        <v>1</v>
      </c>
      <c r="I143" s="16" t="n">
        <v>1</v>
      </c>
      <c r="J143" s="16" t="n">
        <v>1</v>
      </c>
      <c r="K143" s="16" t="n">
        <v>1</v>
      </c>
      <c r="L143" s="16" t="n">
        <v>18</v>
      </c>
      <c r="M143" s="16" t="n">
        <v>16</v>
      </c>
      <c r="N143" s="16" t="n">
        <v>0</v>
      </c>
      <c r="O143" s="9" t="str">
        <f aca="false">IF(B143="","",IFERROR(INDEX(Options!$G$6:$G$85,MATCH($B143,Options!$A$6:$A$85,0)),""))</f>
        <v>Letter</v>
      </c>
      <c r="P143" s="9" t="str">
        <f aca="false">IF(B143="","",IFERROR(INDEX(Options!$H$6:$H$85,MATCH($B143,Options!$A$6:$A$85,0)),""))</f>
        <v>Core</v>
      </c>
      <c r="Q143" s="24" t="n">
        <f aca="false">IF(B143="",0,N(IFERROR(INDEX(Options!$J$6:$J$85,MATCH($B143,Options!$A$6:$A$85,0)),"")))</f>
        <v>70</v>
      </c>
      <c r="R143" s="25" t="n">
        <f aca="false">K143*Settings!$B$10+J143*Settings!$B$11+I143*Settings!$B$12+H143*Settings!$B$13</f>
        <v>1</v>
      </c>
      <c r="S143" s="25" t="n">
        <f aca="false">IFERROR(L143/Settings!$B$8,0)</f>
        <v>0.818181818181818</v>
      </c>
      <c r="T143" s="26" t="n">
        <f aca="false">IF(OR(B143="",P143="End of life"),0,W143*MIN(4,N143))</f>
        <v>0</v>
      </c>
      <c r="U143" s="27" t="n">
        <f aca="false">T143*Q143</f>
        <v>0</v>
      </c>
      <c r="V143" s="14" t="n">
        <f aca="false">IF(B143="",0,G143*N(IFERROR(INDEX(Options!$K$6:$K$85,MATCH($B143,Options!$A$6:$A$85,0)),"")))</f>
        <v>452.2</v>
      </c>
      <c r="W143" s="26" t="n">
        <f aca="false">IF(B143="",0,IF(N143&gt;=4,S143,(H143+I143+J143+K143)/(4-N143)))</f>
        <v>1</v>
      </c>
    </row>
    <row r="144" customFormat="false" ht="15" hidden="false" customHeight="false" outlineLevel="0" collapsed="false">
      <c r="A144" s="16" t="s">
        <v>474</v>
      </c>
      <c r="B144" s="16" t="s">
        <v>250</v>
      </c>
      <c r="C144" s="16" t="s">
        <v>331</v>
      </c>
      <c r="D144" s="16"/>
      <c r="E144" s="16" t="n">
        <v>35</v>
      </c>
      <c r="F144" s="16" t="n">
        <v>0</v>
      </c>
      <c r="G144" s="16" t="n">
        <v>15</v>
      </c>
      <c r="H144" s="16" t="n">
        <v>1</v>
      </c>
      <c r="I144" s="16" t="n">
        <v>1</v>
      </c>
      <c r="J144" s="16" t="n">
        <v>1</v>
      </c>
      <c r="K144" s="16" t="n">
        <v>1</v>
      </c>
      <c r="L144" s="16" t="n">
        <v>20</v>
      </c>
      <c r="M144" s="16" t="n">
        <v>18</v>
      </c>
      <c r="N144" s="16" t="n">
        <v>0</v>
      </c>
      <c r="O144" s="9" t="str">
        <f aca="false">IF(B144="","",IFERROR(INDEX(Options!$G$6:$G$85,MATCH($B144,Options!$A$6:$A$85,0)),""))</f>
        <v>Letter</v>
      </c>
      <c r="P144" s="9" t="str">
        <f aca="false">IF(B144="","",IFERROR(INDEX(Options!$H$6:$H$85,MATCH($B144,Options!$A$6:$A$85,0)),""))</f>
        <v>Seasonal</v>
      </c>
      <c r="Q144" s="24" t="n">
        <f aca="false">IF(B144="",0,N(IFERROR(INDEX(Options!$J$6:$J$85,MATCH($B144,Options!$A$6:$A$85,0)),"")))</f>
        <v>85</v>
      </c>
      <c r="R144" s="25" t="n">
        <f aca="false">K144*Settings!$B$10+J144*Settings!$B$11+I144*Settings!$B$12+H144*Settings!$B$13</f>
        <v>1</v>
      </c>
      <c r="S144" s="25" t="n">
        <f aca="false">IFERROR(L144/Settings!$B$8,0)</f>
        <v>0.909090909090909</v>
      </c>
      <c r="T144" s="26" t="n">
        <f aca="false">IF(OR(B144="",P144="End of life"),0,W144*MIN(4,N144))</f>
        <v>0</v>
      </c>
      <c r="U144" s="27" t="n">
        <f aca="false">T144*Q144</f>
        <v>0</v>
      </c>
      <c r="V144" s="14" t="n">
        <f aca="false">IF(B144="",0,G144*N(IFERROR(INDEX(Options!$K$6:$K$85,MATCH($B144,Options!$A$6:$A$85,0)),"")))</f>
        <v>484.5</v>
      </c>
      <c r="W144" s="26" t="n">
        <f aca="false">IF(B144="",0,IF(N144&gt;=4,S144,(H144+I144+J144+K144)/(4-N144)))</f>
        <v>1</v>
      </c>
    </row>
    <row r="145" customFormat="false" ht="15" hidden="false" customHeight="false" outlineLevel="0" collapsed="false">
      <c r="A145" s="16" t="s">
        <v>475</v>
      </c>
      <c r="B145" s="16" t="s">
        <v>250</v>
      </c>
      <c r="C145" s="16" t="s">
        <v>333</v>
      </c>
      <c r="D145" s="16" t="s">
        <v>183</v>
      </c>
      <c r="E145" s="16" t="n">
        <v>79</v>
      </c>
      <c r="F145" s="16" t="n">
        <v>0</v>
      </c>
      <c r="G145" s="16" t="n">
        <v>20</v>
      </c>
      <c r="H145" s="16" t="n">
        <v>2</v>
      </c>
      <c r="I145" s="16" t="n">
        <v>2</v>
      </c>
      <c r="J145" s="16" t="n">
        <v>3</v>
      </c>
      <c r="K145" s="16" t="n">
        <v>3</v>
      </c>
      <c r="L145" s="16" t="n">
        <v>59</v>
      </c>
      <c r="M145" s="16" t="n">
        <v>52</v>
      </c>
      <c r="N145" s="16" t="n">
        <v>0</v>
      </c>
      <c r="O145" s="9" t="str">
        <f aca="false">IF(B145="","",IFERROR(INDEX(Options!$G$6:$G$85,MATCH($B145,Options!$A$6:$A$85,0)),""))</f>
        <v>Letter</v>
      </c>
      <c r="P145" s="9" t="str">
        <f aca="false">IF(B145="","",IFERROR(INDEX(Options!$H$6:$H$85,MATCH($B145,Options!$A$6:$A$85,0)),""))</f>
        <v>Seasonal</v>
      </c>
      <c r="Q145" s="24" t="n">
        <f aca="false">IF(B145="",0,N(IFERROR(INDEX(Options!$J$6:$J$85,MATCH($B145,Options!$A$6:$A$85,0)),"")))</f>
        <v>85</v>
      </c>
      <c r="R145" s="25" t="n">
        <f aca="false">K145*Settings!$B$10+J145*Settings!$B$11+I145*Settings!$B$12+H145*Settings!$B$13</f>
        <v>2.7</v>
      </c>
      <c r="S145" s="25" t="n">
        <f aca="false">IFERROR(L145/Settings!$B$8,0)</f>
        <v>2.68181818181818</v>
      </c>
      <c r="T145" s="26" t="n">
        <f aca="false">IF(OR(B145="",P145="End of life"),0,W145*MIN(4,N145))</f>
        <v>0</v>
      </c>
      <c r="U145" s="27" t="n">
        <f aca="false">T145*Q145</f>
        <v>0</v>
      </c>
      <c r="V145" s="14" t="n">
        <f aca="false">IF(B145="",0,G145*N(IFERROR(INDEX(Options!$K$6:$K$85,MATCH($B145,Options!$A$6:$A$85,0)),"")))</f>
        <v>646</v>
      </c>
      <c r="W145" s="26" t="n">
        <f aca="false">IF(B145="",0,IF(N145&gt;=4,S145,(H145+I145+J145+K145)/(4-N145)))</f>
        <v>2.5</v>
      </c>
    </row>
    <row r="146" customFormat="false" ht="15" hidden="false" customHeight="false" outlineLevel="0" collapsed="false">
      <c r="A146" s="16" t="s">
        <v>476</v>
      </c>
      <c r="B146" s="16" t="s">
        <v>250</v>
      </c>
      <c r="C146" s="16" t="s">
        <v>335</v>
      </c>
      <c r="D146" s="16" t="s">
        <v>183</v>
      </c>
      <c r="E146" s="16" t="n">
        <v>131</v>
      </c>
      <c r="F146" s="16" t="n">
        <v>0</v>
      </c>
      <c r="G146" s="16" t="n">
        <v>35</v>
      </c>
      <c r="H146" s="16" t="n">
        <v>3</v>
      </c>
      <c r="I146" s="16" t="n">
        <v>5</v>
      </c>
      <c r="J146" s="16" t="n">
        <v>4</v>
      </c>
      <c r="K146" s="16" t="n">
        <v>4</v>
      </c>
      <c r="L146" s="16" t="n">
        <v>96</v>
      </c>
      <c r="M146" s="16" t="n">
        <v>84</v>
      </c>
      <c r="N146" s="16" t="n">
        <v>0</v>
      </c>
      <c r="O146" s="9" t="str">
        <f aca="false">IF(B146="","",IFERROR(INDEX(Options!$G$6:$G$85,MATCH($B146,Options!$A$6:$A$85,0)),""))</f>
        <v>Letter</v>
      </c>
      <c r="P146" s="9" t="str">
        <f aca="false">IF(B146="","",IFERROR(INDEX(Options!$H$6:$H$85,MATCH($B146,Options!$A$6:$A$85,0)),""))</f>
        <v>Seasonal</v>
      </c>
      <c r="Q146" s="24" t="n">
        <f aca="false">IF(B146="",0,N(IFERROR(INDEX(Options!$J$6:$J$85,MATCH($B146,Options!$A$6:$A$85,0)),"")))</f>
        <v>85</v>
      </c>
      <c r="R146" s="25" t="n">
        <f aca="false">K146*Settings!$B$10+J146*Settings!$B$11+I146*Settings!$B$12+H146*Settings!$B$13</f>
        <v>4.1</v>
      </c>
      <c r="S146" s="25" t="n">
        <f aca="false">IFERROR(L146/Settings!$B$8,0)</f>
        <v>4.36363636363636</v>
      </c>
      <c r="T146" s="26" t="n">
        <f aca="false">IF(OR(B146="",P146="End of life"),0,W146*MIN(4,N146))</f>
        <v>0</v>
      </c>
      <c r="U146" s="27" t="n">
        <f aca="false">T146*Q146</f>
        <v>0</v>
      </c>
      <c r="V146" s="14" t="n">
        <f aca="false">IF(B146="",0,G146*N(IFERROR(INDEX(Options!$K$6:$K$85,MATCH($B146,Options!$A$6:$A$85,0)),"")))</f>
        <v>1130.5</v>
      </c>
      <c r="W146" s="26" t="n">
        <f aca="false">IF(B146="",0,IF(N146&gt;=4,S146,(H146+I146+J146+K146)/(4-N146)))</f>
        <v>4</v>
      </c>
    </row>
    <row r="147" customFormat="false" ht="15" hidden="false" customHeight="false" outlineLevel="0" collapsed="false">
      <c r="A147" s="16" t="s">
        <v>477</v>
      </c>
      <c r="B147" s="16" t="s">
        <v>250</v>
      </c>
      <c r="C147" s="16" t="s">
        <v>337</v>
      </c>
      <c r="D147" s="16" t="s">
        <v>183</v>
      </c>
      <c r="E147" s="16" t="n">
        <v>114</v>
      </c>
      <c r="F147" s="16" t="n">
        <v>0</v>
      </c>
      <c r="G147" s="16" t="n">
        <v>32</v>
      </c>
      <c r="H147" s="16" t="n">
        <v>3</v>
      </c>
      <c r="I147" s="16" t="n">
        <v>4</v>
      </c>
      <c r="J147" s="16" t="n">
        <v>3</v>
      </c>
      <c r="K147" s="16" t="n">
        <v>5</v>
      </c>
      <c r="L147" s="16" t="n">
        <v>82</v>
      </c>
      <c r="M147" s="16" t="n">
        <v>72</v>
      </c>
      <c r="N147" s="16" t="n">
        <v>0</v>
      </c>
      <c r="O147" s="9" t="str">
        <f aca="false">IF(B147="","",IFERROR(INDEX(Options!$G$6:$G$85,MATCH($B147,Options!$A$6:$A$85,0)),""))</f>
        <v>Letter</v>
      </c>
      <c r="P147" s="9" t="str">
        <f aca="false">IF(B147="","",IFERROR(INDEX(Options!$H$6:$H$85,MATCH($B147,Options!$A$6:$A$85,0)),""))</f>
        <v>Seasonal</v>
      </c>
      <c r="Q147" s="24" t="n">
        <f aca="false">IF(B147="",0,N(IFERROR(INDEX(Options!$J$6:$J$85,MATCH($B147,Options!$A$6:$A$85,0)),"")))</f>
        <v>85</v>
      </c>
      <c r="R147" s="25" t="n">
        <f aca="false">K147*Settings!$B$10+J147*Settings!$B$11+I147*Settings!$B$12+H147*Settings!$B$13</f>
        <v>4</v>
      </c>
      <c r="S147" s="25" t="n">
        <f aca="false">IFERROR(L147/Settings!$B$8,0)</f>
        <v>3.72727272727273</v>
      </c>
      <c r="T147" s="26" t="n">
        <f aca="false">IF(OR(B147="",P147="End of life"),0,W147*MIN(4,N147))</f>
        <v>0</v>
      </c>
      <c r="U147" s="27" t="n">
        <f aca="false">T147*Q147</f>
        <v>0</v>
      </c>
      <c r="V147" s="14" t="n">
        <f aca="false">IF(B147="",0,G147*N(IFERROR(INDEX(Options!$K$6:$K$85,MATCH($B147,Options!$A$6:$A$85,0)),"")))</f>
        <v>1033.6</v>
      </c>
      <c r="W147" s="26" t="n">
        <f aca="false">IF(B147="",0,IF(N147&gt;=4,S147,(H147+I147+J147+K147)/(4-N147)))</f>
        <v>3.75</v>
      </c>
    </row>
    <row r="148" customFormat="false" ht="15" hidden="false" customHeight="false" outlineLevel="0" collapsed="false">
      <c r="A148" s="16" t="s">
        <v>478</v>
      </c>
      <c r="B148" s="16" t="s">
        <v>250</v>
      </c>
      <c r="C148" s="16" t="s">
        <v>339</v>
      </c>
      <c r="D148" s="16"/>
      <c r="E148" s="16" t="n">
        <v>61</v>
      </c>
      <c r="F148" s="16" t="n">
        <v>0</v>
      </c>
      <c r="G148" s="16" t="n">
        <v>14</v>
      </c>
      <c r="H148" s="16" t="n">
        <v>2</v>
      </c>
      <c r="I148" s="16" t="n">
        <v>2</v>
      </c>
      <c r="J148" s="16" t="n">
        <v>2</v>
      </c>
      <c r="K148" s="16" t="n">
        <v>2</v>
      </c>
      <c r="L148" s="16" t="n">
        <v>47</v>
      </c>
      <c r="M148" s="16" t="n">
        <v>41</v>
      </c>
      <c r="N148" s="16" t="n">
        <v>0</v>
      </c>
      <c r="O148" s="9" t="str">
        <f aca="false">IF(B148="","",IFERROR(INDEX(Options!$G$6:$G$85,MATCH($B148,Options!$A$6:$A$85,0)),""))</f>
        <v>Letter</v>
      </c>
      <c r="P148" s="9" t="str">
        <f aca="false">IF(B148="","",IFERROR(INDEX(Options!$H$6:$H$85,MATCH($B148,Options!$A$6:$A$85,0)),""))</f>
        <v>Seasonal</v>
      </c>
      <c r="Q148" s="24" t="n">
        <f aca="false">IF(B148="",0,N(IFERROR(INDEX(Options!$J$6:$J$85,MATCH($B148,Options!$A$6:$A$85,0)),"")))</f>
        <v>85</v>
      </c>
      <c r="R148" s="25" t="n">
        <f aca="false">K148*Settings!$B$10+J148*Settings!$B$11+I148*Settings!$B$12+H148*Settings!$B$13</f>
        <v>2</v>
      </c>
      <c r="S148" s="25" t="n">
        <f aca="false">IFERROR(L148/Settings!$B$8,0)</f>
        <v>2.13636363636364</v>
      </c>
      <c r="T148" s="26" t="n">
        <f aca="false">IF(OR(B148="",P148="End of life"),0,W148*MIN(4,N148))</f>
        <v>0</v>
      </c>
      <c r="U148" s="27" t="n">
        <f aca="false">T148*Q148</f>
        <v>0</v>
      </c>
      <c r="V148" s="14" t="n">
        <f aca="false">IF(B148="",0,G148*N(IFERROR(INDEX(Options!$K$6:$K$85,MATCH($B148,Options!$A$6:$A$85,0)),"")))</f>
        <v>452.2</v>
      </c>
      <c r="W148" s="26" t="n">
        <f aca="false">IF(B148="",0,IF(N148&gt;=4,S148,(H148+I148+J148+K148)/(4-N148)))</f>
        <v>2</v>
      </c>
    </row>
    <row r="149" customFormat="false" ht="15" hidden="false" customHeight="false" outlineLevel="0" collapsed="false">
      <c r="A149" s="16" t="s">
        <v>479</v>
      </c>
      <c r="B149" s="16" t="s">
        <v>250</v>
      </c>
      <c r="C149" s="16" t="s">
        <v>341</v>
      </c>
      <c r="D149" s="16"/>
      <c r="E149" s="16" t="n">
        <v>35</v>
      </c>
      <c r="F149" s="16" t="n">
        <v>0</v>
      </c>
      <c r="G149" s="16" t="n">
        <v>16</v>
      </c>
      <c r="H149" s="16" t="n">
        <v>1</v>
      </c>
      <c r="I149" s="16" t="n">
        <v>1</v>
      </c>
      <c r="J149" s="16" t="n">
        <v>1</v>
      </c>
      <c r="K149" s="16" t="n">
        <v>1</v>
      </c>
      <c r="L149" s="16" t="n">
        <v>19</v>
      </c>
      <c r="M149" s="16" t="n">
        <v>17</v>
      </c>
      <c r="N149" s="16" t="n">
        <v>0</v>
      </c>
      <c r="O149" s="9" t="str">
        <f aca="false">IF(B149="","",IFERROR(INDEX(Options!$G$6:$G$85,MATCH($B149,Options!$A$6:$A$85,0)),""))</f>
        <v>Letter</v>
      </c>
      <c r="P149" s="9" t="str">
        <f aca="false">IF(B149="","",IFERROR(INDEX(Options!$H$6:$H$85,MATCH($B149,Options!$A$6:$A$85,0)),""))</f>
        <v>Seasonal</v>
      </c>
      <c r="Q149" s="24" t="n">
        <f aca="false">IF(B149="",0,N(IFERROR(INDEX(Options!$J$6:$J$85,MATCH($B149,Options!$A$6:$A$85,0)),"")))</f>
        <v>85</v>
      </c>
      <c r="R149" s="25" t="n">
        <f aca="false">K149*Settings!$B$10+J149*Settings!$B$11+I149*Settings!$B$12+H149*Settings!$B$13</f>
        <v>1</v>
      </c>
      <c r="S149" s="25" t="n">
        <f aca="false">IFERROR(L149/Settings!$B$8,0)</f>
        <v>0.863636363636364</v>
      </c>
      <c r="T149" s="26" t="n">
        <f aca="false">IF(OR(B149="",P149="End of life"),0,W149*MIN(4,N149))</f>
        <v>0</v>
      </c>
      <c r="U149" s="27" t="n">
        <f aca="false">T149*Q149</f>
        <v>0</v>
      </c>
      <c r="V149" s="14" t="n">
        <f aca="false">IF(B149="",0,G149*N(IFERROR(INDEX(Options!$K$6:$K$85,MATCH($B149,Options!$A$6:$A$85,0)),"")))</f>
        <v>516.8</v>
      </c>
      <c r="W149" s="26" t="n">
        <f aca="false">IF(B149="",0,IF(N149&gt;=4,S149,(H149+I149+J149+K149)/(4-N149)))</f>
        <v>1</v>
      </c>
    </row>
    <row r="150" customFormat="false" ht="15" hidden="false" customHeight="false" outlineLevel="0" collapsed="false">
      <c r="A150" s="16" t="s">
        <v>480</v>
      </c>
      <c r="B150" s="16" t="s">
        <v>252</v>
      </c>
      <c r="C150" s="16" t="s">
        <v>331</v>
      </c>
      <c r="D150" s="16"/>
      <c r="E150" s="16" t="n">
        <v>61</v>
      </c>
      <c r="F150" s="16" t="n">
        <v>0</v>
      </c>
      <c r="G150" s="16" t="n">
        <v>29</v>
      </c>
      <c r="H150" s="16" t="n">
        <v>2</v>
      </c>
      <c r="I150" s="16" t="n">
        <v>1</v>
      </c>
      <c r="J150" s="16" t="n">
        <v>2</v>
      </c>
      <c r="K150" s="16" t="n">
        <v>2</v>
      </c>
      <c r="L150" s="16" t="n">
        <v>32</v>
      </c>
      <c r="M150" s="16" t="n">
        <v>28</v>
      </c>
      <c r="N150" s="16" t="n">
        <v>0</v>
      </c>
      <c r="O150" s="9" t="str">
        <f aca="false">IF(B150="","",IFERROR(INDEX(Options!$G$6:$G$85,MATCH($B150,Options!$A$6:$A$85,0)),""))</f>
        <v>Letter</v>
      </c>
      <c r="P150" s="9" t="str">
        <f aca="false">IF(B150="","",IFERROR(INDEX(Options!$H$6:$H$85,MATCH($B150,Options!$A$6:$A$85,0)),""))</f>
        <v>Seasonal</v>
      </c>
      <c r="Q150" s="24" t="n">
        <f aca="false">IF(B150="",0,N(IFERROR(INDEX(Options!$J$6:$J$85,MATCH($B150,Options!$A$6:$A$85,0)),"")))</f>
        <v>70</v>
      </c>
      <c r="R150" s="25" t="n">
        <f aca="false">K150*Settings!$B$10+J150*Settings!$B$11+I150*Settings!$B$12+H150*Settings!$B$13</f>
        <v>1.8</v>
      </c>
      <c r="S150" s="25" t="n">
        <f aca="false">IFERROR(L150/Settings!$B$8,0)</f>
        <v>1.45454545454545</v>
      </c>
      <c r="T150" s="26" t="n">
        <f aca="false">IF(OR(B150="",P150="End of life"),0,W150*MIN(4,N150))</f>
        <v>0</v>
      </c>
      <c r="U150" s="27" t="n">
        <f aca="false">T150*Q150</f>
        <v>0</v>
      </c>
      <c r="V150" s="14" t="n">
        <f aca="false">IF(B150="",0,G150*N(IFERROR(INDEX(Options!$K$6:$K$85,MATCH($B150,Options!$A$6:$A$85,0)),"")))</f>
        <v>771.4</v>
      </c>
      <c r="W150" s="26" t="n">
        <f aca="false">IF(B150="",0,IF(N150&gt;=4,S150,(H150+I150+J150+K150)/(4-N150)))</f>
        <v>1.75</v>
      </c>
    </row>
    <row r="151" customFormat="false" ht="15" hidden="false" customHeight="false" outlineLevel="0" collapsed="false">
      <c r="A151" s="16" t="s">
        <v>481</v>
      </c>
      <c r="B151" s="16" t="s">
        <v>252</v>
      </c>
      <c r="C151" s="16" t="s">
        <v>333</v>
      </c>
      <c r="D151" s="16" t="s">
        <v>183</v>
      </c>
      <c r="E151" s="16" t="n">
        <v>135</v>
      </c>
      <c r="F151" s="16" t="n">
        <v>0</v>
      </c>
      <c r="G151" s="16" t="n">
        <v>42</v>
      </c>
      <c r="H151" s="16" t="n">
        <v>3</v>
      </c>
      <c r="I151" s="16" t="n">
        <v>4</v>
      </c>
      <c r="J151" s="16" t="n">
        <v>4</v>
      </c>
      <c r="K151" s="16" t="n">
        <v>6</v>
      </c>
      <c r="L151" s="16" t="n">
        <v>93</v>
      </c>
      <c r="M151" s="16" t="n">
        <v>82</v>
      </c>
      <c r="N151" s="16" t="n">
        <v>0</v>
      </c>
      <c r="O151" s="9" t="str">
        <f aca="false">IF(B151="","",IFERROR(INDEX(Options!$G$6:$G$85,MATCH($B151,Options!$A$6:$A$85,0)),""))</f>
        <v>Letter</v>
      </c>
      <c r="P151" s="9" t="str">
        <f aca="false">IF(B151="","",IFERROR(INDEX(Options!$H$6:$H$85,MATCH($B151,Options!$A$6:$A$85,0)),""))</f>
        <v>Seasonal</v>
      </c>
      <c r="Q151" s="24" t="n">
        <f aca="false">IF(B151="",0,N(IFERROR(INDEX(Options!$J$6:$J$85,MATCH($B151,Options!$A$6:$A$85,0)),"")))</f>
        <v>70</v>
      </c>
      <c r="R151" s="25" t="n">
        <f aca="false">K151*Settings!$B$10+J151*Settings!$B$11+I151*Settings!$B$12+H151*Settings!$B$13</f>
        <v>4.7</v>
      </c>
      <c r="S151" s="25" t="n">
        <f aca="false">IFERROR(L151/Settings!$B$8,0)</f>
        <v>4.22727272727273</v>
      </c>
      <c r="T151" s="26" t="n">
        <f aca="false">IF(OR(B151="",P151="End of life"),0,W151*MIN(4,N151))</f>
        <v>0</v>
      </c>
      <c r="U151" s="27" t="n">
        <f aca="false">T151*Q151</f>
        <v>0</v>
      </c>
      <c r="V151" s="14" t="n">
        <f aca="false">IF(B151="",0,G151*N(IFERROR(INDEX(Options!$K$6:$K$85,MATCH($B151,Options!$A$6:$A$85,0)),"")))</f>
        <v>1117.2</v>
      </c>
      <c r="W151" s="26" t="n">
        <f aca="false">IF(B151="",0,IF(N151&gt;=4,S151,(H151+I151+J151+K151)/(4-N151)))</f>
        <v>4.25</v>
      </c>
    </row>
    <row r="152" customFormat="false" ht="15" hidden="false" customHeight="false" outlineLevel="0" collapsed="false">
      <c r="A152" s="16" t="s">
        <v>482</v>
      </c>
      <c r="B152" s="16" t="s">
        <v>252</v>
      </c>
      <c r="C152" s="16" t="s">
        <v>335</v>
      </c>
      <c r="D152" s="16" t="s">
        <v>183</v>
      </c>
      <c r="E152" s="16" t="n">
        <v>225</v>
      </c>
      <c r="F152" s="16" t="n">
        <v>0</v>
      </c>
      <c r="G152" s="16" t="n">
        <v>69</v>
      </c>
      <c r="H152" s="16" t="n">
        <v>6</v>
      </c>
      <c r="I152" s="16" t="n">
        <v>8</v>
      </c>
      <c r="J152" s="16" t="n">
        <v>7</v>
      </c>
      <c r="K152" s="16" t="n">
        <v>9</v>
      </c>
      <c r="L152" s="16" t="n">
        <v>156</v>
      </c>
      <c r="M152" s="16" t="n">
        <v>137</v>
      </c>
      <c r="N152" s="16" t="n">
        <v>0</v>
      </c>
      <c r="O152" s="9" t="str">
        <f aca="false">IF(B152="","",IFERROR(INDEX(Options!$G$6:$G$85,MATCH($B152,Options!$A$6:$A$85,0)),""))</f>
        <v>Letter</v>
      </c>
      <c r="P152" s="9" t="str">
        <f aca="false">IF(B152="","",IFERROR(INDEX(Options!$H$6:$H$85,MATCH($B152,Options!$A$6:$A$85,0)),""))</f>
        <v>Seasonal</v>
      </c>
      <c r="Q152" s="24" t="n">
        <f aca="false">IF(B152="",0,N(IFERROR(INDEX(Options!$J$6:$J$85,MATCH($B152,Options!$A$6:$A$85,0)),"")))</f>
        <v>70</v>
      </c>
      <c r="R152" s="25" t="n">
        <f aca="false">K152*Settings!$B$10+J152*Settings!$B$11+I152*Settings!$B$12+H152*Settings!$B$13</f>
        <v>7.9</v>
      </c>
      <c r="S152" s="25" t="n">
        <f aca="false">IFERROR(L152/Settings!$B$8,0)</f>
        <v>7.09090909090909</v>
      </c>
      <c r="T152" s="26" t="n">
        <f aca="false">IF(OR(B152="",P152="End of life"),0,W152*MIN(4,N152))</f>
        <v>0</v>
      </c>
      <c r="U152" s="27" t="n">
        <f aca="false">T152*Q152</f>
        <v>0</v>
      </c>
      <c r="V152" s="14" t="n">
        <f aca="false">IF(B152="",0,G152*N(IFERROR(INDEX(Options!$K$6:$K$85,MATCH($B152,Options!$A$6:$A$85,0)),"")))</f>
        <v>1835.4</v>
      </c>
      <c r="W152" s="26" t="n">
        <f aca="false">IF(B152="",0,IF(N152&gt;=4,S152,(H152+I152+J152+K152)/(4-N152)))</f>
        <v>7.5</v>
      </c>
    </row>
    <row r="153" customFormat="false" ht="15" hidden="false" customHeight="false" outlineLevel="0" collapsed="false">
      <c r="A153" s="16" t="s">
        <v>483</v>
      </c>
      <c r="B153" s="16" t="s">
        <v>252</v>
      </c>
      <c r="C153" s="16" t="s">
        <v>337</v>
      </c>
      <c r="D153" s="16" t="s">
        <v>183</v>
      </c>
      <c r="E153" s="16" t="n">
        <v>195</v>
      </c>
      <c r="F153" s="16" t="n">
        <v>0</v>
      </c>
      <c r="G153" s="16" t="n">
        <v>66</v>
      </c>
      <c r="H153" s="16" t="n">
        <v>7</v>
      </c>
      <c r="I153" s="16" t="n">
        <v>5</v>
      </c>
      <c r="J153" s="16" t="n">
        <v>5</v>
      </c>
      <c r="K153" s="16" t="n">
        <v>9</v>
      </c>
      <c r="L153" s="16" t="n">
        <v>129</v>
      </c>
      <c r="M153" s="16" t="n">
        <v>114</v>
      </c>
      <c r="N153" s="16" t="n">
        <v>0</v>
      </c>
      <c r="O153" s="9" t="str">
        <f aca="false">IF(B153="","",IFERROR(INDEX(Options!$G$6:$G$85,MATCH($B153,Options!$A$6:$A$85,0)),""))</f>
        <v>Letter</v>
      </c>
      <c r="P153" s="9" t="str">
        <f aca="false">IF(B153="","",IFERROR(INDEX(Options!$H$6:$H$85,MATCH($B153,Options!$A$6:$A$85,0)),""))</f>
        <v>Seasonal</v>
      </c>
      <c r="Q153" s="24" t="n">
        <f aca="false">IF(B153="",0,N(IFERROR(INDEX(Options!$J$6:$J$85,MATCH($B153,Options!$A$6:$A$85,0)),"")))</f>
        <v>70</v>
      </c>
      <c r="R153" s="25" t="n">
        <f aca="false">K153*Settings!$B$10+J153*Settings!$B$11+I153*Settings!$B$12+H153*Settings!$B$13</f>
        <v>6.8</v>
      </c>
      <c r="S153" s="25" t="n">
        <f aca="false">IFERROR(L153/Settings!$B$8,0)</f>
        <v>5.86363636363636</v>
      </c>
      <c r="T153" s="26" t="n">
        <f aca="false">IF(OR(B153="",P153="End of life"),0,W153*MIN(4,N153))</f>
        <v>0</v>
      </c>
      <c r="U153" s="27" t="n">
        <f aca="false">T153*Q153</f>
        <v>0</v>
      </c>
      <c r="V153" s="14" t="n">
        <f aca="false">IF(B153="",0,G153*N(IFERROR(INDEX(Options!$K$6:$K$85,MATCH($B153,Options!$A$6:$A$85,0)),"")))</f>
        <v>1755.6</v>
      </c>
      <c r="W153" s="26" t="n">
        <f aca="false">IF(B153="",0,IF(N153&gt;=4,S153,(H153+I153+J153+K153)/(4-N153)))</f>
        <v>6.5</v>
      </c>
    </row>
    <row r="154" customFormat="false" ht="15" hidden="false" customHeight="false" outlineLevel="0" collapsed="false">
      <c r="A154" s="16" t="s">
        <v>484</v>
      </c>
      <c r="B154" s="16" t="s">
        <v>252</v>
      </c>
      <c r="C154" s="16" t="s">
        <v>339</v>
      </c>
      <c r="D154" s="16"/>
      <c r="E154" s="16" t="n">
        <v>105</v>
      </c>
      <c r="F154" s="16" t="n">
        <v>0</v>
      </c>
      <c r="G154" s="16" t="n">
        <v>29</v>
      </c>
      <c r="H154" s="16" t="n">
        <v>4</v>
      </c>
      <c r="I154" s="16" t="n">
        <v>3</v>
      </c>
      <c r="J154" s="16" t="n">
        <v>4</v>
      </c>
      <c r="K154" s="16" t="n">
        <v>3</v>
      </c>
      <c r="L154" s="16" t="n">
        <v>76</v>
      </c>
      <c r="M154" s="16" t="n">
        <v>67</v>
      </c>
      <c r="N154" s="16" t="n">
        <v>0</v>
      </c>
      <c r="O154" s="9" t="str">
        <f aca="false">IF(B154="","",IFERROR(INDEX(Options!$G$6:$G$85,MATCH($B154,Options!$A$6:$A$85,0)),""))</f>
        <v>Letter</v>
      </c>
      <c r="P154" s="9" t="str">
        <f aca="false">IF(B154="","",IFERROR(INDEX(Options!$H$6:$H$85,MATCH($B154,Options!$A$6:$A$85,0)),""))</f>
        <v>Seasonal</v>
      </c>
      <c r="Q154" s="24" t="n">
        <f aca="false">IF(B154="",0,N(IFERROR(INDEX(Options!$J$6:$J$85,MATCH($B154,Options!$A$6:$A$85,0)),"")))</f>
        <v>70</v>
      </c>
      <c r="R154" s="25" t="n">
        <f aca="false">K154*Settings!$B$10+J154*Settings!$B$11+I154*Settings!$B$12+H154*Settings!$B$13</f>
        <v>3.4</v>
      </c>
      <c r="S154" s="25" t="n">
        <f aca="false">IFERROR(L154/Settings!$B$8,0)</f>
        <v>3.45454545454545</v>
      </c>
      <c r="T154" s="26" t="n">
        <f aca="false">IF(OR(B154="",P154="End of life"),0,W154*MIN(4,N154))</f>
        <v>0</v>
      </c>
      <c r="U154" s="27" t="n">
        <f aca="false">T154*Q154</f>
        <v>0</v>
      </c>
      <c r="V154" s="14" t="n">
        <f aca="false">IF(B154="",0,G154*N(IFERROR(INDEX(Options!$K$6:$K$85,MATCH($B154,Options!$A$6:$A$85,0)),"")))</f>
        <v>771.4</v>
      </c>
      <c r="W154" s="26" t="n">
        <f aca="false">IF(B154="",0,IF(N154&gt;=4,S154,(H154+I154+J154+K154)/(4-N154)))</f>
        <v>3.5</v>
      </c>
    </row>
    <row r="155" customFormat="false" ht="15" hidden="false" customHeight="false" outlineLevel="0" collapsed="false">
      <c r="A155" s="16" t="s">
        <v>485</v>
      </c>
      <c r="B155" s="16" t="s">
        <v>252</v>
      </c>
      <c r="C155" s="16" t="s">
        <v>341</v>
      </c>
      <c r="D155" s="16"/>
      <c r="E155" s="16" t="n">
        <v>61</v>
      </c>
      <c r="F155" s="16" t="n">
        <v>0</v>
      </c>
      <c r="G155" s="16" t="n">
        <v>30</v>
      </c>
      <c r="H155" s="16" t="n">
        <v>1</v>
      </c>
      <c r="I155" s="16" t="n">
        <v>1</v>
      </c>
      <c r="J155" s="16" t="n">
        <v>2</v>
      </c>
      <c r="K155" s="16" t="n">
        <v>2</v>
      </c>
      <c r="L155" s="16" t="n">
        <v>31</v>
      </c>
      <c r="M155" s="16" t="n">
        <v>27</v>
      </c>
      <c r="N155" s="16" t="n">
        <v>0</v>
      </c>
      <c r="O155" s="9" t="str">
        <f aca="false">IF(B155="","",IFERROR(INDEX(Options!$G$6:$G$85,MATCH($B155,Options!$A$6:$A$85,0)),""))</f>
        <v>Letter</v>
      </c>
      <c r="P155" s="9" t="str">
        <f aca="false">IF(B155="","",IFERROR(INDEX(Options!$H$6:$H$85,MATCH($B155,Options!$A$6:$A$85,0)),""))</f>
        <v>Seasonal</v>
      </c>
      <c r="Q155" s="24" t="n">
        <f aca="false">IF(B155="",0,N(IFERROR(INDEX(Options!$J$6:$J$85,MATCH($B155,Options!$A$6:$A$85,0)),"")))</f>
        <v>70</v>
      </c>
      <c r="R155" s="25" t="n">
        <f aca="false">K155*Settings!$B$10+J155*Settings!$B$11+I155*Settings!$B$12+H155*Settings!$B$13</f>
        <v>1.7</v>
      </c>
      <c r="S155" s="25" t="n">
        <f aca="false">IFERROR(L155/Settings!$B$8,0)</f>
        <v>1.40909090909091</v>
      </c>
      <c r="T155" s="26" t="n">
        <f aca="false">IF(OR(B155="",P155="End of life"),0,W155*MIN(4,N155))</f>
        <v>0</v>
      </c>
      <c r="U155" s="27" t="n">
        <f aca="false">T155*Q155</f>
        <v>0</v>
      </c>
      <c r="V155" s="14" t="n">
        <f aca="false">IF(B155="",0,G155*N(IFERROR(INDEX(Options!$K$6:$K$85,MATCH($B155,Options!$A$6:$A$85,0)),"")))</f>
        <v>798</v>
      </c>
      <c r="W155" s="26" t="n">
        <f aca="false">IF(B155="",0,IF(N155&gt;=4,S155,(H155+I155+J155+K155)/(4-N155)))</f>
        <v>1.5</v>
      </c>
    </row>
    <row r="156" customFormat="false" ht="15" hidden="false" customHeight="false" outlineLevel="0" collapsed="false">
      <c r="A156" s="16" t="s">
        <v>486</v>
      </c>
      <c r="B156" s="16" t="s">
        <v>253</v>
      </c>
      <c r="C156" s="16" t="s">
        <v>331</v>
      </c>
      <c r="D156" s="16"/>
      <c r="E156" s="16" t="n">
        <v>54</v>
      </c>
      <c r="F156" s="16" t="n">
        <v>0</v>
      </c>
      <c r="G156" s="16" t="n">
        <v>23</v>
      </c>
      <c r="H156" s="16" t="n">
        <v>1</v>
      </c>
      <c r="I156" s="16" t="n">
        <v>2</v>
      </c>
      <c r="J156" s="16" t="n">
        <v>2</v>
      </c>
      <c r="K156" s="16" t="n">
        <v>2</v>
      </c>
      <c r="L156" s="16" t="n">
        <v>31</v>
      </c>
      <c r="M156" s="16" t="n">
        <v>27</v>
      </c>
      <c r="N156" s="16" t="n">
        <v>0</v>
      </c>
      <c r="O156" s="9" t="str">
        <f aca="false">IF(B156="","",IFERROR(INDEX(Options!$G$6:$G$85,MATCH($B156,Options!$A$6:$A$85,0)),""))</f>
        <v>Letter</v>
      </c>
      <c r="P156" s="9" t="str">
        <f aca="false">IF(B156="","",IFERROR(INDEX(Options!$H$6:$H$85,MATCH($B156,Options!$A$6:$A$85,0)),""))</f>
        <v>Core</v>
      </c>
      <c r="Q156" s="24" t="n">
        <f aca="false">IF(B156="",0,N(IFERROR(INDEX(Options!$J$6:$J$85,MATCH($B156,Options!$A$6:$A$85,0)),"")))</f>
        <v>85</v>
      </c>
      <c r="R156" s="25" t="n">
        <f aca="false">K156*Settings!$B$10+J156*Settings!$B$11+I156*Settings!$B$12+H156*Settings!$B$13</f>
        <v>1.9</v>
      </c>
      <c r="S156" s="25" t="n">
        <f aca="false">IFERROR(L156/Settings!$B$8,0)</f>
        <v>1.40909090909091</v>
      </c>
      <c r="T156" s="26" t="n">
        <f aca="false">IF(OR(B156="",P156="End of life"),0,W156*MIN(4,N156))</f>
        <v>0</v>
      </c>
      <c r="U156" s="27" t="n">
        <f aca="false">T156*Q156</f>
        <v>0</v>
      </c>
      <c r="V156" s="14" t="n">
        <f aca="false">IF(B156="",0,G156*N(IFERROR(INDEX(Options!$K$6:$K$85,MATCH($B156,Options!$A$6:$A$85,0)),"")))</f>
        <v>742.9</v>
      </c>
      <c r="W156" s="26" t="n">
        <f aca="false">IF(B156="",0,IF(N156&gt;=4,S156,(H156+I156+J156+K156)/(4-N156)))</f>
        <v>1.75</v>
      </c>
    </row>
    <row r="157" customFormat="false" ht="15" hidden="false" customHeight="false" outlineLevel="0" collapsed="false">
      <c r="A157" s="16" t="s">
        <v>487</v>
      </c>
      <c r="B157" s="16" t="s">
        <v>253</v>
      </c>
      <c r="C157" s="16" t="s">
        <v>333</v>
      </c>
      <c r="D157" s="16" t="s">
        <v>183</v>
      </c>
      <c r="E157" s="16" t="n">
        <v>120</v>
      </c>
      <c r="F157" s="16" t="n">
        <v>0</v>
      </c>
      <c r="G157" s="16" t="n">
        <v>30</v>
      </c>
      <c r="H157" s="16" t="n">
        <v>4</v>
      </c>
      <c r="I157" s="16" t="n">
        <v>4</v>
      </c>
      <c r="J157" s="16" t="n">
        <v>4</v>
      </c>
      <c r="K157" s="16" t="n">
        <v>5</v>
      </c>
      <c r="L157" s="16" t="n">
        <v>90</v>
      </c>
      <c r="M157" s="16" t="n">
        <v>79</v>
      </c>
      <c r="N157" s="16" t="n">
        <v>0</v>
      </c>
      <c r="O157" s="9" t="str">
        <f aca="false">IF(B157="","",IFERROR(INDEX(Options!$G$6:$G$85,MATCH($B157,Options!$A$6:$A$85,0)),""))</f>
        <v>Letter</v>
      </c>
      <c r="P157" s="9" t="str">
        <f aca="false">IF(B157="","",IFERROR(INDEX(Options!$H$6:$H$85,MATCH($B157,Options!$A$6:$A$85,0)),""))</f>
        <v>Core</v>
      </c>
      <c r="Q157" s="24" t="n">
        <f aca="false">IF(B157="",0,N(IFERROR(INDEX(Options!$J$6:$J$85,MATCH($B157,Options!$A$6:$A$85,0)),"")))</f>
        <v>85</v>
      </c>
      <c r="R157" s="25" t="n">
        <f aca="false">K157*Settings!$B$10+J157*Settings!$B$11+I157*Settings!$B$12+H157*Settings!$B$13</f>
        <v>4.4</v>
      </c>
      <c r="S157" s="25" t="n">
        <f aca="false">IFERROR(L157/Settings!$B$8,0)</f>
        <v>4.09090909090909</v>
      </c>
      <c r="T157" s="26" t="n">
        <f aca="false">IF(OR(B157="",P157="End of life"),0,W157*MIN(4,N157))</f>
        <v>0</v>
      </c>
      <c r="U157" s="27" t="n">
        <f aca="false">T157*Q157</f>
        <v>0</v>
      </c>
      <c r="V157" s="14" t="n">
        <f aca="false">IF(B157="",0,G157*N(IFERROR(INDEX(Options!$K$6:$K$85,MATCH($B157,Options!$A$6:$A$85,0)),"")))</f>
        <v>969</v>
      </c>
      <c r="W157" s="26" t="n">
        <f aca="false">IF(B157="",0,IF(N157&gt;=4,S157,(H157+I157+J157+K157)/(4-N157)))</f>
        <v>4.25</v>
      </c>
    </row>
    <row r="158" customFormat="false" ht="15" hidden="false" customHeight="false" outlineLevel="0" collapsed="false">
      <c r="A158" s="16" t="s">
        <v>488</v>
      </c>
      <c r="B158" s="16" t="s">
        <v>253</v>
      </c>
      <c r="C158" s="16" t="s">
        <v>335</v>
      </c>
      <c r="D158" s="16" t="s">
        <v>183</v>
      </c>
      <c r="E158" s="16" t="n">
        <v>200</v>
      </c>
      <c r="F158" s="16" t="n">
        <v>0</v>
      </c>
      <c r="G158" s="16" t="n">
        <v>47</v>
      </c>
      <c r="H158" s="16" t="n">
        <v>6</v>
      </c>
      <c r="I158" s="16" t="n">
        <v>7</v>
      </c>
      <c r="J158" s="16" t="n">
        <v>6</v>
      </c>
      <c r="K158" s="16" t="n">
        <v>5</v>
      </c>
      <c r="L158" s="16" t="n">
        <v>153</v>
      </c>
      <c r="M158" s="16" t="n">
        <v>135</v>
      </c>
      <c r="N158" s="16" t="n">
        <v>0</v>
      </c>
      <c r="O158" s="9" t="str">
        <f aca="false">IF(B158="","",IFERROR(INDEX(Options!$G$6:$G$85,MATCH($B158,Options!$A$6:$A$85,0)),""))</f>
        <v>Letter</v>
      </c>
      <c r="P158" s="9" t="str">
        <f aca="false">IF(B158="","",IFERROR(INDEX(Options!$H$6:$H$85,MATCH($B158,Options!$A$6:$A$85,0)),""))</f>
        <v>Core</v>
      </c>
      <c r="Q158" s="24" t="n">
        <f aca="false">IF(B158="",0,N(IFERROR(INDEX(Options!$J$6:$J$85,MATCH($B158,Options!$A$6:$A$85,0)),"")))</f>
        <v>85</v>
      </c>
      <c r="R158" s="25" t="n">
        <f aca="false">K158*Settings!$B$10+J158*Settings!$B$11+I158*Settings!$B$12+H158*Settings!$B$13</f>
        <v>5.8</v>
      </c>
      <c r="S158" s="25" t="n">
        <f aca="false">IFERROR(L158/Settings!$B$8,0)</f>
        <v>6.95454545454545</v>
      </c>
      <c r="T158" s="26" t="n">
        <f aca="false">IF(OR(B158="",P158="End of life"),0,W158*MIN(4,N158))</f>
        <v>0</v>
      </c>
      <c r="U158" s="27" t="n">
        <f aca="false">T158*Q158</f>
        <v>0</v>
      </c>
      <c r="V158" s="14" t="n">
        <f aca="false">IF(B158="",0,G158*N(IFERROR(INDEX(Options!$K$6:$K$85,MATCH($B158,Options!$A$6:$A$85,0)),"")))</f>
        <v>1518.1</v>
      </c>
      <c r="W158" s="26" t="n">
        <f aca="false">IF(B158="",0,IF(N158&gt;=4,S158,(H158+I158+J158+K158)/(4-N158)))</f>
        <v>6</v>
      </c>
    </row>
    <row r="159" customFormat="false" ht="15" hidden="false" customHeight="false" outlineLevel="0" collapsed="false">
      <c r="A159" s="16" t="s">
        <v>489</v>
      </c>
      <c r="B159" s="16" t="s">
        <v>253</v>
      </c>
      <c r="C159" s="16" t="s">
        <v>337</v>
      </c>
      <c r="D159" s="16" t="s">
        <v>183</v>
      </c>
      <c r="E159" s="16" t="n">
        <v>173</v>
      </c>
      <c r="F159" s="16" t="n">
        <v>0</v>
      </c>
      <c r="G159" s="16" t="n">
        <v>42</v>
      </c>
      <c r="H159" s="16" t="n">
        <v>5</v>
      </c>
      <c r="I159" s="16" t="n">
        <v>7</v>
      </c>
      <c r="J159" s="16" t="n">
        <v>6</v>
      </c>
      <c r="K159" s="16" t="n">
        <v>7</v>
      </c>
      <c r="L159" s="16" t="n">
        <v>131</v>
      </c>
      <c r="M159" s="16" t="n">
        <v>115</v>
      </c>
      <c r="N159" s="16" t="n">
        <v>0</v>
      </c>
      <c r="O159" s="9" t="str">
        <f aca="false">IF(B159="","",IFERROR(INDEX(Options!$G$6:$G$85,MATCH($B159,Options!$A$6:$A$85,0)),""))</f>
        <v>Letter</v>
      </c>
      <c r="P159" s="9" t="str">
        <f aca="false">IF(B159="","",IFERROR(INDEX(Options!$H$6:$H$85,MATCH($B159,Options!$A$6:$A$85,0)),""))</f>
        <v>Core</v>
      </c>
      <c r="Q159" s="24" t="n">
        <f aca="false">IF(B159="",0,N(IFERROR(INDEX(Options!$J$6:$J$85,MATCH($B159,Options!$A$6:$A$85,0)),"")))</f>
        <v>85</v>
      </c>
      <c r="R159" s="25" t="n">
        <f aca="false">K159*Settings!$B$10+J159*Settings!$B$11+I159*Settings!$B$12+H159*Settings!$B$13</f>
        <v>6.5</v>
      </c>
      <c r="S159" s="25" t="n">
        <f aca="false">IFERROR(L159/Settings!$B$8,0)</f>
        <v>5.95454545454545</v>
      </c>
      <c r="T159" s="26" t="n">
        <f aca="false">IF(OR(B159="",P159="End of life"),0,W159*MIN(4,N159))</f>
        <v>0</v>
      </c>
      <c r="U159" s="27" t="n">
        <f aca="false">T159*Q159</f>
        <v>0</v>
      </c>
      <c r="V159" s="14" t="n">
        <f aca="false">IF(B159="",0,G159*N(IFERROR(INDEX(Options!$K$6:$K$85,MATCH($B159,Options!$A$6:$A$85,0)),"")))</f>
        <v>1356.6</v>
      </c>
      <c r="W159" s="26" t="n">
        <f aca="false">IF(B159="",0,IF(N159&gt;=4,S159,(H159+I159+J159+K159)/(4-N159)))</f>
        <v>6.25</v>
      </c>
    </row>
    <row r="160" customFormat="false" ht="15" hidden="false" customHeight="false" outlineLevel="0" collapsed="false">
      <c r="A160" s="16" t="s">
        <v>490</v>
      </c>
      <c r="B160" s="16" t="s">
        <v>253</v>
      </c>
      <c r="C160" s="16" t="s">
        <v>339</v>
      </c>
      <c r="D160" s="16"/>
      <c r="E160" s="16" t="n">
        <v>93</v>
      </c>
      <c r="F160" s="16" t="n">
        <v>0</v>
      </c>
      <c r="G160" s="16" t="n">
        <v>28</v>
      </c>
      <c r="H160" s="16" t="n">
        <v>3</v>
      </c>
      <c r="I160" s="16" t="n">
        <v>3</v>
      </c>
      <c r="J160" s="16" t="n">
        <v>3</v>
      </c>
      <c r="K160" s="16" t="n">
        <v>3</v>
      </c>
      <c r="L160" s="16" t="n">
        <v>65</v>
      </c>
      <c r="M160" s="16" t="n">
        <v>57</v>
      </c>
      <c r="N160" s="16" t="n">
        <v>0</v>
      </c>
      <c r="O160" s="9" t="str">
        <f aca="false">IF(B160="","",IFERROR(INDEX(Options!$G$6:$G$85,MATCH($B160,Options!$A$6:$A$85,0)),""))</f>
        <v>Letter</v>
      </c>
      <c r="P160" s="9" t="str">
        <f aca="false">IF(B160="","",IFERROR(INDEX(Options!$H$6:$H$85,MATCH($B160,Options!$A$6:$A$85,0)),""))</f>
        <v>Core</v>
      </c>
      <c r="Q160" s="24" t="n">
        <f aca="false">IF(B160="",0,N(IFERROR(INDEX(Options!$J$6:$J$85,MATCH($B160,Options!$A$6:$A$85,0)),"")))</f>
        <v>85</v>
      </c>
      <c r="R160" s="25" t="n">
        <f aca="false">K160*Settings!$B$10+J160*Settings!$B$11+I160*Settings!$B$12+H160*Settings!$B$13</f>
        <v>3</v>
      </c>
      <c r="S160" s="25" t="n">
        <f aca="false">IFERROR(L160/Settings!$B$8,0)</f>
        <v>2.95454545454545</v>
      </c>
      <c r="T160" s="26" t="n">
        <f aca="false">IF(OR(B160="",P160="End of life"),0,W160*MIN(4,N160))</f>
        <v>0</v>
      </c>
      <c r="U160" s="27" t="n">
        <f aca="false">T160*Q160</f>
        <v>0</v>
      </c>
      <c r="V160" s="14" t="n">
        <f aca="false">IF(B160="",0,G160*N(IFERROR(INDEX(Options!$K$6:$K$85,MATCH($B160,Options!$A$6:$A$85,0)),"")))</f>
        <v>904.4</v>
      </c>
      <c r="W160" s="26" t="n">
        <f aca="false">IF(B160="",0,IF(N160&gt;=4,S160,(H160+I160+J160+K160)/(4-N160)))</f>
        <v>3</v>
      </c>
    </row>
    <row r="161" customFormat="false" ht="15" hidden="false" customHeight="false" outlineLevel="0" collapsed="false">
      <c r="A161" s="16" t="s">
        <v>491</v>
      </c>
      <c r="B161" s="16" t="s">
        <v>253</v>
      </c>
      <c r="C161" s="16" t="s">
        <v>341</v>
      </c>
      <c r="D161" s="16"/>
      <c r="E161" s="16" t="n">
        <v>54</v>
      </c>
      <c r="F161" s="16" t="n">
        <v>0</v>
      </c>
      <c r="G161" s="16" t="n">
        <v>26</v>
      </c>
      <c r="H161" s="16" t="n">
        <v>1</v>
      </c>
      <c r="I161" s="16" t="n">
        <v>1</v>
      </c>
      <c r="J161" s="16" t="n">
        <v>2</v>
      </c>
      <c r="K161" s="16" t="n">
        <v>1</v>
      </c>
      <c r="L161" s="16" t="n">
        <v>28</v>
      </c>
      <c r="M161" s="16" t="n">
        <v>25</v>
      </c>
      <c r="N161" s="16" t="n">
        <v>0</v>
      </c>
      <c r="O161" s="9" t="str">
        <f aca="false">IF(B161="","",IFERROR(INDEX(Options!$G$6:$G$85,MATCH($B161,Options!$A$6:$A$85,0)),""))</f>
        <v>Letter</v>
      </c>
      <c r="P161" s="9" t="str">
        <f aca="false">IF(B161="","",IFERROR(INDEX(Options!$H$6:$H$85,MATCH($B161,Options!$A$6:$A$85,0)),""))</f>
        <v>Core</v>
      </c>
      <c r="Q161" s="24" t="n">
        <f aca="false">IF(B161="",0,N(IFERROR(INDEX(Options!$J$6:$J$85,MATCH($B161,Options!$A$6:$A$85,0)),"")))</f>
        <v>85</v>
      </c>
      <c r="R161" s="25" t="n">
        <f aca="false">K161*Settings!$B$10+J161*Settings!$B$11+I161*Settings!$B$12+H161*Settings!$B$13</f>
        <v>1.3</v>
      </c>
      <c r="S161" s="25" t="n">
        <f aca="false">IFERROR(L161/Settings!$B$8,0)</f>
        <v>1.27272727272727</v>
      </c>
      <c r="T161" s="26" t="n">
        <f aca="false">IF(OR(B161="",P161="End of life"),0,W161*MIN(4,N161))</f>
        <v>0</v>
      </c>
      <c r="U161" s="27" t="n">
        <f aca="false">T161*Q161</f>
        <v>0</v>
      </c>
      <c r="V161" s="14" t="n">
        <f aca="false">IF(B161="",0,G161*N(IFERROR(INDEX(Options!$K$6:$K$85,MATCH($B161,Options!$A$6:$A$85,0)),"")))</f>
        <v>839.8</v>
      </c>
      <c r="W161" s="26" t="n">
        <f aca="false">IF(B161="",0,IF(N161&gt;=4,S161,(H161+I161+J161+K161)/(4-N161)))</f>
        <v>1.25</v>
      </c>
    </row>
    <row r="162" customFormat="false" ht="15" hidden="false" customHeight="false" outlineLevel="0" collapsed="false">
      <c r="A162" s="16" t="s">
        <v>492</v>
      </c>
      <c r="B162" s="16" t="s">
        <v>254</v>
      </c>
      <c r="C162" s="16" t="s">
        <v>331</v>
      </c>
      <c r="D162" s="16"/>
      <c r="E162" s="16" t="n">
        <v>98</v>
      </c>
      <c r="F162" s="16" t="n">
        <v>0</v>
      </c>
      <c r="G162" s="16" t="n">
        <v>68</v>
      </c>
      <c r="H162" s="16" t="n">
        <v>0</v>
      </c>
      <c r="I162" s="16" t="n">
        <v>0</v>
      </c>
      <c r="J162" s="16" t="n">
        <v>0</v>
      </c>
      <c r="K162" s="16" t="n">
        <v>0</v>
      </c>
      <c r="L162" s="16" t="n">
        <v>30</v>
      </c>
      <c r="M162" s="16" t="n">
        <v>18</v>
      </c>
      <c r="N162" s="16" t="n">
        <v>0</v>
      </c>
      <c r="O162" s="9" t="str">
        <f aca="false">IF(B162="","",IFERROR(INDEX(Options!$G$6:$G$85,MATCH($B162,Options!$A$6:$A$85,0)),""))</f>
        <v>Letter</v>
      </c>
      <c r="P162" s="9" t="str">
        <f aca="false">IF(B162="","",IFERROR(INDEX(Options!$H$6:$H$85,MATCH($B162,Options!$A$6:$A$85,0)),""))</f>
        <v>Seasonal</v>
      </c>
      <c r="Q162" s="24" t="n">
        <f aca="false">IF(B162="",0,N(IFERROR(INDEX(Options!$J$6:$J$85,MATCH($B162,Options!$A$6:$A$85,0)),"")))</f>
        <v>85</v>
      </c>
      <c r="R162" s="25" t="n">
        <f aca="false">K162*Settings!$B$10+J162*Settings!$B$11+I162*Settings!$B$12+H162*Settings!$B$13</f>
        <v>0</v>
      </c>
      <c r="S162" s="25" t="n">
        <f aca="false">IFERROR(L162/Settings!$B$8,0)</f>
        <v>1.36363636363636</v>
      </c>
      <c r="T162" s="26" t="n">
        <f aca="false">IF(OR(B162="",P162="End of life"),0,W162*MIN(4,N162))</f>
        <v>0</v>
      </c>
      <c r="U162" s="27" t="n">
        <f aca="false">T162*Q162</f>
        <v>0</v>
      </c>
      <c r="V162" s="14" t="n">
        <f aca="false">IF(B162="",0,G162*N(IFERROR(INDEX(Options!$K$6:$K$85,MATCH($B162,Options!$A$6:$A$85,0)),"")))</f>
        <v>2196.4</v>
      </c>
      <c r="W162" s="26" t="n">
        <f aca="false">IF(B162="",0,IF(N162&gt;=4,S162,(H162+I162+J162+K162)/(4-N162)))</f>
        <v>0</v>
      </c>
    </row>
    <row r="163" customFormat="false" ht="15" hidden="false" customHeight="false" outlineLevel="0" collapsed="false">
      <c r="A163" s="16" t="s">
        <v>493</v>
      </c>
      <c r="B163" s="16" t="s">
        <v>254</v>
      </c>
      <c r="C163" s="16" t="s">
        <v>333</v>
      </c>
      <c r="D163" s="16" t="s">
        <v>183</v>
      </c>
      <c r="E163" s="16" t="n">
        <v>218</v>
      </c>
      <c r="F163" s="16" t="n">
        <v>0</v>
      </c>
      <c r="G163" s="16" t="n">
        <v>129</v>
      </c>
      <c r="H163" s="16" t="n">
        <v>1</v>
      </c>
      <c r="I163" s="16" t="n">
        <v>1</v>
      </c>
      <c r="J163" s="16" t="n">
        <v>1</v>
      </c>
      <c r="K163" s="16" t="n">
        <v>1</v>
      </c>
      <c r="L163" s="16" t="n">
        <v>89</v>
      </c>
      <c r="M163" s="16" t="n">
        <v>53</v>
      </c>
      <c r="N163" s="16" t="n">
        <v>0</v>
      </c>
      <c r="O163" s="9" t="str">
        <f aca="false">IF(B163="","",IFERROR(INDEX(Options!$G$6:$G$85,MATCH($B163,Options!$A$6:$A$85,0)),""))</f>
        <v>Letter</v>
      </c>
      <c r="P163" s="9" t="str">
        <f aca="false">IF(B163="","",IFERROR(INDEX(Options!$H$6:$H$85,MATCH($B163,Options!$A$6:$A$85,0)),""))</f>
        <v>Seasonal</v>
      </c>
      <c r="Q163" s="24" t="n">
        <f aca="false">IF(B163="",0,N(IFERROR(INDEX(Options!$J$6:$J$85,MATCH($B163,Options!$A$6:$A$85,0)),"")))</f>
        <v>85</v>
      </c>
      <c r="R163" s="25" t="n">
        <f aca="false">K163*Settings!$B$10+J163*Settings!$B$11+I163*Settings!$B$12+H163*Settings!$B$13</f>
        <v>1</v>
      </c>
      <c r="S163" s="25" t="n">
        <f aca="false">IFERROR(L163/Settings!$B$8,0)</f>
        <v>4.04545454545455</v>
      </c>
      <c r="T163" s="26" t="n">
        <f aca="false">IF(OR(B163="",P163="End of life"),0,W163*MIN(4,N163))</f>
        <v>0</v>
      </c>
      <c r="U163" s="27" t="n">
        <f aca="false">T163*Q163</f>
        <v>0</v>
      </c>
      <c r="V163" s="14" t="n">
        <f aca="false">IF(B163="",0,G163*N(IFERROR(INDEX(Options!$K$6:$K$85,MATCH($B163,Options!$A$6:$A$85,0)),"")))</f>
        <v>4166.7</v>
      </c>
      <c r="W163" s="26" t="n">
        <f aca="false">IF(B163="",0,IF(N163&gt;=4,S163,(H163+I163+J163+K163)/(4-N163)))</f>
        <v>1</v>
      </c>
    </row>
    <row r="164" customFormat="false" ht="15" hidden="false" customHeight="false" outlineLevel="0" collapsed="false">
      <c r="A164" s="16" t="s">
        <v>494</v>
      </c>
      <c r="B164" s="16" t="s">
        <v>254</v>
      </c>
      <c r="C164" s="16" t="s">
        <v>335</v>
      </c>
      <c r="D164" s="16" t="s">
        <v>183</v>
      </c>
      <c r="E164" s="16" t="n">
        <v>364</v>
      </c>
      <c r="F164" s="16" t="n">
        <v>0</v>
      </c>
      <c r="G164" s="16" t="n">
        <v>213</v>
      </c>
      <c r="H164" s="16" t="n">
        <v>1</v>
      </c>
      <c r="I164" s="16" t="n">
        <v>2</v>
      </c>
      <c r="J164" s="16" t="n">
        <v>1</v>
      </c>
      <c r="K164" s="16" t="n">
        <v>1</v>
      </c>
      <c r="L164" s="16" t="n">
        <v>151</v>
      </c>
      <c r="M164" s="16" t="n">
        <v>91</v>
      </c>
      <c r="N164" s="16" t="n">
        <v>0</v>
      </c>
      <c r="O164" s="9" t="str">
        <f aca="false">IF(B164="","",IFERROR(INDEX(Options!$G$6:$G$85,MATCH($B164,Options!$A$6:$A$85,0)),""))</f>
        <v>Letter</v>
      </c>
      <c r="P164" s="9" t="str">
        <f aca="false">IF(B164="","",IFERROR(INDEX(Options!$H$6:$H$85,MATCH($B164,Options!$A$6:$A$85,0)),""))</f>
        <v>Seasonal</v>
      </c>
      <c r="Q164" s="24" t="n">
        <f aca="false">IF(B164="",0,N(IFERROR(INDEX(Options!$J$6:$J$85,MATCH($B164,Options!$A$6:$A$85,0)),"")))</f>
        <v>85</v>
      </c>
      <c r="R164" s="25" t="n">
        <f aca="false">K164*Settings!$B$10+J164*Settings!$B$11+I164*Settings!$B$12+H164*Settings!$B$13</f>
        <v>1.2</v>
      </c>
      <c r="S164" s="25" t="n">
        <f aca="false">IFERROR(L164/Settings!$B$8,0)</f>
        <v>6.86363636363636</v>
      </c>
      <c r="T164" s="26" t="n">
        <f aca="false">IF(OR(B164="",P164="End of life"),0,W164*MIN(4,N164))</f>
        <v>0</v>
      </c>
      <c r="U164" s="27" t="n">
        <f aca="false">T164*Q164</f>
        <v>0</v>
      </c>
      <c r="V164" s="14" t="n">
        <f aca="false">IF(B164="",0,G164*N(IFERROR(INDEX(Options!$K$6:$K$85,MATCH($B164,Options!$A$6:$A$85,0)),"")))</f>
        <v>6879.9</v>
      </c>
      <c r="W164" s="26" t="n">
        <f aca="false">IF(B164="",0,IF(N164&gt;=4,S164,(H164+I164+J164+K164)/(4-N164)))</f>
        <v>1.25</v>
      </c>
    </row>
    <row r="165" customFormat="false" ht="15" hidden="false" customHeight="false" outlineLevel="0" collapsed="false">
      <c r="A165" s="16" t="s">
        <v>495</v>
      </c>
      <c r="B165" s="16" t="s">
        <v>254</v>
      </c>
      <c r="C165" s="16" t="s">
        <v>337</v>
      </c>
      <c r="D165" s="16" t="s">
        <v>183</v>
      </c>
      <c r="E165" s="16" t="n">
        <v>315</v>
      </c>
      <c r="F165" s="16" t="n">
        <v>0</v>
      </c>
      <c r="G165" s="16" t="n">
        <v>192</v>
      </c>
      <c r="H165" s="16" t="n">
        <v>1</v>
      </c>
      <c r="I165" s="16" t="n">
        <v>2</v>
      </c>
      <c r="J165" s="16" t="n">
        <v>1</v>
      </c>
      <c r="K165" s="16" t="n">
        <v>1</v>
      </c>
      <c r="L165" s="16" t="n">
        <v>123</v>
      </c>
      <c r="M165" s="16" t="n">
        <v>74</v>
      </c>
      <c r="N165" s="16" t="n">
        <v>0</v>
      </c>
      <c r="O165" s="9" t="str">
        <f aca="false">IF(B165="","",IFERROR(INDEX(Options!$G$6:$G$85,MATCH($B165,Options!$A$6:$A$85,0)),""))</f>
        <v>Letter</v>
      </c>
      <c r="P165" s="9" t="str">
        <f aca="false">IF(B165="","",IFERROR(INDEX(Options!$H$6:$H$85,MATCH($B165,Options!$A$6:$A$85,0)),""))</f>
        <v>Seasonal</v>
      </c>
      <c r="Q165" s="24" t="n">
        <f aca="false">IF(B165="",0,N(IFERROR(INDEX(Options!$J$6:$J$85,MATCH($B165,Options!$A$6:$A$85,0)),"")))</f>
        <v>85</v>
      </c>
      <c r="R165" s="25" t="n">
        <f aca="false">K165*Settings!$B$10+J165*Settings!$B$11+I165*Settings!$B$12+H165*Settings!$B$13</f>
        <v>1.2</v>
      </c>
      <c r="S165" s="25" t="n">
        <f aca="false">IFERROR(L165/Settings!$B$8,0)</f>
        <v>5.59090909090909</v>
      </c>
      <c r="T165" s="26" t="n">
        <f aca="false">IF(OR(B165="",P165="End of life"),0,W165*MIN(4,N165))</f>
        <v>0</v>
      </c>
      <c r="U165" s="27" t="n">
        <f aca="false">T165*Q165</f>
        <v>0</v>
      </c>
      <c r="V165" s="14" t="n">
        <f aca="false">IF(B165="",0,G165*N(IFERROR(INDEX(Options!$K$6:$K$85,MATCH($B165,Options!$A$6:$A$85,0)),"")))</f>
        <v>6201.6</v>
      </c>
      <c r="W165" s="26" t="n">
        <f aca="false">IF(B165="",0,IF(N165&gt;=4,S165,(H165+I165+J165+K165)/(4-N165)))</f>
        <v>1.25</v>
      </c>
    </row>
    <row r="166" customFormat="false" ht="15" hidden="false" customHeight="false" outlineLevel="0" collapsed="false">
      <c r="A166" s="16" t="s">
        <v>496</v>
      </c>
      <c r="B166" s="16" t="s">
        <v>254</v>
      </c>
      <c r="C166" s="16" t="s">
        <v>339</v>
      </c>
      <c r="D166" s="16"/>
      <c r="E166" s="16" t="n">
        <v>170</v>
      </c>
      <c r="F166" s="16" t="n">
        <v>0</v>
      </c>
      <c r="G166" s="16" t="n">
        <v>106</v>
      </c>
      <c r="H166" s="16" t="n">
        <v>1</v>
      </c>
      <c r="I166" s="16" t="n">
        <v>1</v>
      </c>
      <c r="J166" s="16" t="n">
        <v>1</v>
      </c>
      <c r="K166" s="16" t="n">
        <v>1</v>
      </c>
      <c r="L166" s="16" t="n">
        <v>64</v>
      </c>
      <c r="M166" s="16" t="n">
        <v>38</v>
      </c>
      <c r="N166" s="16" t="n">
        <v>0</v>
      </c>
      <c r="O166" s="9" t="str">
        <f aca="false">IF(B166="","",IFERROR(INDEX(Options!$G$6:$G$85,MATCH($B166,Options!$A$6:$A$85,0)),""))</f>
        <v>Letter</v>
      </c>
      <c r="P166" s="9" t="str">
        <f aca="false">IF(B166="","",IFERROR(INDEX(Options!$H$6:$H$85,MATCH($B166,Options!$A$6:$A$85,0)),""))</f>
        <v>Seasonal</v>
      </c>
      <c r="Q166" s="24" t="n">
        <f aca="false">IF(B166="",0,N(IFERROR(INDEX(Options!$J$6:$J$85,MATCH($B166,Options!$A$6:$A$85,0)),"")))</f>
        <v>85</v>
      </c>
      <c r="R166" s="25" t="n">
        <f aca="false">K166*Settings!$B$10+J166*Settings!$B$11+I166*Settings!$B$12+H166*Settings!$B$13</f>
        <v>1</v>
      </c>
      <c r="S166" s="25" t="n">
        <f aca="false">IFERROR(L166/Settings!$B$8,0)</f>
        <v>2.90909090909091</v>
      </c>
      <c r="T166" s="26" t="n">
        <f aca="false">IF(OR(B166="",P166="End of life"),0,W166*MIN(4,N166))</f>
        <v>0</v>
      </c>
      <c r="U166" s="27" t="n">
        <f aca="false">T166*Q166</f>
        <v>0</v>
      </c>
      <c r="V166" s="14" t="n">
        <f aca="false">IF(B166="",0,G166*N(IFERROR(INDEX(Options!$K$6:$K$85,MATCH($B166,Options!$A$6:$A$85,0)),"")))</f>
        <v>3423.8</v>
      </c>
      <c r="W166" s="26" t="n">
        <f aca="false">IF(B166="",0,IF(N166&gt;=4,S166,(H166+I166+J166+K166)/(4-N166)))</f>
        <v>1</v>
      </c>
    </row>
    <row r="167" customFormat="false" ht="15" hidden="false" customHeight="false" outlineLevel="0" collapsed="false">
      <c r="A167" s="16" t="s">
        <v>497</v>
      </c>
      <c r="B167" s="16" t="s">
        <v>254</v>
      </c>
      <c r="C167" s="16" t="s">
        <v>341</v>
      </c>
      <c r="D167" s="16"/>
      <c r="E167" s="16" t="n">
        <v>98</v>
      </c>
      <c r="F167" s="16" t="n">
        <v>0</v>
      </c>
      <c r="G167" s="16" t="n">
        <v>71</v>
      </c>
      <c r="H167" s="16" t="n">
        <v>0</v>
      </c>
      <c r="I167" s="16" t="n">
        <v>0</v>
      </c>
      <c r="J167" s="16" t="n">
        <v>0</v>
      </c>
      <c r="K167" s="16" t="n">
        <v>0</v>
      </c>
      <c r="L167" s="16" t="n">
        <v>27</v>
      </c>
      <c r="M167" s="16" t="n">
        <v>16</v>
      </c>
      <c r="N167" s="16" t="n">
        <v>0</v>
      </c>
      <c r="O167" s="9" t="str">
        <f aca="false">IF(B167="","",IFERROR(INDEX(Options!$G$6:$G$85,MATCH($B167,Options!$A$6:$A$85,0)),""))</f>
        <v>Letter</v>
      </c>
      <c r="P167" s="9" t="str">
        <f aca="false">IF(B167="","",IFERROR(INDEX(Options!$H$6:$H$85,MATCH($B167,Options!$A$6:$A$85,0)),""))</f>
        <v>Seasonal</v>
      </c>
      <c r="Q167" s="24" t="n">
        <f aca="false">IF(B167="",0,N(IFERROR(INDEX(Options!$J$6:$J$85,MATCH($B167,Options!$A$6:$A$85,0)),"")))</f>
        <v>85</v>
      </c>
      <c r="R167" s="25" t="n">
        <f aca="false">K167*Settings!$B$10+J167*Settings!$B$11+I167*Settings!$B$12+H167*Settings!$B$13</f>
        <v>0</v>
      </c>
      <c r="S167" s="25" t="n">
        <f aca="false">IFERROR(L167/Settings!$B$8,0)</f>
        <v>1.22727272727273</v>
      </c>
      <c r="T167" s="26" t="n">
        <f aca="false">IF(OR(B167="",P167="End of life"),0,W167*MIN(4,N167))</f>
        <v>0</v>
      </c>
      <c r="U167" s="27" t="n">
        <f aca="false">T167*Q167</f>
        <v>0</v>
      </c>
      <c r="V167" s="14" t="n">
        <f aca="false">IF(B167="",0,G167*N(IFERROR(INDEX(Options!$K$6:$K$85,MATCH($B167,Options!$A$6:$A$85,0)),"")))</f>
        <v>2293.3</v>
      </c>
      <c r="W167" s="26" t="n">
        <f aca="false">IF(B167="",0,IF(N167&gt;=4,S167,(H167+I167+J167+K167)/(4-N167)))</f>
        <v>0</v>
      </c>
    </row>
    <row r="168" customFormat="false" ht="15" hidden="false" customHeight="false" outlineLevel="0" collapsed="false">
      <c r="A168" s="16" t="s">
        <v>498</v>
      </c>
      <c r="B168" s="16" t="s">
        <v>255</v>
      </c>
      <c r="C168" s="16" t="s">
        <v>331</v>
      </c>
      <c r="D168" s="16"/>
      <c r="E168" s="16" t="n">
        <v>61</v>
      </c>
      <c r="F168" s="16" t="n">
        <v>0</v>
      </c>
      <c r="G168" s="16" t="n">
        <v>27</v>
      </c>
      <c r="H168" s="16" t="n">
        <v>1</v>
      </c>
      <c r="I168" s="16" t="n">
        <v>2</v>
      </c>
      <c r="J168" s="16" t="n">
        <v>1</v>
      </c>
      <c r="K168" s="16" t="n">
        <v>2</v>
      </c>
      <c r="L168" s="16" t="n">
        <v>34</v>
      </c>
      <c r="M168" s="16" t="n">
        <v>30</v>
      </c>
      <c r="N168" s="16" t="n">
        <v>0</v>
      </c>
      <c r="O168" s="9" t="str">
        <f aca="false">IF(B168="","",IFERROR(INDEX(Options!$G$6:$G$85,MATCH($B168,Options!$A$6:$A$85,0)),""))</f>
        <v>Letter</v>
      </c>
      <c r="P168" s="9" t="str">
        <f aca="false">IF(B168="","",IFERROR(INDEX(Options!$H$6:$H$85,MATCH($B168,Options!$A$6:$A$85,0)),""))</f>
        <v>Seasonal</v>
      </c>
      <c r="Q168" s="24" t="n">
        <f aca="false">IF(B168="",0,N(IFERROR(INDEX(Options!$J$6:$J$85,MATCH($B168,Options!$A$6:$A$85,0)),"")))</f>
        <v>85</v>
      </c>
      <c r="R168" s="25" t="n">
        <f aca="false">K168*Settings!$B$10+J168*Settings!$B$11+I168*Settings!$B$12+H168*Settings!$B$13</f>
        <v>1.6</v>
      </c>
      <c r="S168" s="25" t="n">
        <f aca="false">IFERROR(L168/Settings!$B$8,0)</f>
        <v>1.54545454545455</v>
      </c>
      <c r="T168" s="26" t="n">
        <f aca="false">IF(OR(B168="",P168="End of life"),0,W168*MIN(4,N168))</f>
        <v>0</v>
      </c>
      <c r="U168" s="27" t="n">
        <f aca="false">T168*Q168</f>
        <v>0</v>
      </c>
      <c r="V168" s="14" t="n">
        <f aca="false">IF(B168="",0,G168*N(IFERROR(INDEX(Options!$K$6:$K$85,MATCH($B168,Options!$A$6:$A$85,0)),"")))</f>
        <v>872.1</v>
      </c>
      <c r="W168" s="26" t="n">
        <f aca="false">IF(B168="",0,IF(N168&gt;=4,S168,(H168+I168+J168+K168)/(4-N168)))</f>
        <v>1.5</v>
      </c>
    </row>
    <row r="169" customFormat="false" ht="15" hidden="false" customHeight="false" outlineLevel="0" collapsed="false">
      <c r="A169" s="16" t="s">
        <v>499</v>
      </c>
      <c r="B169" s="16" t="s">
        <v>255</v>
      </c>
      <c r="C169" s="16" t="s">
        <v>333</v>
      </c>
      <c r="D169" s="16" t="s">
        <v>183</v>
      </c>
      <c r="E169" s="16" t="n">
        <v>136</v>
      </c>
      <c r="F169" s="16" t="n">
        <v>0</v>
      </c>
      <c r="G169" s="16" t="n">
        <v>39</v>
      </c>
      <c r="H169" s="16" t="n">
        <v>3</v>
      </c>
      <c r="I169" s="16" t="n">
        <v>5</v>
      </c>
      <c r="J169" s="16" t="n">
        <v>4</v>
      </c>
      <c r="K169" s="16" t="n">
        <v>5</v>
      </c>
      <c r="L169" s="16" t="n">
        <v>97</v>
      </c>
      <c r="M169" s="16" t="n">
        <v>85</v>
      </c>
      <c r="N169" s="16" t="n">
        <v>0</v>
      </c>
      <c r="O169" s="9" t="str">
        <f aca="false">IF(B169="","",IFERROR(INDEX(Options!$G$6:$G$85,MATCH($B169,Options!$A$6:$A$85,0)),""))</f>
        <v>Letter</v>
      </c>
      <c r="P169" s="9" t="str">
        <f aca="false">IF(B169="","",IFERROR(INDEX(Options!$H$6:$H$85,MATCH($B169,Options!$A$6:$A$85,0)),""))</f>
        <v>Seasonal</v>
      </c>
      <c r="Q169" s="24" t="n">
        <f aca="false">IF(B169="",0,N(IFERROR(INDEX(Options!$J$6:$J$85,MATCH($B169,Options!$A$6:$A$85,0)),"")))</f>
        <v>85</v>
      </c>
      <c r="R169" s="25" t="n">
        <f aca="false">K169*Settings!$B$10+J169*Settings!$B$11+I169*Settings!$B$12+H169*Settings!$B$13</f>
        <v>4.5</v>
      </c>
      <c r="S169" s="25" t="n">
        <f aca="false">IFERROR(L169/Settings!$B$8,0)</f>
        <v>4.40909090909091</v>
      </c>
      <c r="T169" s="26" t="n">
        <f aca="false">IF(OR(B169="",P169="End of life"),0,W169*MIN(4,N169))</f>
        <v>0</v>
      </c>
      <c r="U169" s="27" t="n">
        <f aca="false">T169*Q169</f>
        <v>0</v>
      </c>
      <c r="V169" s="14" t="n">
        <f aca="false">IF(B169="",0,G169*N(IFERROR(INDEX(Options!$K$6:$K$85,MATCH($B169,Options!$A$6:$A$85,0)),"")))</f>
        <v>1259.7</v>
      </c>
      <c r="W169" s="26" t="n">
        <f aca="false">IF(B169="",0,IF(N169&gt;=4,S169,(H169+I169+J169+K169)/(4-N169)))</f>
        <v>4.25</v>
      </c>
    </row>
    <row r="170" customFormat="false" ht="15" hidden="false" customHeight="false" outlineLevel="0" collapsed="false">
      <c r="A170" s="16" t="s">
        <v>500</v>
      </c>
      <c r="B170" s="16" t="s">
        <v>255</v>
      </c>
      <c r="C170" s="16" t="s">
        <v>335</v>
      </c>
      <c r="D170" s="16" t="s">
        <v>183</v>
      </c>
      <c r="E170" s="16" t="n">
        <v>227</v>
      </c>
      <c r="F170" s="16" t="n">
        <v>0</v>
      </c>
      <c r="G170" s="16" t="n">
        <v>56</v>
      </c>
      <c r="H170" s="16" t="n">
        <v>7</v>
      </c>
      <c r="I170" s="16" t="n">
        <v>8</v>
      </c>
      <c r="J170" s="16" t="n">
        <v>9</v>
      </c>
      <c r="K170" s="16" t="n">
        <v>9</v>
      </c>
      <c r="L170" s="16" t="n">
        <v>171</v>
      </c>
      <c r="M170" s="16" t="n">
        <v>150</v>
      </c>
      <c r="N170" s="16" t="n">
        <v>0</v>
      </c>
      <c r="O170" s="9" t="str">
        <f aca="false">IF(B170="","",IFERROR(INDEX(Options!$G$6:$G$85,MATCH($B170,Options!$A$6:$A$85,0)),""))</f>
        <v>Letter</v>
      </c>
      <c r="P170" s="9" t="str">
        <f aca="false">IF(B170="","",IFERROR(INDEX(Options!$H$6:$H$85,MATCH($B170,Options!$A$6:$A$85,0)),""))</f>
        <v>Seasonal</v>
      </c>
      <c r="Q170" s="24" t="n">
        <f aca="false">IF(B170="",0,N(IFERROR(INDEX(Options!$J$6:$J$85,MATCH($B170,Options!$A$6:$A$85,0)),"")))</f>
        <v>85</v>
      </c>
      <c r="R170" s="25" t="n">
        <f aca="false">K170*Settings!$B$10+J170*Settings!$B$11+I170*Settings!$B$12+H170*Settings!$B$13</f>
        <v>8.6</v>
      </c>
      <c r="S170" s="25" t="n">
        <f aca="false">IFERROR(L170/Settings!$B$8,0)</f>
        <v>7.77272727272727</v>
      </c>
      <c r="T170" s="26" t="n">
        <f aca="false">IF(OR(B170="",P170="End of life"),0,W170*MIN(4,N170))</f>
        <v>0</v>
      </c>
      <c r="U170" s="27" t="n">
        <f aca="false">T170*Q170</f>
        <v>0</v>
      </c>
      <c r="V170" s="14" t="n">
        <f aca="false">IF(B170="",0,G170*N(IFERROR(INDEX(Options!$K$6:$K$85,MATCH($B170,Options!$A$6:$A$85,0)),"")))</f>
        <v>1808.8</v>
      </c>
      <c r="W170" s="26" t="n">
        <f aca="false">IF(B170="",0,IF(N170&gt;=4,S170,(H170+I170+J170+K170)/(4-N170)))</f>
        <v>8.25</v>
      </c>
    </row>
    <row r="171" customFormat="false" ht="15" hidden="false" customHeight="false" outlineLevel="0" collapsed="false">
      <c r="A171" s="16" t="s">
        <v>501</v>
      </c>
      <c r="B171" s="16" t="s">
        <v>255</v>
      </c>
      <c r="C171" s="16" t="s">
        <v>337</v>
      </c>
      <c r="D171" s="16" t="s">
        <v>183</v>
      </c>
      <c r="E171" s="16" t="n">
        <v>197</v>
      </c>
      <c r="F171" s="16" t="n">
        <v>0</v>
      </c>
      <c r="G171" s="16" t="n">
        <v>57</v>
      </c>
      <c r="H171" s="16" t="n">
        <v>7</v>
      </c>
      <c r="I171" s="16" t="n">
        <v>7</v>
      </c>
      <c r="J171" s="16" t="n">
        <v>6</v>
      </c>
      <c r="K171" s="16" t="n">
        <v>9</v>
      </c>
      <c r="L171" s="16" t="n">
        <v>140</v>
      </c>
      <c r="M171" s="16" t="n">
        <v>123</v>
      </c>
      <c r="N171" s="16" t="n">
        <v>0</v>
      </c>
      <c r="O171" s="9" t="str">
        <f aca="false">IF(B171="","",IFERROR(INDEX(Options!$G$6:$G$85,MATCH($B171,Options!$A$6:$A$85,0)),""))</f>
        <v>Letter</v>
      </c>
      <c r="P171" s="9" t="str">
        <f aca="false">IF(B171="","",IFERROR(INDEX(Options!$H$6:$H$85,MATCH($B171,Options!$A$6:$A$85,0)),""))</f>
        <v>Seasonal</v>
      </c>
      <c r="Q171" s="24" t="n">
        <f aca="false">IF(B171="",0,N(IFERROR(INDEX(Options!$J$6:$J$85,MATCH($B171,Options!$A$6:$A$85,0)),"")))</f>
        <v>85</v>
      </c>
      <c r="R171" s="25" t="n">
        <f aca="false">K171*Settings!$B$10+J171*Settings!$B$11+I171*Settings!$B$12+H171*Settings!$B$13</f>
        <v>7.5</v>
      </c>
      <c r="S171" s="25" t="n">
        <f aca="false">IFERROR(L171/Settings!$B$8,0)</f>
        <v>6.36363636363636</v>
      </c>
      <c r="T171" s="26" t="n">
        <f aca="false">IF(OR(B171="",P171="End of life"),0,W171*MIN(4,N171))</f>
        <v>0</v>
      </c>
      <c r="U171" s="27" t="n">
        <f aca="false">T171*Q171</f>
        <v>0</v>
      </c>
      <c r="V171" s="14" t="n">
        <f aca="false">IF(B171="",0,G171*N(IFERROR(INDEX(Options!$K$6:$K$85,MATCH($B171,Options!$A$6:$A$85,0)),"")))</f>
        <v>1841.1</v>
      </c>
      <c r="W171" s="26" t="n">
        <f aca="false">IF(B171="",0,IF(N171&gt;=4,S171,(H171+I171+J171+K171)/(4-N171)))</f>
        <v>7.25</v>
      </c>
    </row>
    <row r="172" customFormat="false" ht="15" hidden="false" customHeight="false" outlineLevel="0" collapsed="false">
      <c r="A172" s="16" t="s">
        <v>502</v>
      </c>
      <c r="B172" s="16" t="s">
        <v>255</v>
      </c>
      <c r="C172" s="16" t="s">
        <v>339</v>
      </c>
      <c r="D172" s="16"/>
      <c r="E172" s="16" t="n">
        <v>106</v>
      </c>
      <c r="F172" s="16" t="n">
        <v>0</v>
      </c>
      <c r="G172" s="16" t="n">
        <v>35</v>
      </c>
      <c r="H172" s="16" t="n">
        <v>3</v>
      </c>
      <c r="I172" s="16" t="n">
        <v>3</v>
      </c>
      <c r="J172" s="16" t="n">
        <v>4</v>
      </c>
      <c r="K172" s="16" t="n">
        <v>3</v>
      </c>
      <c r="L172" s="16" t="n">
        <v>71</v>
      </c>
      <c r="M172" s="16" t="n">
        <v>62</v>
      </c>
      <c r="N172" s="16" t="n">
        <v>0</v>
      </c>
      <c r="O172" s="9" t="str">
        <f aca="false">IF(B172="","",IFERROR(INDEX(Options!$G$6:$G$85,MATCH($B172,Options!$A$6:$A$85,0)),""))</f>
        <v>Letter</v>
      </c>
      <c r="P172" s="9" t="str">
        <f aca="false">IF(B172="","",IFERROR(INDEX(Options!$H$6:$H$85,MATCH($B172,Options!$A$6:$A$85,0)),""))</f>
        <v>Seasonal</v>
      </c>
      <c r="Q172" s="24" t="n">
        <f aca="false">IF(B172="",0,N(IFERROR(INDEX(Options!$J$6:$J$85,MATCH($B172,Options!$A$6:$A$85,0)),"")))</f>
        <v>85</v>
      </c>
      <c r="R172" s="25" t="n">
        <f aca="false">K172*Settings!$B$10+J172*Settings!$B$11+I172*Settings!$B$12+H172*Settings!$B$13</f>
        <v>3.3</v>
      </c>
      <c r="S172" s="25" t="n">
        <f aca="false">IFERROR(L172/Settings!$B$8,0)</f>
        <v>3.22727272727273</v>
      </c>
      <c r="T172" s="26" t="n">
        <f aca="false">IF(OR(B172="",P172="End of life"),0,W172*MIN(4,N172))</f>
        <v>0</v>
      </c>
      <c r="U172" s="27" t="n">
        <f aca="false">T172*Q172</f>
        <v>0</v>
      </c>
      <c r="V172" s="14" t="n">
        <f aca="false">IF(B172="",0,G172*N(IFERROR(INDEX(Options!$K$6:$K$85,MATCH($B172,Options!$A$6:$A$85,0)),"")))</f>
        <v>1130.5</v>
      </c>
      <c r="W172" s="26" t="n">
        <f aca="false">IF(B172="",0,IF(N172&gt;=4,S172,(H172+I172+J172+K172)/(4-N172)))</f>
        <v>3.25</v>
      </c>
    </row>
    <row r="173" customFormat="false" ht="15" hidden="false" customHeight="false" outlineLevel="0" collapsed="false">
      <c r="A173" s="16" t="s">
        <v>503</v>
      </c>
      <c r="B173" s="16" t="s">
        <v>255</v>
      </c>
      <c r="C173" s="16" t="s">
        <v>341</v>
      </c>
      <c r="D173" s="16"/>
      <c r="E173" s="16" t="n">
        <v>61</v>
      </c>
      <c r="F173" s="16" t="n">
        <v>0</v>
      </c>
      <c r="G173" s="16" t="n">
        <v>29</v>
      </c>
      <c r="H173" s="16" t="n">
        <v>1</v>
      </c>
      <c r="I173" s="16" t="n">
        <v>1</v>
      </c>
      <c r="J173" s="16" t="n">
        <v>1</v>
      </c>
      <c r="K173" s="16" t="n">
        <v>1</v>
      </c>
      <c r="L173" s="16" t="n">
        <v>32</v>
      </c>
      <c r="M173" s="16" t="n">
        <v>28</v>
      </c>
      <c r="N173" s="16" t="n">
        <v>0</v>
      </c>
      <c r="O173" s="9" t="str">
        <f aca="false">IF(B173="","",IFERROR(INDEX(Options!$G$6:$G$85,MATCH($B173,Options!$A$6:$A$85,0)),""))</f>
        <v>Letter</v>
      </c>
      <c r="P173" s="9" t="str">
        <f aca="false">IF(B173="","",IFERROR(INDEX(Options!$H$6:$H$85,MATCH($B173,Options!$A$6:$A$85,0)),""))</f>
        <v>Seasonal</v>
      </c>
      <c r="Q173" s="24" t="n">
        <f aca="false">IF(B173="",0,N(IFERROR(INDEX(Options!$J$6:$J$85,MATCH($B173,Options!$A$6:$A$85,0)),"")))</f>
        <v>85</v>
      </c>
      <c r="R173" s="25" t="n">
        <f aca="false">K173*Settings!$B$10+J173*Settings!$B$11+I173*Settings!$B$12+H173*Settings!$B$13</f>
        <v>1</v>
      </c>
      <c r="S173" s="25" t="n">
        <f aca="false">IFERROR(L173/Settings!$B$8,0)</f>
        <v>1.45454545454545</v>
      </c>
      <c r="T173" s="26" t="n">
        <f aca="false">IF(OR(B173="",P173="End of life"),0,W173*MIN(4,N173))</f>
        <v>0</v>
      </c>
      <c r="U173" s="27" t="n">
        <f aca="false">T173*Q173</f>
        <v>0</v>
      </c>
      <c r="V173" s="14" t="n">
        <f aca="false">IF(B173="",0,G173*N(IFERROR(INDEX(Options!$K$6:$K$85,MATCH($B173,Options!$A$6:$A$85,0)),"")))</f>
        <v>936.7</v>
      </c>
      <c r="W173" s="26" t="n">
        <f aca="false">IF(B173="",0,IF(N173&gt;=4,S173,(H173+I173+J173+K173)/(4-N173)))</f>
        <v>1</v>
      </c>
    </row>
    <row r="174" customFormat="false" ht="15" hidden="false" customHeight="false" outlineLevel="0" collapsed="false">
      <c r="A174" s="16" t="s">
        <v>504</v>
      </c>
      <c r="B174" s="16" t="s">
        <v>256</v>
      </c>
      <c r="C174" s="16" t="s">
        <v>331</v>
      </c>
      <c r="D174" s="16"/>
      <c r="E174" s="16" t="n">
        <v>110</v>
      </c>
      <c r="F174" s="16" t="n">
        <v>0</v>
      </c>
      <c r="G174" s="16" t="n">
        <v>85</v>
      </c>
      <c r="H174" s="16" t="n">
        <v>1</v>
      </c>
      <c r="I174" s="16" t="n">
        <v>1</v>
      </c>
      <c r="J174" s="16" t="n">
        <v>1</v>
      </c>
      <c r="K174" s="16" t="n">
        <v>1</v>
      </c>
      <c r="L174" s="16" t="n">
        <v>25</v>
      </c>
      <c r="M174" s="16" t="n">
        <v>15</v>
      </c>
      <c r="N174" s="16" t="n">
        <v>0</v>
      </c>
      <c r="O174" s="9" t="str">
        <f aca="false">IF(B174="","",IFERROR(INDEX(Options!$G$6:$G$85,MATCH($B174,Options!$A$6:$A$85,0)),""))</f>
        <v>Letter</v>
      </c>
      <c r="P174" s="9" t="str">
        <f aca="false">IF(B174="","",IFERROR(INDEX(Options!$H$6:$H$85,MATCH($B174,Options!$A$6:$A$85,0)),""))</f>
        <v>Seasonal</v>
      </c>
      <c r="Q174" s="24" t="n">
        <f aca="false">IF(B174="",0,N(IFERROR(INDEX(Options!$J$6:$J$85,MATCH($B174,Options!$A$6:$A$85,0)),"")))</f>
        <v>85</v>
      </c>
      <c r="R174" s="25" t="n">
        <f aca="false">K174*Settings!$B$10+J174*Settings!$B$11+I174*Settings!$B$12+H174*Settings!$B$13</f>
        <v>1</v>
      </c>
      <c r="S174" s="25" t="n">
        <f aca="false">IFERROR(L174/Settings!$B$8,0)</f>
        <v>1.13636363636364</v>
      </c>
      <c r="T174" s="26" t="n">
        <f aca="false">IF(OR(B174="",P174="End of life"),0,W174*MIN(4,N174))</f>
        <v>0</v>
      </c>
      <c r="U174" s="27" t="n">
        <f aca="false">T174*Q174</f>
        <v>0</v>
      </c>
      <c r="V174" s="14" t="n">
        <f aca="false">IF(B174="",0,G174*N(IFERROR(INDEX(Options!$K$6:$K$85,MATCH($B174,Options!$A$6:$A$85,0)),"")))</f>
        <v>2745.5</v>
      </c>
      <c r="W174" s="26" t="n">
        <f aca="false">IF(B174="",0,IF(N174&gt;=4,S174,(H174+I174+J174+K174)/(4-N174)))</f>
        <v>1</v>
      </c>
    </row>
    <row r="175" customFormat="false" ht="15" hidden="false" customHeight="false" outlineLevel="0" collapsed="false">
      <c r="A175" s="16" t="s">
        <v>505</v>
      </c>
      <c r="B175" s="16" t="s">
        <v>256</v>
      </c>
      <c r="C175" s="16" t="s">
        <v>333</v>
      </c>
      <c r="D175" s="16" t="s">
        <v>183</v>
      </c>
      <c r="E175" s="16" t="n">
        <v>244</v>
      </c>
      <c r="F175" s="16" t="n">
        <v>0</v>
      </c>
      <c r="G175" s="16" t="n">
        <v>162</v>
      </c>
      <c r="H175" s="16" t="n">
        <v>2</v>
      </c>
      <c r="I175" s="16" t="n">
        <v>2</v>
      </c>
      <c r="J175" s="16" t="n">
        <v>3</v>
      </c>
      <c r="K175" s="16" t="n">
        <v>3</v>
      </c>
      <c r="L175" s="16" t="n">
        <v>82</v>
      </c>
      <c r="M175" s="16" t="n">
        <v>49</v>
      </c>
      <c r="N175" s="16" t="n">
        <v>0</v>
      </c>
      <c r="O175" s="9" t="str">
        <f aca="false">IF(B175="","",IFERROR(INDEX(Options!$G$6:$G$85,MATCH($B175,Options!$A$6:$A$85,0)),""))</f>
        <v>Letter</v>
      </c>
      <c r="P175" s="9" t="str">
        <f aca="false">IF(B175="","",IFERROR(INDEX(Options!$H$6:$H$85,MATCH($B175,Options!$A$6:$A$85,0)),""))</f>
        <v>Seasonal</v>
      </c>
      <c r="Q175" s="24" t="n">
        <f aca="false">IF(B175="",0,N(IFERROR(INDEX(Options!$J$6:$J$85,MATCH($B175,Options!$A$6:$A$85,0)),"")))</f>
        <v>85</v>
      </c>
      <c r="R175" s="25" t="n">
        <f aca="false">K175*Settings!$B$10+J175*Settings!$B$11+I175*Settings!$B$12+H175*Settings!$B$13</f>
        <v>2.7</v>
      </c>
      <c r="S175" s="25" t="n">
        <f aca="false">IFERROR(L175/Settings!$B$8,0)</f>
        <v>3.72727272727273</v>
      </c>
      <c r="T175" s="26" t="n">
        <f aca="false">IF(OR(B175="",P175="End of life"),0,W175*MIN(4,N175))</f>
        <v>0</v>
      </c>
      <c r="U175" s="27" t="n">
        <f aca="false">T175*Q175</f>
        <v>0</v>
      </c>
      <c r="V175" s="14" t="n">
        <f aca="false">IF(B175="",0,G175*N(IFERROR(INDEX(Options!$K$6:$K$85,MATCH($B175,Options!$A$6:$A$85,0)),"")))</f>
        <v>5232.6</v>
      </c>
      <c r="W175" s="26" t="n">
        <f aca="false">IF(B175="",0,IF(N175&gt;=4,S175,(H175+I175+J175+K175)/(4-N175)))</f>
        <v>2.5</v>
      </c>
    </row>
    <row r="176" customFormat="false" ht="15" hidden="false" customHeight="false" outlineLevel="0" collapsed="false">
      <c r="A176" s="16" t="s">
        <v>506</v>
      </c>
      <c r="B176" s="16" t="s">
        <v>256</v>
      </c>
      <c r="C176" s="16" t="s">
        <v>335</v>
      </c>
      <c r="D176" s="16" t="s">
        <v>183</v>
      </c>
      <c r="E176" s="16" t="n">
        <v>407</v>
      </c>
      <c r="F176" s="16" t="n">
        <v>0</v>
      </c>
      <c r="G176" s="16" t="n">
        <v>275</v>
      </c>
      <c r="H176" s="16" t="n">
        <v>4</v>
      </c>
      <c r="I176" s="16" t="n">
        <v>4</v>
      </c>
      <c r="J176" s="16" t="n">
        <v>4</v>
      </c>
      <c r="K176" s="16" t="n">
        <v>4</v>
      </c>
      <c r="L176" s="16" t="n">
        <v>132</v>
      </c>
      <c r="M176" s="16" t="n">
        <v>79</v>
      </c>
      <c r="N176" s="16" t="n">
        <v>0</v>
      </c>
      <c r="O176" s="9" t="str">
        <f aca="false">IF(B176="","",IFERROR(INDEX(Options!$G$6:$G$85,MATCH($B176,Options!$A$6:$A$85,0)),""))</f>
        <v>Letter</v>
      </c>
      <c r="P176" s="9" t="str">
        <f aca="false">IF(B176="","",IFERROR(INDEX(Options!$H$6:$H$85,MATCH($B176,Options!$A$6:$A$85,0)),""))</f>
        <v>Seasonal</v>
      </c>
      <c r="Q176" s="24" t="n">
        <f aca="false">IF(B176="",0,N(IFERROR(INDEX(Options!$J$6:$J$85,MATCH($B176,Options!$A$6:$A$85,0)),"")))</f>
        <v>85</v>
      </c>
      <c r="R176" s="25" t="n">
        <f aca="false">K176*Settings!$B$10+J176*Settings!$B$11+I176*Settings!$B$12+H176*Settings!$B$13</f>
        <v>4</v>
      </c>
      <c r="S176" s="25" t="n">
        <f aca="false">IFERROR(L176/Settings!$B$8,0)</f>
        <v>6</v>
      </c>
      <c r="T176" s="26" t="n">
        <f aca="false">IF(OR(B176="",P176="End of life"),0,W176*MIN(4,N176))</f>
        <v>0</v>
      </c>
      <c r="U176" s="27" t="n">
        <f aca="false">T176*Q176</f>
        <v>0</v>
      </c>
      <c r="V176" s="14" t="n">
        <f aca="false">IF(B176="",0,G176*N(IFERROR(INDEX(Options!$K$6:$K$85,MATCH($B176,Options!$A$6:$A$85,0)),"")))</f>
        <v>8882.5</v>
      </c>
      <c r="W176" s="26" t="n">
        <f aca="false">IF(B176="",0,IF(N176&gt;=4,S176,(H176+I176+J176+K176)/(4-N176)))</f>
        <v>4</v>
      </c>
    </row>
    <row r="177" customFormat="false" ht="15" hidden="false" customHeight="false" outlineLevel="0" collapsed="false">
      <c r="A177" s="16" t="s">
        <v>507</v>
      </c>
      <c r="B177" s="16" t="s">
        <v>256</v>
      </c>
      <c r="C177" s="16" t="s">
        <v>337</v>
      </c>
      <c r="D177" s="16" t="s">
        <v>183</v>
      </c>
      <c r="E177" s="16" t="n">
        <v>353</v>
      </c>
      <c r="F177" s="16" t="n">
        <v>0</v>
      </c>
      <c r="G177" s="16" t="n">
        <v>233</v>
      </c>
      <c r="H177" s="16" t="n">
        <v>4</v>
      </c>
      <c r="I177" s="16" t="n">
        <v>4</v>
      </c>
      <c r="J177" s="16" t="n">
        <v>3</v>
      </c>
      <c r="K177" s="16" t="n">
        <v>4</v>
      </c>
      <c r="L177" s="16" t="n">
        <v>120</v>
      </c>
      <c r="M177" s="16" t="n">
        <v>72</v>
      </c>
      <c r="N177" s="16" t="n">
        <v>0</v>
      </c>
      <c r="O177" s="9" t="str">
        <f aca="false">IF(B177="","",IFERROR(INDEX(Options!$G$6:$G$85,MATCH($B177,Options!$A$6:$A$85,0)),""))</f>
        <v>Letter</v>
      </c>
      <c r="P177" s="9" t="str">
        <f aca="false">IF(B177="","",IFERROR(INDEX(Options!$H$6:$H$85,MATCH($B177,Options!$A$6:$A$85,0)),""))</f>
        <v>Seasonal</v>
      </c>
      <c r="Q177" s="24" t="n">
        <f aca="false">IF(B177="",0,N(IFERROR(INDEX(Options!$J$6:$J$85,MATCH($B177,Options!$A$6:$A$85,0)),"")))</f>
        <v>85</v>
      </c>
      <c r="R177" s="25" t="n">
        <f aca="false">K177*Settings!$B$10+J177*Settings!$B$11+I177*Settings!$B$12+H177*Settings!$B$13</f>
        <v>3.7</v>
      </c>
      <c r="S177" s="25" t="n">
        <f aca="false">IFERROR(L177/Settings!$B$8,0)</f>
        <v>5.45454545454545</v>
      </c>
      <c r="T177" s="26" t="n">
        <f aca="false">IF(OR(B177="",P177="End of life"),0,W177*MIN(4,N177))</f>
        <v>0</v>
      </c>
      <c r="U177" s="27" t="n">
        <f aca="false">T177*Q177</f>
        <v>0</v>
      </c>
      <c r="V177" s="14" t="n">
        <f aca="false">IF(B177="",0,G177*N(IFERROR(INDEX(Options!$K$6:$K$85,MATCH($B177,Options!$A$6:$A$85,0)),"")))</f>
        <v>7525.9</v>
      </c>
      <c r="W177" s="26" t="n">
        <f aca="false">IF(B177="",0,IF(N177&gt;=4,S177,(H177+I177+J177+K177)/(4-N177)))</f>
        <v>3.75</v>
      </c>
    </row>
    <row r="178" customFormat="false" ht="15" hidden="false" customHeight="false" outlineLevel="0" collapsed="false">
      <c r="A178" s="16" t="s">
        <v>508</v>
      </c>
      <c r="B178" s="16" t="s">
        <v>256</v>
      </c>
      <c r="C178" s="16" t="s">
        <v>339</v>
      </c>
      <c r="D178" s="16"/>
      <c r="E178" s="16" t="n">
        <v>190</v>
      </c>
      <c r="F178" s="16" t="n">
        <v>0</v>
      </c>
      <c r="G178" s="16" t="n">
        <v>125</v>
      </c>
      <c r="H178" s="16" t="n">
        <v>2</v>
      </c>
      <c r="I178" s="16" t="n">
        <v>2</v>
      </c>
      <c r="J178" s="16" t="n">
        <v>2</v>
      </c>
      <c r="K178" s="16" t="n">
        <v>2</v>
      </c>
      <c r="L178" s="16" t="n">
        <v>65</v>
      </c>
      <c r="M178" s="16" t="n">
        <v>39</v>
      </c>
      <c r="N178" s="16" t="n">
        <v>0</v>
      </c>
      <c r="O178" s="9" t="str">
        <f aca="false">IF(B178="","",IFERROR(INDEX(Options!$G$6:$G$85,MATCH($B178,Options!$A$6:$A$85,0)),""))</f>
        <v>Letter</v>
      </c>
      <c r="P178" s="9" t="str">
        <f aca="false">IF(B178="","",IFERROR(INDEX(Options!$H$6:$H$85,MATCH($B178,Options!$A$6:$A$85,0)),""))</f>
        <v>Seasonal</v>
      </c>
      <c r="Q178" s="24" t="n">
        <f aca="false">IF(B178="",0,N(IFERROR(INDEX(Options!$J$6:$J$85,MATCH($B178,Options!$A$6:$A$85,0)),"")))</f>
        <v>85</v>
      </c>
      <c r="R178" s="25" t="n">
        <f aca="false">K178*Settings!$B$10+J178*Settings!$B$11+I178*Settings!$B$12+H178*Settings!$B$13</f>
        <v>2</v>
      </c>
      <c r="S178" s="25" t="n">
        <f aca="false">IFERROR(L178/Settings!$B$8,0)</f>
        <v>2.95454545454545</v>
      </c>
      <c r="T178" s="26" t="n">
        <f aca="false">IF(OR(B178="",P178="End of life"),0,W178*MIN(4,N178))</f>
        <v>0</v>
      </c>
      <c r="U178" s="27" t="n">
        <f aca="false">T178*Q178</f>
        <v>0</v>
      </c>
      <c r="V178" s="14" t="n">
        <f aca="false">IF(B178="",0,G178*N(IFERROR(INDEX(Options!$K$6:$K$85,MATCH($B178,Options!$A$6:$A$85,0)),"")))</f>
        <v>4037.5</v>
      </c>
      <c r="W178" s="26" t="n">
        <f aca="false">IF(B178="",0,IF(N178&gt;=4,S178,(H178+I178+J178+K178)/(4-N178)))</f>
        <v>2</v>
      </c>
    </row>
    <row r="179" customFormat="false" ht="15" hidden="false" customHeight="false" outlineLevel="0" collapsed="false">
      <c r="A179" s="16" t="s">
        <v>509</v>
      </c>
      <c r="B179" s="16" t="s">
        <v>256</v>
      </c>
      <c r="C179" s="16" t="s">
        <v>341</v>
      </c>
      <c r="D179" s="16"/>
      <c r="E179" s="16" t="n">
        <v>110</v>
      </c>
      <c r="F179" s="16" t="n">
        <v>0</v>
      </c>
      <c r="G179" s="16" t="n">
        <v>81</v>
      </c>
      <c r="H179" s="16" t="n">
        <v>1</v>
      </c>
      <c r="I179" s="16" t="n">
        <v>1</v>
      </c>
      <c r="J179" s="16" t="n">
        <v>1</v>
      </c>
      <c r="K179" s="16" t="n">
        <v>1</v>
      </c>
      <c r="L179" s="16" t="n">
        <v>29</v>
      </c>
      <c r="M179" s="16" t="n">
        <v>17</v>
      </c>
      <c r="N179" s="16" t="n">
        <v>0</v>
      </c>
      <c r="O179" s="9" t="str">
        <f aca="false">IF(B179="","",IFERROR(INDEX(Options!$G$6:$G$85,MATCH($B179,Options!$A$6:$A$85,0)),""))</f>
        <v>Letter</v>
      </c>
      <c r="P179" s="9" t="str">
        <f aca="false">IF(B179="","",IFERROR(INDEX(Options!$H$6:$H$85,MATCH($B179,Options!$A$6:$A$85,0)),""))</f>
        <v>Seasonal</v>
      </c>
      <c r="Q179" s="24" t="n">
        <f aca="false">IF(B179="",0,N(IFERROR(INDEX(Options!$J$6:$J$85,MATCH($B179,Options!$A$6:$A$85,0)),"")))</f>
        <v>85</v>
      </c>
      <c r="R179" s="25" t="n">
        <f aca="false">K179*Settings!$B$10+J179*Settings!$B$11+I179*Settings!$B$12+H179*Settings!$B$13</f>
        <v>1</v>
      </c>
      <c r="S179" s="25" t="n">
        <f aca="false">IFERROR(L179/Settings!$B$8,0)</f>
        <v>1.31818181818182</v>
      </c>
      <c r="T179" s="26" t="n">
        <f aca="false">IF(OR(B179="",P179="End of life"),0,W179*MIN(4,N179))</f>
        <v>0</v>
      </c>
      <c r="U179" s="27" t="n">
        <f aca="false">T179*Q179</f>
        <v>0</v>
      </c>
      <c r="V179" s="14" t="n">
        <f aca="false">IF(B179="",0,G179*N(IFERROR(INDEX(Options!$K$6:$K$85,MATCH($B179,Options!$A$6:$A$85,0)),"")))</f>
        <v>2616.3</v>
      </c>
      <c r="W179" s="26" t="n">
        <f aca="false">IF(B179="",0,IF(N179&gt;=4,S179,(H179+I179+J179+K179)/(4-N179)))</f>
        <v>1</v>
      </c>
    </row>
    <row r="180" customFormat="false" ht="15" hidden="false" customHeight="false" outlineLevel="0" collapsed="false">
      <c r="A180" s="16" t="s">
        <v>510</v>
      </c>
      <c r="B180" s="16" t="s">
        <v>257</v>
      </c>
      <c r="C180" s="16" t="s">
        <v>331</v>
      </c>
      <c r="D180" s="16"/>
      <c r="E180" s="16" t="n">
        <v>40</v>
      </c>
      <c r="F180" s="16" t="n">
        <v>0</v>
      </c>
      <c r="G180" s="16" t="n">
        <v>17</v>
      </c>
      <c r="H180" s="16" t="n">
        <v>1</v>
      </c>
      <c r="I180" s="16" t="n">
        <v>1</v>
      </c>
      <c r="J180" s="16" t="n">
        <v>1</v>
      </c>
      <c r="K180" s="16" t="n">
        <v>1</v>
      </c>
      <c r="L180" s="16" t="n">
        <v>23</v>
      </c>
      <c r="M180" s="16" t="n">
        <v>20</v>
      </c>
      <c r="N180" s="16" t="n">
        <v>0</v>
      </c>
      <c r="O180" s="9" t="str">
        <f aca="false">IF(B180="","",IFERROR(INDEX(Options!$G$6:$G$85,MATCH($B180,Options!$A$6:$A$85,0)),""))</f>
        <v>Letter</v>
      </c>
      <c r="P180" s="9" t="str">
        <f aca="false">IF(B180="","",IFERROR(INDEX(Options!$H$6:$H$85,MATCH($B180,Options!$A$6:$A$85,0)),""))</f>
        <v>Seasonal</v>
      </c>
      <c r="Q180" s="24" t="n">
        <f aca="false">IF(B180="",0,N(IFERROR(INDEX(Options!$J$6:$J$85,MATCH($B180,Options!$A$6:$A$85,0)),"")))</f>
        <v>85</v>
      </c>
      <c r="R180" s="25" t="n">
        <f aca="false">K180*Settings!$B$10+J180*Settings!$B$11+I180*Settings!$B$12+H180*Settings!$B$13</f>
        <v>1</v>
      </c>
      <c r="S180" s="25" t="n">
        <f aca="false">IFERROR(L180/Settings!$B$8,0)</f>
        <v>1.04545454545455</v>
      </c>
      <c r="T180" s="26" t="n">
        <f aca="false">IF(OR(B180="",P180="End of life"),0,W180*MIN(4,N180))</f>
        <v>0</v>
      </c>
      <c r="U180" s="27" t="n">
        <f aca="false">T180*Q180</f>
        <v>0</v>
      </c>
      <c r="V180" s="14" t="n">
        <f aca="false">IF(B180="",0,G180*N(IFERROR(INDEX(Options!$K$6:$K$85,MATCH($B180,Options!$A$6:$A$85,0)),"")))</f>
        <v>549.1</v>
      </c>
      <c r="W180" s="26" t="n">
        <f aca="false">IF(B180="",0,IF(N180&gt;=4,S180,(H180+I180+J180+K180)/(4-N180)))</f>
        <v>1</v>
      </c>
    </row>
    <row r="181" customFormat="false" ht="15" hidden="false" customHeight="false" outlineLevel="0" collapsed="false">
      <c r="A181" s="16" t="s">
        <v>511</v>
      </c>
      <c r="B181" s="16" t="s">
        <v>257</v>
      </c>
      <c r="C181" s="16" t="s">
        <v>333</v>
      </c>
      <c r="D181" s="16" t="s">
        <v>183</v>
      </c>
      <c r="E181" s="16" t="n">
        <v>89</v>
      </c>
      <c r="F181" s="16" t="n">
        <v>0</v>
      </c>
      <c r="G181" s="16" t="n">
        <v>26</v>
      </c>
      <c r="H181" s="16" t="n">
        <v>3</v>
      </c>
      <c r="I181" s="16" t="n">
        <v>2</v>
      </c>
      <c r="J181" s="16" t="n">
        <v>4</v>
      </c>
      <c r="K181" s="16" t="n">
        <v>4</v>
      </c>
      <c r="L181" s="16" t="n">
        <v>63</v>
      </c>
      <c r="M181" s="16" t="n">
        <v>55</v>
      </c>
      <c r="N181" s="16" t="n">
        <v>0</v>
      </c>
      <c r="O181" s="9" t="str">
        <f aca="false">IF(B181="","",IFERROR(INDEX(Options!$G$6:$G$85,MATCH($B181,Options!$A$6:$A$85,0)),""))</f>
        <v>Letter</v>
      </c>
      <c r="P181" s="9" t="str">
        <f aca="false">IF(B181="","",IFERROR(INDEX(Options!$H$6:$H$85,MATCH($B181,Options!$A$6:$A$85,0)),""))</f>
        <v>Seasonal</v>
      </c>
      <c r="Q181" s="24" t="n">
        <f aca="false">IF(B181="",0,N(IFERROR(INDEX(Options!$J$6:$J$85,MATCH($B181,Options!$A$6:$A$85,0)),"")))</f>
        <v>85</v>
      </c>
      <c r="R181" s="25" t="n">
        <f aca="false">K181*Settings!$B$10+J181*Settings!$B$11+I181*Settings!$B$12+H181*Settings!$B$13</f>
        <v>3.5</v>
      </c>
      <c r="S181" s="25" t="n">
        <f aca="false">IFERROR(L181/Settings!$B$8,0)</f>
        <v>2.86363636363636</v>
      </c>
      <c r="T181" s="26" t="n">
        <f aca="false">IF(OR(B181="",P181="End of life"),0,W181*MIN(4,N181))</f>
        <v>0</v>
      </c>
      <c r="U181" s="27" t="n">
        <f aca="false">T181*Q181</f>
        <v>0</v>
      </c>
      <c r="V181" s="14" t="n">
        <f aca="false">IF(B181="",0,G181*N(IFERROR(INDEX(Options!$K$6:$K$85,MATCH($B181,Options!$A$6:$A$85,0)),"")))</f>
        <v>839.8</v>
      </c>
      <c r="W181" s="26" t="n">
        <f aca="false">IF(B181="",0,IF(N181&gt;=4,S181,(H181+I181+J181+K181)/(4-N181)))</f>
        <v>3.25</v>
      </c>
    </row>
    <row r="182" customFormat="false" ht="15" hidden="false" customHeight="false" outlineLevel="0" collapsed="false">
      <c r="A182" s="16" t="s">
        <v>512</v>
      </c>
      <c r="B182" s="16" t="s">
        <v>257</v>
      </c>
      <c r="C182" s="16" t="s">
        <v>335</v>
      </c>
      <c r="D182" s="16" t="s">
        <v>183</v>
      </c>
      <c r="E182" s="16" t="n">
        <v>148</v>
      </c>
      <c r="F182" s="16" t="n">
        <v>0</v>
      </c>
      <c r="G182" s="16" t="n">
        <v>45</v>
      </c>
      <c r="H182" s="16" t="n">
        <v>4</v>
      </c>
      <c r="I182" s="16" t="n">
        <v>5</v>
      </c>
      <c r="J182" s="16" t="n">
        <v>5</v>
      </c>
      <c r="K182" s="16" t="n">
        <v>6</v>
      </c>
      <c r="L182" s="16" t="n">
        <v>103</v>
      </c>
      <c r="M182" s="16" t="n">
        <v>91</v>
      </c>
      <c r="N182" s="16" t="n">
        <v>0</v>
      </c>
      <c r="O182" s="9" t="str">
        <f aca="false">IF(B182="","",IFERROR(INDEX(Options!$G$6:$G$85,MATCH($B182,Options!$A$6:$A$85,0)),""))</f>
        <v>Letter</v>
      </c>
      <c r="P182" s="9" t="str">
        <f aca="false">IF(B182="","",IFERROR(INDEX(Options!$H$6:$H$85,MATCH($B182,Options!$A$6:$A$85,0)),""))</f>
        <v>Seasonal</v>
      </c>
      <c r="Q182" s="24" t="n">
        <f aca="false">IF(B182="",0,N(IFERROR(INDEX(Options!$J$6:$J$85,MATCH($B182,Options!$A$6:$A$85,0)),"")))</f>
        <v>85</v>
      </c>
      <c r="R182" s="25" t="n">
        <f aca="false">K182*Settings!$B$10+J182*Settings!$B$11+I182*Settings!$B$12+H182*Settings!$B$13</f>
        <v>5.3</v>
      </c>
      <c r="S182" s="25" t="n">
        <f aca="false">IFERROR(L182/Settings!$B$8,0)</f>
        <v>4.68181818181818</v>
      </c>
      <c r="T182" s="26" t="n">
        <f aca="false">IF(OR(B182="",P182="End of life"),0,W182*MIN(4,N182))</f>
        <v>0</v>
      </c>
      <c r="U182" s="27" t="n">
        <f aca="false">T182*Q182</f>
        <v>0</v>
      </c>
      <c r="V182" s="14" t="n">
        <f aca="false">IF(B182="",0,G182*N(IFERROR(INDEX(Options!$K$6:$K$85,MATCH($B182,Options!$A$6:$A$85,0)),"")))</f>
        <v>1453.5</v>
      </c>
      <c r="W182" s="26" t="n">
        <f aca="false">IF(B182="",0,IF(N182&gt;=4,S182,(H182+I182+J182+K182)/(4-N182)))</f>
        <v>5</v>
      </c>
    </row>
    <row r="183" customFormat="false" ht="15" hidden="false" customHeight="false" outlineLevel="0" collapsed="false">
      <c r="A183" s="16" t="s">
        <v>513</v>
      </c>
      <c r="B183" s="16" t="s">
        <v>257</v>
      </c>
      <c r="C183" s="16" t="s">
        <v>337</v>
      </c>
      <c r="D183" s="16" t="s">
        <v>183</v>
      </c>
      <c r="E183" s="16" t="n">
        <v>128</v>
      </c>
      <c r="F183" s="16" t="n">
        <v>0</v>
      </c>
      <c r="G183" s="16" t="n">
        <v>32</v>
      </c>
      <c r="H183" s="16" t="n">
        <v>4</v>
      </c>
      <c r="I183" s="16" t="n">
        <v>3</v>
      </c>
      <c r="J183" s="16" t="n">
        <v>4</v>
      </c>
      <c r="K183" s="16" t="n">
        <v>4</v>
      </c>
      <c r="L183" s="16" t="n">
        <v>96</v>
      </c>
      <c r="M183" s="16" t="n">
        <v>84</v>
      </c>
      <c r="N183" s="16" t="n">
        <v>0</v>
      </c>
      <c r="O183" s="9" t="str">
        <f aca="false">IF(B183="","",IFERROR(INDEX(Options!$G$6:$G$85,MATCH($B183,Options!$A$6:$A$85,0)),""))</f>
        <v>Letter</v>
      </c>
      <c r="P183" s="9" t="str">
        <f aca="false">IF(B183="","",IFERROR(INDEX(Options!$H$6:$H$85,MATCH($B183,Options!$A$6:$A$85,0)),""))</f>
        <v>Seasonal</v>
      </c>
      <c r="Q183" s="24" t="n">
        <f aca="false">IF(B183="",0,N(IFERROR(INDEX(Options!$J$6:$J$85,MATCH($B183,Options!$A$6:$A$85,0)),"")))</f>
        <v>85</v>
      </c>
      <c r="R183" s="25" t="n">
        <f aca="false">K183*Settings!$B$10+J183*Settings!$B$11+I183*Settings!$B$12+H183*Settings!$B$13</f>
        <v>3.8</v>
      </c>
      <c r="S183" s="25" t="n">
        <f aca="false">IFERROR(L183/Settings!$B$8,0)</f>
        <v>4.36363636363636</v>
      </c>
      <c r="T183" s="26" t="n">
        <f aca="false">IF(OR(B183="",P183="End of life"),0,W183*MIN(4,N183))</f>
        <v>0</v>
      </c>
      <c r="U183" s="27" t="n">
        <f aca="false">T183*Q183</f>
        <v>0</v>
      </c>
      <c r="V183" s="14" t="n">
        <f aca="false">IF(B183="",0,G183*N(IFERROR(INDEX(Options!$K$6:$K$85,MATCH($B183,Options!$A$6:$A$85,0)),"")))</f>
        <v>1033.6</v>
      </c>
      <c r="W183" s="26" t="n">
        <f aca="false">IF(B183="",0,IF(N183&gt;=4,S183,(H183+I183+J183+K183)/(4-N183)))</f>
        <v>3.75</v>
      </c>
    </row>
    <row r="184" customFormat="false" ht="15" hidden="false" customHeight="false" outlineLevel="0" collapsed="false">
      <c r="A184" s="16" t="s">
        <v>514</v>
      </c>
      <c r="B184" s="16" t="s">
        <v>257</v>
      </c>
      <c r="C184" s="16" t="s">
        <v>339</v>
      </c>
      <c r="D184" s="16"/>
      <c r="E184" s="16" t="n">
        <v>69</v>
      </c>
      <c r="F184" s="16" t="n">
        <v>0</v>
      </c>
      <c r="G184" s="16" t="n">
        <v>15</v>
      </c>
      <c r="H184" s="16" t="n">
        <v>2</v>
      </c>
      <c r="I184" s="16" t="n">
        <v>2</v>
      </c>
      <c r="J184" s="16" t="n">
        <v>2</v>
      </c>
      <c r="K184" s="16" t="n">
        <v>3</v>
      </c>
      <c r="L184" s="16" t="n">
        <v>54</v>
      </c>
      <c r="M184" s="16" t="n">
        <v>48</v>
      </c>
      <c r="N184" s="16" t="n">
        <v>0</v>
      </c>
      <c r="O184" s="9" t="str">
        <f aca="false">IF(B184="","",IFERROR(INDEX(Options!$G$6:$G$85,MATCH($B184,Options!$A$6:$A$85,0)),""))</f>
        <v>Letter</v>
      </c>
      <c r="P184" s="9" t="str">
        <f aca="false">IF(B184="","",IFERROR(INDEX(Options!$H$6:$H$85,MATCH($B184,Options!$A$6:$A$85,0)),""))</f>
        <v>Seasonal</v>
      </c>
      <c r="Q184" s="24" t="n">
        <f aca="false">IF(B184="",0,N(IFERROR(INDEX(Options!$J$6:$J$85,MATCH($B184,Options!$A$6:$A$85,0)),"")))</f>
        <v>85</v>
      </c>
      <c r="R184" s="25" t="n">
        <f aca="false">K184*Settings!$B$10+J184*Settings!$B$11+I184*Settings!$B$12+H184*Settings!$B$13</f>
        <v>2.4</v>
      </c>
      <c r="S184" s="25" t="n">
        <f aca="false">IFERROR(L184/Settings!$B$8,0)</f>
        <v>2.45454545454545</v>
      </c>
      <c r="T184" s="26" t="n">
        <f aca="false">IF(OR(B184="",P184="End of life"),0,W184*MIN(4,N184))</f>
        <v>0</v>
      </c>
      <c r="U184" s="27" t="n">
        <f aca="false">T184*Q184</f>
        <v>0</v>
      </c>
      <c r="V184" s="14" t="n">
        <f aca="false">IF(B184="",0,G184*N(IFERROR(INDEX(Options!$K$6:$K$85,MATCH($B184,Options!$A$6:$A$85,0)),"")))</f>
        <v>484.5</v>
      </c>
      <c r="W184" s="26" t="n">
        <f aca="false">IF(B184="",0,IF(N184&gt;=4,S184,(H184+I184+J184+K184)/(4-N184)))</f>
        <v>2.25</v>
      </c>
    </row>
    <row r="185" customFormat="false" ht="15" hidden="false" customHeight="false" outlineLevel="0" collapsed="false">
      <c r="A185" s="16" t="s">
        <v>515</v>
      </c>
      <c r="B185" s="16" t="s">
        <v>257</v>
      </c>
      <c r="C185" s="16" t="s">
        <v>341</v>
      </c>
      <c r="D185" s="16"/>
      <c r="E185" s="16" t="n">
        <v>40</v>
      </c>
      <c r="F185" s="16" t="n">
        <v>0</v>
      </c>
      <c r="G185" s="16" t="n">
        <v>19</v>
      </c>
      <c r="H185" s="16" t="n">
        <v>1</v>
      </c>
      <c r="I185" s="16" t="n">
        <v>1</v>
      </c>
      <c r="J185" s="16" t="n">
        <v>1</v>
      </c>
      <c r="K185" s="16" t="n">
        <v>1</v>
      </c>
      <c r="L185" s="16" t="n">
        <v>21</v>
      </c>
      <c r="M185" s="16" t="n">
        <v>18</v>
      </c>
      <c r="N185" s="16" t="n">
        <v>0</v>
      </c>
      <c r="O185" s="9" t="str">
        <f aca="false">IF(B185="","",IFERROR(INDEX(Options!$G$6:$G$85,MATCH($B185,Options!$A$6:$A$85,0)),""))</f>
        <v>Letter</v>
      </c>
      <c r="P185" s="9" t="str">
        <f aca="false">IF(B185="","",IFERROR(INDEX(Options!$H$6:$H$85,MATCH($B185,Options!$A$6:$A$85,0)),""))</f>
        <v>Seasonal</v>
      </c>
      <c r="Q185" s="24" t="n">
        <f aca="false">IF(B185="",0,N(IFERROR(INDEX(Options!$J$6:$J$85,MATCH($B185,Options!$A$6:$A$85,0)),"")))</f>
        <v>85</v>
      </c>
      <c r="R185" s="25" t="n">
        <f aca="false">K185*Settings!$B$10+J185*Settings!$B$11+I185*Settings!$B$12+H185*Settings!$B$13</f>
        <v>1</v>
      </c>
      <c r="S185" s="25" t="n">
        <f aca="false">IFERROR(L185/Settings!$B$8,0)</f>
        <v>0.954545454545455</v>
      </c>
      <c r="T185" s="26" t="n">
        <f aca="false">IF(OR(B185="",P185="End of life"),0,W185*MIN(4,N185))</f>
        <v>0</v>
      </c>
      <c r="U185" s="27" t="n">
        <f aca="false">T185*Q185</f>
        <v>0</v>
      </c>
      <c r="V185" s="14" t="n">
        <f aca="false">IF(B185="",0,G185*N(IFERROR(INDEX(Options!$K$6:$K$85,MATCH($B185,Options!$A$6:$A$85,0)),"")))</f>
        <v>613.7</v>
      </c>
      <c r="W185" s="26" t="n">
        <f aca="false">IF(B185="",0,IF(N185&gt;=4,S185,(H185+I185+J185+K185)/(4-N185)))</f>
        <v>1</v>
      </c>
    </row>
    <row r="186" customFormat="false" ht="15" hidden="false" customHeight="false" outlineLevel="0" collapsed="false">
      <c r="A186" s="16" t="s">
        <v>516</v>
      </c>
      <c r="B186" s="16" t="s">
        <v>258</v>
      </c>
      <c r="C186" s="16" t="s">
        <v>331</v>
      </c>
      <c r="D186" s="16"/>
      <c r="E186" s="16" t="n">
        <v>19</v>
      </c>
      <c r="F186" s="16" t="n">
        <v>0</v>
      </c>
      <c r="G186" s="16" t="n">
        <v>8</v>
      </c>
      <c r="H186" s="16" t="n">
        <v>0</v>
      </c>
      <c r="I186" s="16" t="n">
        <v>0</v>
      </c>
      <c r="J186" s="16" t="n">
        <v>0</v>
      </c>
      <c r="K186" s="16" t="n">
        <v>0</v>
      </c>
      <c r="L186" s="16" t="n">
        <v>11</v>
      </c>
      <c r="M186" s="16" t="n">
        <v>10</v>
      </c>
      <c r="N186" s="16" t="n">
        <v>0</v>
      </c>
      <c r="O186" s="9" t="str">
        <f aca="false">IF(B186="","",IFERROR(INDEX(Options!$G$6:$G$85,MATCH($B186,Options!$A$6:$A$85,0)),""))</f>
        <v>Letter</v>
      </c>
      <c r="P186" s="9" t="str">
        <f aca="false">IF(B186="","",IFERROR(INDEX(Options!$H$6:$H$85,MATCH($B186,Options!$A$6:$A$85,0)),""))</f>
        <v>Seasonal</v>
      </c>
      <c r="Q186" s="24" t="n">
        <f aca="false">IF(B186="",0,N(IFERROR(INDEX(Options!$J$6:$J$85,MATCH($B186,Options!$A$6:$A$85,0)),"")))</f>
        <v>60</v>
      </c>
      <c r="R186" s="25" t="n">
        <f aca="false">K186*Settings!$B$10+J186*Settings!$B$11+I186*Settings!$B$12+H186*Settings!$B$13</f>
        <v>0</v>
      </c>
      <c r="S186" s="25" t="n">
        <f aca="false">IFERROR(L186/Settings!$B$8,0)</f>
        <v>0.5</v>
      </c>
      <c r="T186" s="26" t="n">
        <f aca="false">IF(OR(B186="",P186="End of life"),0,W186*MIN(4,N186))</f>
        <v>0</v>
      </c>
      <c r="U186" s="27" t="n">
        <f aca="false">T186*Q186</f>
        <v>0</v>
      </c>
      <c r="V186" s="14" t="n">
        <f aca="false">IF(B186="",0,G186*N(IFERROR(INDEX(Options!$K$6:$K$85,MATCH($B186,Options!$A$6:$A$85,0)),"")))</f>
        <v>182.4</v>
      </c>
      <c r="W186" s="26" t="n">
        <f aca="false">IF(B186="",0,IF(N186&gt;=4,S186,(H186+I186+J186+K186)/(4-N186)))</f>
        <v>0</v>
      </c>
    </row>
    <row r="187" customFormat="false" ht="15" hidden="false" customHeight="false" outlineLevel="0" collapsed="false">
      <c r="A187" s="16" t="s">
        <v>517</v>
      </c>
      <c r="B187" s="16" t="s">
        <v>258</v>
      </c>
      <c r="C187" s="16" t="s">
        <v>333</v>
      </c>
      <c r="D187" s="16" t="s">
        <v>183</v>
      </c>
      <c r="E187" s="16" t="n">
        <v>42</v>
      </c>
      <c r="F187" s="16" t="n">
        <v>0</v>
      </c>
      <c r="G187" s="16" t="n">
        <v>12</v>
      </c>
      <c r="H187" s="16" t="n">
        <v>1</v>
      </c>
      <c r="I187" s="16" t="n">
        <v>1</v>
      </c>
      <c r="J187" s="16" t="n">
        <v>1</v>
      </c>
      <c r="K187" s="16" t="n">
        <v>1</v>
      </c>
      <c r="L187" s="16" t="n">
        <v>30</v>
      </c>
      <c r="M187" s="16" t="n">
        <v>26</v>
      </c>
      <c r="N187" s="16" t="n">
        <v>0</v>
      </c>
      <c r="O187" s="9" t="str">
        <f aca="false">IF(B187="","",IFERROR(INDEX(Options!$G$6:$G$85,MATCH($B187,Options!$A$6:$A$85,0)),""))</f>
        <v>Letter</v>
      </c>
      <c r="P187" s="9" t="str">
        <f aca="false">IF(B187="","",IFERROR(INDEX(Options!$H$6:$H$85,MATCH($B187,Options!$A$6:$A$85,0)),""))</f>
        <v>Seasonal</v>
      </c>
      <c r="Q187" s="24" t="n">
        <f aca="false">IF(B187="",0,N(IFERROR(INDEX(Options!$J$6:$J$85,MATCH($B187,Options!$A$6:$A$85,0)),"")))</f>
        <v>60</v>
      </c>
      <c r="R187" s="25" t="n">
        <f aca="false">K187*Settings!$B$10+J187*Settings!$B$11+I187*Settings!$B$12+H187*Settings!$B$13</f>
        <v>1</v>
      </c>
      <c r="S187" s="25" t="n">
        <f aca="false">IFERROR(L187/Settings!$B$8,0)</f>
        <v>1.36363636363636</v>
      </c>
      <c r="T187" s="26" t="n">
        <f aca="false">IF(OR(B187="",P187="End of life"),0,W187*MIN(4,N187))</f>
        <v>0</v>
      </c>
      <c r="U187" s="27" t="n">
        <f aca="false">T187*Q187</f>
        <v>0</v>
      </c>
      <c r="V187" s="14" t="n">
        <f aca="false">IF(B187="",0,G187*N(IFERROR(INDEX(Options!$K$6:$K$85,MATCH($B187,Options!$A$6:$A$85,0)),"")))</f>
        <v>273.6</v>
      </c>
      <c r="W187" s="26" t="n">
        <f aca="false">IF(B187="",0,IF(N187&gt;=4,S187,(H187+I187+J187+K187)/(4-N187)))</f>
        <v>1</v>
      </c>
    </row>
    <row r="188" customFormat="false" ht="15" hidden="false" customHeight="false" outlineLevel="0" collapsed="false">
      <c r="A188" s="16" t="s">
        <v>518</v>
      </c>
      <c r="B188" s="16" t="s">
        <v>258</v>
      </c>
      <c r="C188" s="16" t="s">
        <v>335</v>
      </c>
      <c r="D188" s="16" t="s">
        <v>183</v>
      </c>
      <c r="E188" s="16" t="n">
        <v>70</v>
      </c>
      <c r="F188" s="16" t="n">
        <v>0</v>
      </c>
      <c r="G188" s="16" t="n">
        <v>14</v>
      </c>
      <c r="H188" s="16" t="n">
        <v>2</v>
      </c>
      <c r="I188" s="16" t="n">
        <v>2</v>
      </c>
      <c r="J188" s="16" t="n">
        <v>2</v>
      </c>
      <c r="K188" s="16" t="n">
        <v>3</v>
      </c>
      <c r="L188" s="16" t="n">
        <v>56</v>
      </c>
      <c r="M188" s="16" t="n">
        <v>49</v>
      </c>
      <c r="N188" s="16" t="n">
        <v>0</v>
      </c>
      <c r="O188" s="9" t="str">
        <f aca="false">IF(B188="","",IFERROR(INDEX(Options!$G$6:$G$85,MATCH($B188,Options!$A$6:$A$85,0)),""))</f>
        <v>Letter</v>
      </c>
      <c r="P188" s="9" t="str">
        <f aca="false">IF(B188="","",IFERROR(INDEX(Options!$H$6:$H$85,MATCH($B188,Options!$A$6:$A$85,0)),""))</f>
        <v>Seasonal</v>
      </c>
      <c r="Q188" s="24" t="n">
        <f aca="false">IF(B188="",0,N(IFERROR(INDEX(Options!$J$6:$J$85,MATCH($B188,Options!$A$6:$A$85,0)),"")))</f>
        <v>60</v>
      </c>
      <c r="R188" s="25" t="n">
        <f aca="false">K188*Settings!$B$10+J188*Settings!$B$11+I188*Settings!$B$12+H188*Settings!$B$13</f>
        <v>2.4</v>
      </c>
      <c r="S188" s="25" t="n">
        <f aca="false">IFERROR(L188/Settings!$B$8,0)</f>
        <v>2.54545454545455</v>
      </c>
      <c r="T188" s="26" t="n">
        <f aca="false">IF(OR(B188="",P188="End of life"),0,W188*MIN(4,N188))</f>
        <v>0</v>
      </c>
      <c r="U188" s="27" t="n">
        <f aca="false">T188*Q188</f>
        <v>0</v>
      </c>
      <c r="V188" s="14" t="n">
        <f aca="false">IF(B188="",0,G188*N(IFERROR(INDEX(Options!$K$6:$K$85,MATCH($B188,Options!$A$6:$A$85,0)),"")))</f>
        <v>319.2</v>
      </c>
      <c r="W188" s="26" t="n">
        <f aca="false">IF(B188="",0,IF(N188&gt;=4,S188,(H188+I188+J188+K188)/(4-N188)))</f>
        <v>2.25</v>
      </c>
    </row>
    <row r="189" customFormat="false" ht="15" hidden="false" customHeight="false" outlineLevel="0" collapsed="false">
      <c r="A189" s="16" t="s">
        <v>519</v>
      </c>
      <c r="B189" s="16" t="s">
        <v>258</v>
      </c>
      <c r="C189" s="16" t="s">
        <v>337</v>
      </c>
      <c r="D189" s="16" t="s">
        <v>183</v>
      </c>
      <c r="E189" s="16" t="n">
        <v>61</v>
      </c>
      <c r="F189" s="16" t="n">
        <v>0</v>
      </c>
      <c r="G189" s="16" t="n">
        <v>11</v>
      </c>
      <c r="H189" s="16" t="n">
        <v>2</v>
      </c>
      <c r="I189" s="16" t="n">
        <v>2</v>
      </c>
      <c r="J189" s="16" t="n">
        <v>2</v>
      </c>
      <c r="K189" s="16" t="n">
        <v>2</v>
      </c>
      <c r="L189" s="16" t="n">
        <v>50</v>
      </c>
      <c r="M189" s="16" t="n">
        <v>44</v>
      </c>
      <c r="N189" s="16" t="n">
        <v>0</v>
      </c>
      <c r="O189" s="9" t="str">
        <f aca="false">IF(B189="","",IFERROR(INDEX(Options!$G$6:$G$85,MATCH($B189,Options!$A$6:$A$85,0)),""))</f>
        <v>Letter</v>
      </c>
      <c r="P189" s="9" t="str">
        <f aca="false">IF(B189="","",IFERROR(INDEX(Options!$H$6:$H$85,MATCH($B189,Options!$A$6:$A$85,0)),""))</f>
        <v>Seasonal</v>
      </c>
      <c r="Q189" s="24" t="n">
        <f aca="false">IF(B189="",0,N(IFERROR(INDEX(Options!$J$6:$J$85,MATCH($B189,Options!$A$6:$A$85,0)),"")))</f>
        <v>60</v>
      </c>
      <c r="R189" s="25" t="n">
        <f aca="false">K189*Settings!$B$10+J189*Settings!$B$11+I189*Settings!$B$12+H189*Settings!$B$13</f>
        <v>2</v>
      </c>
      <c r="S189" s="25" t="n">
        <f aca="false">IFERROR(L189/Settings!$B$8,0)</f>
        <v>2.27272727272727</v>
      </c>
      <c r="T189" s="26" t="n">
        <f aca="false">IF(OR(B189="",P189="End of life"),0,W189*MIN(4,N189))</f>
        <v>0</v>
      </c>
      <c r="U189" s="27" t="n">
        <f aca="false">T189*Q189</f>
        <v>0</v>
      </c>
      <c r="V189" s="14" t="n">
        <f aca="false">IF(B189="",0,G189*N(IFERROR(INDEX(Options!$K$6:$K$85,MATCH($B189,Options!$A$6:$A$85,0)),"")))</f>
        <v>250.8</v>
      </c>
      <c r="W189" s="26" t="n">
        <f aca="false">IF(B189="",0,IF(N189&gt;=4,S189,(H189+I189+J189+K189)/(4-N189)))</f>
        <v>2</v>
      </c>
    </row>
    <row r="190" customFormat="false" ht="15" hidden="false" customHeight="false" outlineLevel="0" collapsed="false">
      <c r="A190" s="16" t="s">
        <v>520</v>
      </c>
      <c r="B190" s="16" t="s">
        <v>258</v>
      </c>
      <c r="C190" s="16" t="s">
        <v>339</v>
      </c>
      <c r="D190" s="16"/>
      <c r="E190" s="16" t="n">
        <v>33</v>
      </c>
      <c r="F190" s="16" t="n">
        <v>0</v>
      </c>
      <c r="G190" s="16" t="n">
        <v>8</v>
      </c>
      <c r="H190" s="16" t="n">
        <v>1</v>
      </c>
      <c r="I190" s="16" t="n">
        <v>1</v>
      </c>
      <c r="J190" s="16" t="n">
        <v>1</v>
      </c>
      <c r="K190" s="16" t="n">
        <v>1</v>
      </c>
      <c r="L190" s="16" t="n">
        <v>25</v>
      </c>
      <c r="M190" s="16" t="n">
        <v>22</v>
      </c>
      <c r="N190" s="16" t="n">
        <v>0</v>
      </c>
      <c r="O190" s="9" t="str">
        <f aca="false">IF(B190="","",IFERROR(INDEX(Options!$G$6:$G$85,MATCH($B190,Options!$A$6:$A$85,0)),""))</f>
        <v>Letter</v>
      </c>
      <c r="P190" s="9" t="str">
        <f aca="false">IF(B190="","",IFERROR(INDEX(Options!$H$6:$H$85,MATCH($B190,Options!$A$6:$A$85,0)),""))</f>
        <v>Seasonal</v>
      </c>
      <c r="Q190" s="24" t="n">
        <f aca="false">IF(B190="",0,N(IFERROR(INDEX(Options!$J$6:$J$85,MATCH($B190,Options!$A$6:$A$85,0)),"")))</f>
        <v>60</v>
      </c>
      <c r="R190" s="25" t="n">
        <f aca="false">K190*Settings!$B$10+J190*Settings!$B$11+I190*Settings!$B$12+H190*Settings!$B$13</f>
        <v>1</v>
      </c>
      <c r="S190" s="25" t="n">
        <f aca="false">IFERROR(L190/Settings!$B$8,0)</f>
        <v>1.13636363636364</v>
      </c>
      <c r="T190" s="26" t="n">
        <f aca="false">IF(OR(B190="",P190="End of life"),0,W190*MIN(4,N190))</f>
        <v>0</v>
      </c>
      <c r="U190" s="27" t="n">
        <f aca="false">T190*Q190</f>
        <v>0</v>
      </c>
      <c r="V190" s="14" t="n">
        <f aca="false">IF(B190="",0,G190*N(IFERROR(INDEX(Options!$K$6:$K$85,MATCH($B190,Options!$A$6:$A$85,0)),"")))</f>
        <v>182.4</v>
      </c>
      <c r="W190" s="26" t="n">
        <f aca="false">IF(B190="",0,IF(N190&gt;=4,S190,(H190+I190+J190+K190)/(4-N190)))</f>
        <v>1</v>
      </c>
    </row>
    <row r="191" customFormat="false" ht="15" hidden="false" customHeight="false" outlineLevel="0" collapsed="false">
      <c r="A191" s="16" t="s">
        <v>521</v>
      </c>
      <c r="B191" s="16" t="s">
        <v>258</v>
      </c>
      <c r="C191" s="16" t="s">
        <v>341</v>
      </c>
      <c r="D191" s="16"/>
      <c r="E191" s="16" t="n">
        <v>19</v>
      </c>
      <c r="F191" s="16" t="n">
        <v>0</v>
      </c>
      <c r="G191" s="16" t="n">
        <v>8</v>
      </c>
      <c r="H191" s="16" t="n">
        <v>1</v>
      </c>
      <c r="I191" s="16" t="n">
        <v>1</v>
      </c>
      <c r="J191" s="16" t="n">
        <v>0</v>
      </c>
      <c r="K191" s="16" t="n">
        <v>0</v>
      </c>
      <c r="L191" s="16" t="n">
        <v>11</v>
      </c>
      <c r="M191" s="16" t="n">
        <v>10</v>
      </c>
      <c r="N191" s="16" t="n">
        <v>0</v>
      </c>
      <c r="O191" s="9" t="str">
        <f aca="false">IF(B191="","",IFERROR(INDEX(Options!$G$6:$G$85,MATCH($B191,Options!$A$6:$A$85,0)),""))</f>
        <v>Letter</v>
      </c>
      <c r="P191" s="9" t="str">
        <f aca="false">IF(B191="","",IFERROR(INDEX(Options!$H$6:$H$85,MATCH($B191,Options!$A$6:$A$85,0)),""))</f>
        <v>Seasonal</v>
      </c>
      <c r="Q191" s="24" t="n">
        <f aca="false">IF(B191="",0,N(IFERROR(INDEX(Options!$J$6:$J$85,MATCH($B191,Options!$A$6:$A$85,0)),"")))</f>
        <v>60</v>
      </c>
      <c r="R191" s="25" t="n">
        <f aca="false">K191*Settings!$B$10+J191*Settings!$B$11+I191*Settings!$B$12+H191*Settings!$B$13</f>
        <v>0.3</v>
      </c>
      <c r="S191" s="25" t="n">
        <f aca="false">IFERROR(L191/Settings!$B$8,0)</f>
        <v>0.5</v>
      </c>
      <c r="T191" s="26" t="n">
        <f aca="false">IF(OR(B191="",P191="End of life"),0,W191*MIN(4,N191))</f>
        <v>0</v>
      </c>
      <c r="U191" s="27" t="n">
        <f aca="false">T191*Q191</f>
        <v>0</v>
      </c>
      <c r="V191" s="14" t="n">
        <f aca="false">IF(B191="",0,G191*N(IFERROR(INDEX(Options!$K$6:$K$85,MATCH($B191,Options!$A$6:$A$85,0)),"")))</f>
        <v>182.4</v>
      </c>
      <c r="W191" s="26" t="n">
        <f aca="false">IF(B191="",0,IF(N191&gt;=4,S191,(H191+I191+J191+K191)/(4-N191)))</f>
        <v>0.5</v>
      </c>
    </row>
    <row r="192" customFormat="false" ht="15" hidden="false" customHeight="false" outlineLevel="0" collapsed="false">
      <c r="A192" s="16" t="s">
        <v>522</v>
      </c>
      <c r="B192" s="16" t="s">
        <v>262</v>
      </c>
      <c r="C192" s="16" t="s">
        <v>331</v>
      </c>
      <c r="D192" s="16"/>
      <c r="E192" s="16" t="n">
        <v>23</v>
      </c>
      <c r="F192" s="16" t="n">
        <v>0</v>
      </c>
      <c r="G192" s="16" t="n">
        <v>9</v>
      </c>
      <c r="H192" s="16" t="n">
        <v>1</v>
      </c>
      <c r="I192" s="16" t="n">
        <v>1</v>
      </c>
      <c r="J192" s="16" t="n">
        <v>1</v>
      </c>
      <c r="K192" s="16" t="n">
        <v>1</v>
      </c>
      <c r="L192" s="16" t="n">
        <v>14</v>
      </c>
      <c r="M192" s="16" t="n">
        <v>12</v>
      </c>
      <c r="N192" s="16" t="n">
        <v>0</v>
      </c>
      <c r="O192" s="9" t="str">
        <f aca="false">IF(B192="","",IFERROR(INDEX(Options!$G$6:$G$85,MATCH($B192,Options!$A$6:$A$85,0)),""))</f>
        <v>Letter</v>
      </c>
      <c r="P192" s="9" t="str">
        <f aca="false">IF(B192="","",IFERROR(INDEX(Options!$H$6:$H$85,MATCH($B192,Options!$A$6:$A$85,0)),""))</f>
        <v>Core</v>
      </c>
      <c r="Q192" s="24" t="n">
        <f aca="false">IF(B192="",0,N(IFERROR(INDEX(Options!$J$6:$J$85,MATCH($B192,Options!$A$6:$A$85,0)),"")))</f>
        <v>60</v>
      </c>
      <c r="R192" s="25" t="n">
        <f aca="false">K192*Settings!$B$10+J192*Settings!$B$11+I192*Settings!$B$12+H192*Settings!$B$13</f>
        <v>1</v>
      </c>
      <c r="S192" s="25" t="n">
        <f aca="false">IFERROR(L192/Settings!$B$8,0)</f>
        <v>0.636363636363636</v>
      </c>
      <c r="T192" s="26" t="n">
        <f aca="false">IF(OR(B192="",P192="End of life"),0,W192*MIN(4,N192))</f>
        <v>0</v>
      </c>
      <c r="U192" s="27" t="n">
        <f aca="false">T192*Q192</f>
        <v>0</v>
      </c>
      <c r="V192" s="14" t="n">
        <f aca="false">IF(B192="",0,G192*N(IFERROR(INDEX(Options!$K$6:$K$85,MATCH($B192,Options!$A$6:$A$85,0)),"")))</f>
        <v>205.2</v>
      </c>
      <c r="W192" s="26" t="n">
        <f aca="false">IF(B192="",0,IF(N192&gt;=4,S192,(H192+I192+J192+K192)/(4-N192)))</f>
        <v>1</v>
      </c>
    </row>
    <row r="193" customFormat="false" ht="15" hidden="false" customHeight="false" outlineLevel="0" collapsed="false">
      <c r="A193" s="16" t="s">
        <v>523</v>
      </c>
      <c r="B193" s="16" t="s">
        <v>262</v>
      </c>
      <c r="C193" s="16" t="s">
        <v>333</v>
      </c>
      <c r="D193" s="16" t="s">
        <v>183</v>
      </c>
      <c r="E193" s="16" t="n">
        <v>51</v>
      </c>
      <c r="F193" s="16" t="n">
        <v>0</v>
      </c>
      <c r="G193" s="16" t="n">
        <v>13</v>
      </c>
      <c r="H193" s="16" t="n">
        <v>2</v>
      </c>
      <c r="I193" s="16" t="n">
        <v>1</v>
      </c>
      <c r="J193" s="16" t="n">
        <v>2</v>
      </c>
      <c r="K193" s="16" t="n">
        <v>2</v>
      </c>
      <c r="L193" s="16" t="n">
        <v>38</v>
      </c>
      <c r="M193" s="16" t="n">
        <v>33</v>
      </c>
      <c r="N193" s="16" t="n">
        <v>0</v>
      </c>
      <c r="O193" s="9" t="str">
        <f aca="false">IF(B193="","",IFERROR(INDEX(Options!$G$6:$G$85,MATCH($B193,Options!$A$6:$A$85,0)),""))</f>
        <v>Letter</v>
      </c>
      <c r="P193" s="9" t="str">
        <f aca="false">IF(B193="","",IFERROR(INDEX(Options!$H$6:$H$85,MATCH($B193,Options!$A$6:$A$85,0)),""))</f>
        <v>Core</v>
      </c>
      <c r="Q193" s="24" t="n">
        <f aca="false">IF(B193="",0,N(IFERROR(INDEX(Options!$J$6:$J$85,MATCH($B193,Options!$A$6:$A$85,0)),"")))</f>
        <v>60</v>
      </c>
      <c r="R193" s="25" t="n">
        <f aca="false">K193*Settings!$B$10+J193*Settings!$B$11+I193*Settings!$B$12+H193*Settings!$B$13</f>
        <v>1.8</v>
      </c>
      <c r="S193" s="25" t="n">
        <f aca="false">IFERROR(L193/Settings!$B$8,0)</f>
        <v>1.72727272727273</v>
      </c>
      <c r="T193" s="26" t="n">
        <f aca="false">IF(OR(B193="",P193="End of life"),0,W193*MIN(4,N193))</f>
        <v>0</v>
      </c>
      <c r="U193" s="27" t="n">
        <f aca="false">T193*Q193</f>
        <v>0</v>
      </c>
      <c r="V193" s="14" t="n">
        <f aca="false">IF(B193="",0,G193*N(IFERROR(INDEX(Options!$K$6:$K$85,MATCH($B193,Options!$A$6:$A$85,0)),"")))</f>
        <v>296.4</v>
      </c>
      <c r="W193" s="26" t="n">
        <f aca="false">IF(B193="",0,IF(N193&gt;=4,S193,(H193+I193+J193+K193)/(4-N193)))</f>
        <v>1.75</v>
      </c>
    </row>
    <row r="194" customFormat="false" ht="15" hidden="false" customHeight="false" outlineLevel="0" collapsed="false">
      <c r="A194" s="16" t="s">
        <v>524</v>
      </c>
      <c r="B194" s="16" t="s">
        <v>262</v>
      </c>
      <c r="C194" s="16" t="s">
        <v>335</v>
      </c>
      <c r="D194" s="16" t="s">
        <v>183</v>
      </c>
      <c r="E194" s="16" t="n">
        <v>85</v>
      </c>
      <c r="F194" s="16" t="n">
        <v>0</v>
      </c>
      <c r="G194" s="16" t="n">
        <v>14</v>
      </c>
      <c r="H194" s="16" t="n">
        <v>3</v>
      </c>
      <c r="I194" s="16" t="n">
        <v>4</v>
      </c>
      <c r="J194" s="16" t="n">
        <v>4</v>
      </c>
      <c r="K194" s="16" t="n">
        <v>3</v>
      </c>
      <c r="L194" s="16" t="n">
        <v>71</v>
      </c>
      <c r="M194" s="16" t="n">
        <v>62</v>
      </c>
      <c r="N194" s="16" t="n">
        <v>0</v>
      </c>
      <c r="O194" s="9" t="str">
        <f aca="false">IF(B194="","",IFERROR(INDEX(Options!$G$6:$G$85,MATCH($B194,Options!$A$6:$A$85,0)),""))</f>
        <v>Letter</v>
      </c>
      <c r="P194" s="9" t="str">
        <f aca="false">IF(B194="","",IFERROR(INDEX(Options!$H$6:$H$85,MATCH($B194,Options!$A$6:$A$85,0)),""))</f>
        <v>Core</v>
      </c>
      <c r="Q194" s="24" t="n">
        <f aca="false">IF(B194="",0,N(IFERROR(INDEX(Options!$J$6:$J$85,MATCH($B194,Options!$A$6:$A$85,0)),"")))</f>
        <v>60</v>
      </c>
      <c r="R194" s="25" t="n">
        <f aca="false">K194*Settings!$B$10+J194*Settings!$B$11+I194*Settings!$B$12+H194*Settings!$B$13</f>
        <v>3.5</v>
      </c>
      <c r="S194" s="25" t="n">
        <f aca="false">IFERROR(L194/Settings!$B$8,0)</f>
        <v>3.22727272727273</v>
      </c>
      <c r="T194" s="26" t="n">
        <f aca="false">IF(OR(B194="",P194="End of life"),0,W194*MIN(4,N194))</f>
        <v>0</v>
      </c>
      <c r="U194" s="27" t="n">
        <f aca="false">T194*Q194</f>
        <v>0</v>
      </c>
      <c r="V194" s="14" t="n">
        <f aca="false">IF(B194="",0,G194*N(IFERROR(INDEX(Options!$K$6:$K$85,MATCH($B194,Options!$A$6:$A$85,0)),"")))</f>
        <v>319.2</v>
      </c>
      <c r="W194" s="26" t="n">
        <f aca="false">IF(B194="",0,IF(N194&gt;=4,S194,(H194+I194+J194+K194)/(4-N194)))</f>
        <v>3.5</v>
      </c>
    </row>
    <row r="195" customFormat="false" ht="15" hidden="false" customHeight="false" outlineLevel="0" collapsed="false">
      <c r="A195" s="16" t="s">
        <v>525</v>
      </c>
      <c r="B195" s="16" t="s">
        <v>262</v>
      </c>
      <c r="C195" s="16" t="s">
        <v>337</v>
      </c>
      <c r="D195" s="16" t="s">
        <v>183</v>
      </c>
      <c r="E195" s="16" t="n">
        <v>74</v>
      </c>
      <c r="F195" s="16" t="n">
        <v>0</v>
      </c>
      <c r="G195" s="16" t="n">
        <v>11</v>
      </c>
      <c r="H195" s="16" t="n">
        <v>3</v>
      </c>
      <c r="I195" s="16" t="n">
        <v>2</v>
      </c>
      <c r="J195" s="16" t="n">
        <v>3</v>
      </c>
      <c r="K195" s="16" t="n">
        <v>3</v>
      </c>
      <c r="L195" s="16" t="n">
        <v>63</v>
      </c>
      <c r="M195" s="16" t="n">
        <v>55</v>
      </c>
      <c r="N195" s="16" t="n">
        <v>0</v>
      </c>
      <c r="O195" s="9" t="str">
        <f aca="false">IF(B195="","",IFERROR(INDEX(Options!$G$6:$G$85,MATCH($B195,Options!$A$6:$A$85,0)),""))</f>
        <v>Letter</v>
      </c>
      <c r="P195" s="9" t="str">
        <f aca="false">IF(B195="","",IFERROR(INDEX(Options!$H$6:$H$85,MATCH($B195,Options!$A$6:$A$85,0)),""))</f>
        <v>Core</v>
      </c>
      <c r="Q195" s="24" t="n">
        <f aca="false">IF(B195="",0,N(IFERROR(INDEX(Options!$J$6:$J$85,MATCH($B195,Options!$A$6:$A$85,0)),"")))</f>
        <v>60</v>
      </c>
      <c r="R195" s="25" t="n">
        <f aca="false">K195*Settings!$B$10+J195*Settings!$B$11+I195*Settings!$B$12+H195*Settings!$B$13</f>
        <v>2.8</v>
      </c>
      <c r="S195" s="25" t="n">
        <f aca="false">IFERROR(L195/Settings!$B$8,0)</f>
        <v>2.86363636363636</v>
      </c>
      <c r="T195" s="26" t="n">
        <f aca="false">IF(OR(B195="",P195="End of life"),0,W195*MIN(4,N195))</f>
        <v>0</v>
      </c>
      <c r="U195" s="27" t="n">
        <f aca="false">T195*Q195</f>
        <v>0</v>
      </c>
      <c r="V195" s="14" t="n">
        <f aca="false">IF(B195="",0,G195*N(IFERROR(INDEX(Options!$K$6:$K$85,MATCH($B195,Options!$A$6:$A$85,0)),"")))</f>
        <v>250.8</v>
      </c>
      <c r="W195" s="26" t="n">
        <f aca="false">IF(B195="",0,IF(N195&gt;=4,S195,(H195+I195+J195+K195)/(4-N195)))</f>
        <v>2.75</v>
      </c>
    </row>
    <row r="196" customFormat="false" ht="15" hidden="false" customHeight="false" outlineLevel="0" collapsed="false">
      <c r="A196" s="16" t="s">
        <v>526</v>
      </c>
      <c r="B196" s="16" t="s">
        <v>262</v>
      </c>
      <c r="C196" s="16" t="s">
        <v>339</v>
      </c>
      <c r="D196" s="16"/>
      <c r="E196" s="16" t="n">
        <v>40</v>
      </c>
      <c r="F196" s="16" t="n">
        <v>0</v>
      </c>
      <c r="G196" s="16" t="n">
        <v>6</v>
      </c>
      <c r="H196" s="16" t="n">
        <v>1</v>
      </c>
      <c r="I196" s="16" t="n">
        <v>2</v>
      </c>
      <c r="J196" s="16" t="n">
        <v>2</v>
      </c>
      <c r="K196" s="16" t="n">
        <v>2</v>
      </c>
      <c r="L196" s="16" t="n">
        <v>34</v>
      </c>
      <c r="M196" s="16" t="n">
        <v>30</v>
      </c>
      <c r="N196" s="16" t="n">
        <v>0</v>
      </c>
      <c r="O196" s="9" t="str">
        <f aca="false">IF(B196="","",IFERROR(INDEX(Options!$G$6:$G$85,MATCH($B196,Options!$A$6:$A$85,0)),""))</f>
        <v>Letter</v>
      </c>
      <c r="P196" s="9" t="str">
        <f aca="false">IF(B196="","",IFERROR(INDEX(Options!$H$6:$H$85,MATCH($B196,Options!$A$6:$A$85,0)),""))</f>
        <v>Core</v>
      </c>
      <c r="Q196" s="24" t="n">
        <f aca="false">IF(B196="",0,N(IFERROR(INDEX(Options!$J$6:$J$85,MATCH($B196,Options!$A$6:$A$85,0)),"")))</f>
        <v>60</v>
      </c>
      <c r="R196" s="25" t="n">
        <f aca="false">K196*Settings!$B$10+J196*Settings!$B$11+I196*Settings!$B$12+H196*Settings!$B$13</f>
        <v>1.9</v>
      </c>
      <c r="S196" s="25" t="n">
        <f aca="false">IFERROR(L196/Settings!$B$8,0)</f>
        <v>1.54545454545455</v>
      </c>
      <c r="T196" s="26" t="n">
        <f aca="false">IF(OR(B196="",P196="End of life"),0,W196*MIN(4,N196))</f>
        <v>0</v>
      </c>
      <c r="U196" s="27" t="n">
        <f aca="false">T196*Q196</f>
        <v>0</v>
      </c>
      <c r="V196" s="14" t="n">
        <f aca="false">IF(B196="",0,G196*N(IFERROR(INDEX(Options!$K$6:$K$85,MATCH($B196,Options!$A$6:$A$85,0)),"")))</f>
        <v>136.8</v>
      </c>
      <c r="W196" s="26" t="n">
        <f aca="false">IF(B196="",0,IF(N196&gt;=4,S196,(H196+I196+J196+K196)/(4-N196)))</f>
        <v>1.75</v>
      </c>
    </row>
    <row r="197" customFormat="false" ht="15" hidden="false" customHeight="false" outlineLevel="0" collapsed="false">
      <c r="A197" s="16" t="s">
        <v>527</v>
      </c>
      <c r="B197" s="16" t="s">
        <v>262</v>
      </c>
      <c r="C197" s="16" t="s">
        <v>341</v>
      </c>
      <c r="D197" s="16"/>
      <c r="E197" s="16" t="n">
        <v>23</v>
      </c>
      <c r="F197" s="16" t="n">
        <v>0</v>
      </c>
      <c r="G197" s="16" t="n">
        <v>9</v>
      </c>
      <c r="H197" s="16" t="n">
        <v>1</v>
      </c>
      <c r="I197" s="16" t="n">
        <v>1</v>
      </c>
      <c r="J197" s="16" t="n">
        <v>1</v>
      </c>
      <c r="K197" s="16" t="n">
        <v>1</v>
      </c>
      <c r="L197" s="16" t="n">
        <v>14</v>
      </c>
      <c r="M197" s="16" t="n">
        <v>12</v>
      </c>
      <c r="N197" s="16" t="n">
        <v>0</v>
      </c>
      <c r="O197" s="9" t="str">
        <f aca="false">IF(B197="","",IFERROR(INDEX(Options!$G$6:$G$85,MATCH($B197,Options!$A$6:$A$85,0)),""))</f>
        <v>Letter</v>
      </c>
      <c r="P197" s="9" t="str">
        <f aca="false">IF(B197="","",IFERROR(INDEX(Options!$H$6:$H$85,MATCH($B197,Options!$A$6:$A$85,0)),""))</f>
        <v>Core</v>
      </c>
      <c r="Q197" s="24" t="n">
        <f aca="false">IF(B197="",0,N(IFERROR(INDEX(Options!$J$6:$J$85,MATCH($B197,Options!$A$6:$A$85,0)),"")))</f>
        <v>60</v>
      </c>
      <c r="R197" s="25" t="n">
        <f aca="false">K197*Settings!$B$10+J197*Settings!$B$11+I197*Settings!$B$12+H197*Settings!$B$13</f>
        <v>1</v>
      </c>
      <c r="S197" s="25" t="n">
        <f aca="false">IFERROR(L197/Settings!$B$8,0)</f>
        <v>0.636363636363636</v>
      </c>
      <c r="T197" s="26" t="n">
        <f aca="false">IF(OR(B197="",P197="End of life"),0,W197*MIN(4,N197))</f>
        <v>0</v>
      </c>
      <c r="U197" s="27" t="n">
        <f aca="false">T197*Q197</f>
        <v>0</v>
      </c>
      <c r="V197" s="14" t="n">
        <f aca="false">IF(B197="",0,G197*N(IFERROR(INDEX(Options!$K$6:$K$85,MATCH($B197,Options!$A$6:$A$85,0)),"")))</f>
        <v>205.2</v>
      </c>
      <c r="W197" s="26" t="n">
        <f aca="false">IF(B197="",0,IF(N197&gt;=4,S197,(H197+I197+J197+K197)/(4-N197)))</f>
        <v>1</v>
      </c>
    </row>
    <row r="198" customFormat="false" ht="15" hidden="false" customHeight="false" outlineLevel="0" collapsed="false">
      <c r="A198" s="16" t="s">
        <v>528</v>
      </c>
      <c r="B198" s="16" t="s">
        <v>265</v>
      </c>
      <c r="C198" s="16" t="s">
        <v>331</v>
      </c>
      <c r="D198" s="16"/>
      <c r="E198" s="16" t="n">
        <v>46</v>
      </c>
      <c r="F198" s="16" t="n">
        <v>0</v>
      </c>
      <c r="G198" s="16" t="n">
        <v>17</v>
      </c>
      <c r="H198" s="16" t="n">
        <v>1</v>
      </c>
      <c r="I198" s="16" t="n">
        <v>1</v>
      </c>
      <c r="J198" s="16" t="n">
        <v>1</v>
      </c>
      <c r="K198" s="16" t="n">
        <v>1</v>
      </c>
      <c r="L198" s="16" t="n">
        <v>29</v>
      </c>
      <c r="M198" s="16" t="n">
        <v>26</v>
      </c>
      <c r="N198" s="16" t="n">
        <v>0</v>
      </c>
      <c r="O198" s="9" t="str">
        <f aca="false">IF(B198="","",IFERROR(INDEX(Options!$G$6:$G$85,MATCH($B198,Options!$A$6:$A$85,0)),""))</f>
        <v>Letter</v>
      </c>
      <c r="P198" s="9" t="str">
        <f aca="false">IF(B198="","",IFERROR(INDEX(Options!$H$6:$H$85,MATCH($B198,Options!$A$6:$A$85,0)),""))</f>
        <v>Seasonal</v>
      </c>
      <c r="Q198" s="24" t="n">
        <f aca="false">IF(B198="",0,N(IFERROR(INDEX(Options!$J$6:$J$85,MATCH($B198,Options!$A$6:$A$85,0)),"")))</f>
        <v>60</v>
      </c>
      <c r="R198" s="25" t="n">
        <f aca="false">K198*Settings!$B$10+J198*Settings!$B$11+I198*Settings!$B$12+H198*Settings!$B$13</f>
        <v>1</v>
      </c>
      <c r="S198" s="25" t="n">
        <f aca="false">IFERROR(L198/Settings!$B$8,0)</f>
        <v>1.31818181818182</v>
      </c>
      <c r="T198" s="26" t="n">
        <f aca="false">IF(OR(B198="",P198="End of life"),0,W198*MIN(4,N198))</f>
        <v>0</v>
      </c>
      <c r="U198" s="27" t="n">
        <f aca="false">T198*Q198</f>
        <v>0</v>
      </c>
      <c r="V198" s="14" t="n">
        <f aca="false">IF(B198="",0,G198*N(IFERROR(INDEX(Options!$K$6:$K$85,MATCH($B198,Options!$A$6:$A$85,0)),"")))</f>
        <v>387.6</v>
      </c>
      <c r="W198" s="26" t="n">
        <f aca="false">IF(B198="",0,IF(N198&gt;=4,S198,(H198+I198+J198+K198)/(4-N198)))</f>
        <v>1</v>
      </c>
    </row>
    <row r="199" customFormat="false" ht="15" hidden="false" customHeight="false" outlineLevel="0" collapsed="false">
      <c r="A199" s="16" t="s">
        <v>529</v>
      </c>
      <c r="B199" s="16" t="s">
        <v>265</v>
      </c>
      <c r="C199" s="16" t="s">
        <v>333</v>
      </c>
      <c r="D199" s="16" t="s">
        <v>183</v>
      </c>
      <c r="E199" s="16" t="n">
        <v>101</v>
      </c>
      <c r="F199" s="16" t="n">
        <v>0</v>
      </c>
      <c r="G199" s="16" t="n">
        <v>18</v>
      </c>
      <c r="H199" s="16" t="n">
        <v>4</v>
      </c>
      <c r="I199" s="16" t="n">
        <v>3</v>
      </c>
      <c r="J199" s="16" t="n">
        <v>4</v>
      </c>
      <c r="K199" s="16" t="n">
        <v>4</v>
      </c>
      <c r="L199" s="16" t="n">
        <v>83</v>
      </c>
      <c r="M199" s="16" t="n">
        <v>73</v>
      </c>
      <c r="N199" s="16" t="n">
        <v>0</v>
      </c>
      <c r="O199" s="9" t="str">
        <f aca="false">IF(B199="","",IFERROR(INDEX(Options!$G$6:$G$85,MATCH($B199,Options!$A$6:$A$85,0)),""))</f>
        <v>Letter</v>
      </c>
      <c r="P199" s="9" t="str">
        <f aca="false">IF(B199="","",IFERROR(INDEX(Options!$H$6:$H$85,MATCH($B199,Options!$A$6:$A$85,0)),""))</f>
        <v>Seasonal</v>
      </c>
      <c r="Q199" s="24" t="n">
        <f aca="false">IF(B199="",0,N(IFERROR(INDEX(Options!$J$6:$J$85,MATCH($B199,Options!$A$6:$A$85,0)),"")))</f>
        <v>60</v>
      </c>
      <c r="R199" s="25" t="n">
        <f aca="false">K199*Settings!$B$10+J199*Settings!$B$11+I199*Settings!$B$12+H199*Settings!$B$13</f>
        <v>3.8</v>
      </c>
      <c r="S199" s="25" t="n">
        <f aca="false">IFERROR(L199/Settings!$B$8,0)</f>
        <v>3.77272727272727</v>
      </c>
      <c r="T199" s="26" t="n">
        <f aca="false">IF(OR(B199="",P199="End of life"),0,W199*MIN(4,N199))</f>
        <v>0</v>
      </c>
      <c r="U199" s="27" t="n">
        <f aca="false">T199*Q199</f>
        <v>0</v>
      </c>
      <c r="V199" s="14" t="n">
        <f aca="false">IF(B199="",0,G199*N(IFERROR(INDEX(Options!$K$6:$K$85,MATCH($B199,Options!$A$6:$A$85,0)),"")))</f>
        <v>410.4</v>
      </c>
      <c r="W199" s="26" t="n">
        <f aca="false">IF(B199="",0,IF(N199&gt;=4,S199,(H199+I199+J199+K199)/(4-N199)))</f>
        <v>3.75</v>
      </c>
    </row>
    <row r="200" customFormat="false" ht="15" hidden="false" customHeight="false" outlineLevel="0" collapsed="false">
      <c r="A200" s="16" t="s">
        <v>530</v>
      </c>
      <c r="B200" s="16" t="s">
        <v>265</v>
      </c>
      <c r="C200" s="16" t="s">
        <v>335</v>
      </c>
      <c r="D200" s="16" t="s">
        <v>183</v>
      </c>
      <c r="E200" s="16" t="n">
        <v>169</v>
      </c>
      <c r="F200" s="16" t="n">
        <v>0</v>
      </c>
      <c r="G200" s="16" t="n">
        <v>30</v>
      </c>
      <c r="H200" s="16" t="n">
        <v>6</v>
      </c>
      <c r="I200" s="16" t="n">
        <v>6</v>
      </c>
      <c r="J200" s="16" t="n">
        <v>7</v>
      </c>
      <c r="K200" s="16" t="n">
        <v>6</v>
      </c>
      <c r="L200" s="16" t="n">
        <v>139</v>
      </c>
      <c r="M200" s="16" t="n">
        <v>122</v>
      </c>
      <c r="N200" s="16" t="n">
        <v>0</v>
      </c>
      <c r="O200" s="9" t="str">
        <f aca="false">IF(B200="","",IFERROR(INDEX(Options!$G$6:$G$85,MATCH($B200,Options!$A$6:$A$85,0)),""))</f>
        <v>Letter</v>
      </c>
      <c r="P200" s="9" t="str">
        <f aca="false">IF(B200="","",IFERROR(INDEX(Options!$H$6:$H$85,MATCH($B200,Options!$A$6:$A$85,0)),""))</f>
        <v>Seasonal</v>
      </c>
      <c r="Q200" s="24" t="n">
        <f aca="false">IF(B200="",0,N(IFERROR(INDEX(Options!$J$6:$J$85,MATCH($B200,Options!$A$6:$A$85,0)),"")))</f>
        <v>60</v>
      </c>
      <c r="R200" s="25" t="n">
        <f aca="false">K200*Settings!$B$10+J200*Settings!$B$11+I200*Settings!$B$12+H200*Settings!$B$13</f>
        <v>6.3</v>
      </c>
      <c r="S200" s="25" t="n">
        <f aca="false">IFERROR(L200/Settings!$B$8,0)</f>
        <v>6.31818181818182</v>
      </c>
      <c r="T200" s="26" t="n">
        <f aca="false">IF(OR(B200="",P200="End of life"),0,W200*MIN(4,N200))</f>
        <v>0</v>
      </c>
      <c r="U200" s="27" t="n">
        <f aca="false">T200*Q200</f>
        <v>0</v>
      </c>
      <c r="V200" s="14" t="n">
        <f aca="false">IF(B200="",0,G200*N(IFERROR(INDEX(Options!$K$6:$K$85,MATCH($B200,Options!$A$6:$A$85,0)),"")))</f>
        <v>684</v>
      </c>
      <c r="W200" s="26" t="n">
        <f aca="false">IF(B200="",0,IF(N200&gt;=4,S200,(H200+I200+J200+K200)/(4-N200)))</f>
        <v>6.25</v>
      </c>
    </row>
    <row r="201" customFormat="false" ht="15" hidden="false" customHeight="false" outlineLevel="0" collapsed="false">
      <c r="A201" s="16" t="s">
        <v>531</v>
      </c>
      <c r="B201" s="16" t="s">
        <v>265</v>
      </c>
      <c r="C201" s="16" t="s">
        <v>337</v>
      </c>
      <c r="D201" s="16" t="s">
        <v>183</v>
      </c>
      <c r="E201" s="16" t="n">
        <v>146</v>
      </c>
      <c r="F201" s="16" t="n">
        <v>0</v>
      </c>
      <c r="G201" s="16" t="n">
        <v>34</v>
      </c>
      <c r="H201" s="16" t="n">
        <v>4</v>
      </c>
      <c r="I201" s="16" t="n">
        <v>6</v>
      </c>
      <c r="J201" s="16" t="n">
        <v>5</v>
      </c>
      <c r="K201" s="16" t="n">
        <v>5</v>
      </c>
      <c r="L201" s="16" t="n">
        <v>112</v>
      </c>
      <c r="M201" s="16" t="n">
        <v>99</v>
      </c>
      <c r="N201" s="16" t="n">
        <v>0</v>
      </c>
      <c r="O201" s="9" t="str">
        <f aca="false">IF(B201="","",IFERROR(INDEX(Options!$G$6:$G$85,MATCH($B201,Options!$A$6:$A$85,0)),""))</f>
        <v>Letter</v>
      </c>
      <c r="P201" s="9" t="str">
        <f aca="false">IF(B201="","",IFERROR(INDEX(Options!$H$6:$H$85,MATCH($B201,Options!$A$6:$A$85,0)),""))</f>
        <v>Seasonal</v>
      </c>
      <c r="Q201" s="24" t="n">
        <f aca="false">IF(B201="",0,N(IFERROR(INDEX(Options!$J$6:$J$85,MATCH($B201,Options!$A$6:$A$85,0)),"")))</f>
        <v>60</v>
      </c>
      <c r="R201" s="25" t="n">
        <f aca="false">K201*Settings!$B$10+J201*Settings!$B$11+I201*Settings!$B$12+H201*Settings!$B$13</f>
        <v>5.1</v>
      </c>
      <c r="S201" s="25" t="n">
        <f aca="false">IFERROR(L201/Settings!$B$8,0)</f>
        <v>5.09090909090909</v>
      </c>
      <c r="T201" s="26" t="n">
        <f aca="false">IF(OR(B201="",P201="End of life"),0,W201*MIN(4,N201))</f>
        <v>0</v>
      </c>
      <c r="U201" s="27" t="n">
        <f aca="false">T201*Q201</f>
        <v>0</v>
      </c>
      <c r="V201" s="14" t="n">
        <f aca="false">IF(B201="",0,G201*N(IFERROR(INDEX(Options!$K$6:$K$85,MATCH($B201,Options!$A$6:$A$85,0)),"")))</f>
        <v>775.2</v>
      </c>
      <c r="W201" s="26" t="n">
        <f aca="false">IF(B201="",0,IF(N201&gt;=4,S201,(H201+I201+J201+K201)/(4-N201)))</f>
        <v>5</v>
      </c>
    </row>
    <row r="202" customFormat="false" ht="15" hidden="false" customHeight="false" outlineLevel="0" collapsed="false">
      <c r="A202" s="16" t="s">
        <v>532</v>
      </c>
      <c r="B202" s="16" t="s">
        <v>265</v>
      </c>
      <c r="C202" s="16" t="s">
        <v>339</v>
      </c>
      <c r="D202" s="16"/>
      <c r="E202" s="16" t="n">
        <v>79</v>
      </c>
      <c r="F202" s="16" t="n">
        <v>0</v>
      </c>
      <c r="G202" s="16" t="n">
        <v>18</v>
      </c>
      <c r="H202" s="16" t="n">
        <v>3</v>
      </c>
      <c r="I202" s="16" t="n">
        <v>3</v>
      </c>
      <c r="J202" s="16" t="n">
        <v>4</v>
      </c>
      <c r="K202" s="16" t="n">
        <v>3</v>
      </c>
      <c r="L202" s="16" t="n">
        <v>61</v>
      </c>
      <c r="M202" s="16" t="n">
        <v>54</v>
      </c>
      <c r="N202" s="16" t="n">
        <v>0</v>
      </c>
      <c r="O202" s="9" t="str">
        <f aca="false">IF(B202="","",IFERROR(INDEX(Options!$G$6:$G$85,MATCH($B202,Options!$A$6:$A$85,0)),""))</f>
        <v>Letter</v>
      </c>
      <c r="P202" s="9" t="str">
        <f aca="false">IF(B202="","",IFERROR(INDEX(Options!$H$6:$H$85,MATCH($B202,Options!$A$6:$A$85,0)),""))</f>
        <v>Seasonal</v>
      </c>
      <c r="Q202" s="24" t="n">
        <f aca="false">IF(B202="",0,N(IFERROR(INDEX(Options!$J$6:$J$85,MATCH($B202,Options!$A$6:$A$85,0)),"")))</f>
        <v>60</v>
      </c>
      <c r="R202" s="25" t="n">
        <f aca="false">K202*Settings!$B$10+J202*Settings!$B$11+I202*Settings!$B$12+H202*Settings!$B$13</f>
        <v>3.3</v>
      </c>
      <c r="S202" s="25" t="n">
        <f aca="false">IFERROR(L202/Settings!$B$8,0)</f>
        <v>2.77272727272727</v>
      </c>
      <c r="T202" s="26" t="n">
        <f aca="false">IF(OR(B202="",P202="End of life"),0,W202*MIN(4,N202))</f>
        <v>0</v>
      </c>
      <c r="U202" s="27" t="n">
        <f aca="false">T202*Q202</f>
        <v>0</v>
      </c>
      <c r="V202" s="14" t="n">
        <f aca="false">IF(B202="",0,G202*N(IFERROR(INDEX(Options!$K$6:$K$85,MATCH($B202,Options!$A$6:$A$85,0)),"")))</f>
        <v>410.4</v>
      </c>
      <c r="W202" s="26" t="n">
        <f aca="false">IF(B202="",0,IF(N202&gt;=4,S202,(H202+I202+J202+K202)/(4-N202)))</f>
        <v>3.25</v>
      </c>
    </row>
    <row r="203" customFormat="false" ht="15" hidden="false" customHeight="false" outlineLevel="0" collapsed="false">
      <c r="A203" s="16" t="s">
        <v>533</v>
      </c>
      <c r="B203" s="16" t="s">
        <v>265</v>
      </c>
      <c r="C203" s="16" t="s">
        <v>341</v>
      </c>
      <c r="D203" s="16"/>
      <c r="E203" s="16" t="n">
        <v>46</v>
      </c>
      <c r="F203" s="16" t="n">
        <v>0</v>
      </c>
      <c r="G203" s="16" t="n">
        <v>16</v>
      </c>
      <c r="H203" s="16" t="n">
        <v>1</v>
      </c>
      <c r="I203" s="16" t="n">
        <v>1</v>
      </c>
      <c r="J203" s="16" t="n">
        <v>1</v>
      </c>
      <c r="K203" s="16" t="n">
        <v>1</v>
      </c>
      <c r="L203" s="16" t="n">
        <v>30</v>
      </c>
      <c r="M203" s="16" t="n">
        <v>26</v>
      </c>
      <c r="N203" s="16" t="n">
        <v>0</v>
      </c>
      <c r="O203" s="9" t="str">
        <f aca="false">IF(B203="","",IFERROR(INDEX(Options!$G$6:$G$85,MATCH($B203,Options!$A$6:$A$85,0)),""))</f>
        <v>Letter</v>
      </c>
      <c r="P203" s="9" t="str">
        <f aca="false">IF(B203="","",IFERROR(INDEX(Options!$H$6:$H$85,MATCH($B203,Options!$A$6:$A$85,0)),""))</f>
        <v>Seasonal</v>
      </c>
      <c r="Q203" s="24" t="n">
        <f aca="false">IF(B203="",0,N(IFERROR(INDEX(Options!$J$6:$J$85,MATCH($B203,Options!$A$6:$A$85,0)),"")))</f>
        <v>60</v>
      </c>
      <c r="R203" s="25" t="n">
        <f aca="false">K203*Settings!$B$10+J203*Settings!$B$11+I203*Settings!$B$12+H203*Settings!$B$13</f>
        <v>1</v>
      </c>
      <c r="S203" s="25" t="n">
        <f aca="false">IFERROR(L203/Settings!$B$8,0)</f>
        <v>1.36363636363636</v>
      </c>
      <c r="T203" s="26" t="n">
        <f aca="false">IF(OR(B203="",P203="End of life"),0,W203*MIN(4,N203))</f>
        <v>0</v>
      </c>
      <c r="U203" s="27" t="n">
        <f aca="false">T203*Q203</f>
        <v>0</v>
      </c>
      <c r="V203" s="14" t="n">
        <f aca="false">IF(B203="",0,G203*N(IFERROR(INDEX(Options!$K$6:$K$85,MATCH($B203,Options!$A$6:$A$85,0)),"")))</f>
        <v>364.8</v>
      </c>
      <c r="W203" s="26" t="n">
        <f aca="false">IF(B203="",0,IF(N203&gt;=4,S203,(H203+I203+J203+K203)/(4-N203)))</f>
        <v>1</v>
      </c>
    </row>
    <row r="204" customFormat="false" ht="15" hidden="false" customHeight="false" outlineLevel="0" collapsed="false">
      <c r="A204" s="16" t="s">
        <v>534</v>
      </c>
      <c r="B204" s="16" t="s">
        <v>267</v>
      </c>
      <c r="C204" s="16" t="s">
        <v>331</v>
      </c>
      <c r="D204" s="16"/>
      <c r="E204" s="16" t="n">
        <v>104</v>
      </c>
      <c r="F204" s="16" t="n">
        <v>0</v>
      </c>
      <c r="G204" s="16" t="n">
        <v>75</v>
      </c>
      <c r="H204" s="16" t="n">
        <v>1</v>
      </c>
      <c r="I204" s="16" t="n">
        <v>1</v>
      </c>
      <c r="J204" s="16" t="n">
        <v>1</v>
      </c>
      <c r="K204" s="16" t="n">
        <v>1</v>
      </c>
      <c r="L204" s="16" t="n">
        <v>29</v>
      </c>
      <c r="M204" s="16" t="n">
        <v>17</v>
      </c>
      <c r="N204" s="16" t="n">
        <v>0</v>
      </c>
      <c r="O204" s="9" t="str">
        <f aca="false">IF(B204="","",IFERROR(INDEX(Options!$G$6:$G$85,MATCH($B204,Options!$A$6:$A$85,0)),""))</f>
        <v>Letter</v>
      </c>
      <c r="P204" s="9" t="str">
        <f aca="false">IF(B204="","",IFERROR(INDEX(Options!$H$6:$H$85,MATCH($B204,Options!$A$6:$A$85,0)),""))</f>
        <v>Seasonal</v>
      </c>
      <c r="Q204" s="24" t="n">
        <f aca="false">IF(B204="",0,N(IFERROR(INDEX(Options!$J$6:$J$85,MATCH($B204,Options!$A$6:$A$85,0)),"")))</f>
        <v>55</v>
      </c>
      <c r="R204" s="25" t="n">
        <f aca="false">K204*Settings!$B$10+J204*Settings!$B$11+I204*Settings!$B$12+H204*Settings!$B$13</f>
        <v>1</v>
      </c>
      <c r="S204" s="25" t="n">
        <f aca="false">IFERROR(L204/Settings!$B$8,0)</f>
        <v>1.31818181818182</v>
      </c>
      <c r="T204" s="26" t="n">
        <f aca="false">IF(OR(B204="",P204="End of life"),0,W204*MIN(4,N204))</f>
        <v>0</v>
      </c>
      <c r="U204" s="27" t="n">
        <f aca="false">T204*Q204</f>
        <v>0</v>
      </c>
      <c r="V204" s="14" t="n">
        <f aca="false">IF(B204="",0,G204*N(IFERROR(INDEX(Options!$K$6:$K$85,MATCH($B204,Options!$A$6:$A$85,0)),"")))</f>
        <v>1567.5</v>
      </c>
      <c r="W204" s="26" t="n">
        <f aca="false">IF(B204="",0,IF(N204&gt;=4,S204,(H204+I204+J204+K204)/(4-N204)))</f>
        <v>1</v>
      </c>
    </row>
    <row r="205" customFormat="false" ht="15" hidden="false" customHeight="false" outlineLevel="0" collapsed="false">
      <c r="A205" s="16" t="s">
        <v>535</v>
      </c>
      <c r="B205" s="16" t="s">
        <v>267</v>
      </c>
      <c r="C205" s="16" t="s">
        <v>333</v>
      </c>
      <c r="D205" s="16" t="s">
        <v>183</v>
      </c>
      <c r="E205" s="16" t="n">
        <v>232</v>
      </c>
      <c r="F205" s="16" t="n">
        <v>0</v>
      </c>
      <c r="G205" s="16" t="n">
        <v>142</v>
      </c>
      <c r="H205" s="16" t="n">
        <v>2</v>
      </c>
      <c r="I205" s="16" t="n">
        <v>3</v>
      </c>
      <c r="J205" s="16" t="n">
        <v>4</v>
      </c>
      <c r="K205" s="16" t="n">
        <v>3</v>
      </c>
      <c r="L205" s="16" t="n">
        <v>90</v>
      </c>
      <c r="M205" s="16" t="n">
        <v>54</v>
      </c>
      <c r="N205" s="16" t="n">
        <v>0</v>
      </c>
      <c r="O205" s="9" t="str">
        <f aca="false">IF(B205="","",IFERROR(INDEX(Options!$G$6:$G$85,MATCH($B205,Options!$A$6:$A$85,0)),""))</f>
        <v>Letter</v>
      </c>
      <c r="P205" s="9" t="str">
        <f aca="false">IF(B205="","",IFERROR(INDEX(Options!$H$6:$H$85,MATCH($B205,Options!$A$6:$A$85,0)),""))</f>
        <v>Seasonal</v>
      </c>
      <c r="Q205" s="24" t="n">
        <f aca="false">IF(B205="",0,N(IFERROR(INDEX(Options!$J$6:$J$85,MATCH($B205,Options!$A$6:$A$85,0)),"")))</f>
        <v>55</v>
      </c>
      <c r="R205" s="25" t="n">
        <f aca="false">K205*Settings!$B$10+J205*Settings!$B$11+I205*Settings!$B$12+H205*Settings!$B$13</f>
        <v>3.2</v>
      </c>
      <c r="S205" s="25" t="n">
        <f aca="false">IFERROR(L205/Settings!$B$8,0)</f>
        <v>4.09090909090909</v>
      </c>
      <c r="T205" s="26" t="n">
        <f aca="false">IF(OR(B205="",P205="End of life"),0,W205*MIN(4,N205))</f>
        <v>0</v>
      </c>
      <c r="U205" s="27" t="n">
        <f aca="false">T205*Q205</f>
        <v>0</v>
      </c>
      <c r="V205" s="14" t="n">
        <f aca="false">IF(B205="",0,G205*N(IFERROR(INDEX(Options!$K$6:$K$85,MATCH($B205,Options!$A$6:$A$85,0)),"")))</f>
        <v>2967.8</v>
      </c>
      <c r="W205" s="26" t="n">
        <f aca="false">IF(B205="",0,IF(N205&gt;=4,S205,(H205+I205+J205+K205)/(4-N205)))</f>
        <v>3</v>
      </c>
    </row>
    <row r="206" customFormat="false" ht="15" hidden="false" customHeight="false" outlineLevel="0" collapsed="false">
      <c r="A206" s="16" t="s">
        <v>536</v>
      </c>
      <c r="B206" s="16" t="s">
        <v>267</v>
      </c>
      <c r="C206" s="16" t="s">
        <v>335</v>
      </c>
      <c r="D206" s="16" t="s">
        <v>183</v>
      </c>
      <c r="E206" s="16" t="n">
        <v>386</v>
      </c>
      <c r="F206" s="16" t="n">
        <v>0</v>
      </c>
      <c r="G206" s="16" t="n">
        <v>226</v>
      </c>
      <c r="H206" s="16" t="n">
        <v>4</v>
      </c>
      <c r="I206" s="16" t="n">
        <v>6</v>
      </c>
      <c r="J206" s="16" t="n">
        <v>5</v>
      </c>
      <c r="K206" s="16" t="n">
        <v>7</v>
      </c>
      <c r="L206" s="16" t="n">
        <v>160</v>
      </c>
      <c r="M206" s="16" t="n">
        <v>96</v>
      </c>
      <c r="N206" s="16" t="n">
        <v>0</v>
      </c>
      <c r="O206" s="9" t="str">
        <f aca="false">IF(B206="","",IFERROR(INDEX(Options!$G$6:$G$85,MATCH($B206,Options!$A$6:$A$85,0)),""))</f>
        <v>Letter</v>
      </c>
      <c r="P206" s="9" t="str">
        <f aca="false">IF(B206="","",IFERROR(INDEX(Options!$H$6:$H$85,MATCH($B206,Options!$A$6:$A$85,0)),""))</f>
        <v>Seasonal</v>
      </c>
      <c r="Q206" s="24" t="n">
        <f aca="false">IF(B206="",0,N(IFERROR(INDEX(Options!$J$6:$J$85,MATCH($B206,Options!$A$6:$A$85,0)),"")))</f>
        <v>55</v>
      </c>
      <c r="R206" s="25" t="n">
        <f aca="false">K206*Settings!$B$10+J206*Settings!$B$11+I206*Settings!$B$12+H206*Settings!$B$13</f>
        <v>5.9</v>
      </c>
      <c r="S206" s="25" t="n">
        <f aca="false">IFERROR(L206/Settings!$B$8,0)</f>
        <v>7.27272727272727</v>
      </c>
      <c r="T206" s="26" t="n">
        <f aca="false">IF(OR(B206="",P206="End of life"),0,W206*MIN(4,N206))</f>
        <v>0</v>
      </c>
      <c r="U206" s="27" t="n">
        <f aca="false">T206*Q206</f>
        <v>0</v>
      </c>
      <c r="V206" s="14" t="n">
        <f aca="false">IF(B206="",0,G206*N(IFERROR(INDEX(Options!$K$6:$K$85,MATCH($B206,Options!$A$6:$A$85,0)),"")))</f>
        <v>4723.4</v>
      </c>
      <c r="W206" s="26" t="n">
        <f aca="false">IF(B206="",0,IF(N206&gt;=4,S206,(H206+I206+J206+K206)/(4-N206)))</f>
        <v>5.5</v>
      </c>
    </row>
    <row r="207" customFormat="false" ht="15" hidden="false" customHeight="false" outlineLevel="0" collapsed="false">
      <c r="A207" s="16" t="s">
        <v>537</v>
      </c>
      <c r="B207" s="16" t="s">
        <v>267</v>
      </c>
      <c r="C207" s="16" t="s">
        <v>337</v>
      </c>
      <c r="D207" s="16" t="s">
        <v>183</v>
      </c>
      <c r="E207" s="16" t="n">
        <v>335</v>
      </c>
      <c r="F207" s="16" t="n">
        <v>0</v>
      </c>
      <c r="G207" s="16" t="n">
        <v>201</v>
      </c>
      <c r="H207" s="16" t="n">
        <v>3</v>
      </c>
      <c r="I207" s="16" t="n">
        <v>4</v>
      </c>
      <c r="J207" s="16" t="n">
        <v>5</v>
      </c>
      <c r="K207" s="16" t="n">
        <v>4</v>
      </c>
      <c r="L207" s="16" t="n">
        <v>134</v>
      </c>
      <c r="M207" s="16" t="n">
        <v>80</v>
      </c>
      <c r="N207" s="16" t="n">
        <v>0</v>
      </c>
      <c r="O207" s="9" t="str">
        <f aca="false">IF(B207="","",IFERROR(INDEX(Options!$G$6:$G$85,MATCH($B207,Options!$A$6:$A$85,0)),""))</f>
        <v>Letter</v>
      </c>
      <c r="P207" s="9" t="str">
        <f aca="false">IF(B207="","",IFERROR(INDEX(Options!$H$6:$H$85,MATCH($B207,Options!$A$6:$A$85,0)),""))</f>
        <v>Seasonal</v>
      </c>
      <c r="Q207" s="24" t="n">
        <f aca="false">IF(B207="",0,N(IFERROR(INDEX(Options!$J$6:$J$85,MATCH($B207,Options!$A$6:$A$85,0)),"")))</f>
        <v>55</v>
      </c>
      <c r="R207" s="25" t="n">
        <f aca="false">K207*Settings!$B$10+J207*Settings!$B$11+I207*Settings!$B$12+H207*Settings!$B$13</f>
        <v>4.2</v>
      </c>
      <c r="S207" s="25" t="n">
        <f aca="false">IFERROR(L207/Settings!$B$8,0)</f>
        <v>6.09090909090909</v>
      </c>
      <c r="T207" s="26" t="n">
        <f aca="false">IF(OR(B207="",P207="End of life"),0,W207*MIN(4,N207))</f>
        <v>0</v>
      </c>
      <c r="U207" s="27" t="n">
        <f aca="false">T207*Q207</f>
        <v>0</v>
      </c>
      <c r="V207" s="14" t="n">
        <f aca="false">IF(B207="",0,G207*N(IFERROR(INDEX(Options!$K$6:$K$85,MATCH($B207,Options!$A$6:$A$85,0)),"")))</f>
        <v>4200.9</v>
      </c>
      <c r="W207" s="26" t="n">
        <f aca="false">IF(B207="",0,IF(N207&gt;=4,S207,(H207+I207+J207+K207)/(4-N207)))</f>
        <v>4</v>
      </c>
    </row>
    <row r="208" customFormat="false" ht="15" hidden="false" customHeight="false" outlineLevel="0" collapsed="false">
      <c r="A208" s="16" t="s">
        <v>538</v>
      </c>
      <c r="B208" s="16" t="s">
        <v>267</v>
      </c>
      <c r="C208" s="16" t="s">
        <v>339</v>
      </c>
      <c r="D208" s="16"/>
      <c r="E208" s="16" t="n">
        <v>180</v>
      </c>
      <c r="F208" s="16" t="n">
        <v>0</v>
      </c>
      <c r="G208" s="16" t="n">
        <v>110</v>
      </c>
      <c r="H208" s="16" t="n">
        <v>3</v>
      </c>
      <c r="I208" s="16" t="n">
        <v>2</v>
      </c>
      <c r="J208" s="16" t="n">
        <v>2</v>
      </c>
      <c r="K208" s="16" t="n">
        <v>2</v>
      </c>
      <c r="L208" s="16" t="n">
        <v>70</v>
      </c>
      <c r="M208" s="16" t="n">
        <v>42</v>
      </c>
      <c r="N208" s="16" t="n">
        <v>0</v>
      </c>
      <c r="O208" s="9" t="str">
        <f aca="false">IF(B208="","",IFERROR(INDEX(Options!$G$6:$G$85,MATCH($B208,Options!$A$6:$A$85,0)),""))</f>
        <v>Letter</v>
      </c>
      <c r="P208" s="9" t="str">
        <f aca="false">IF(B208="","",IFERROR(INDEX(Options!$H$6:$H$85,MATCH($B208,Options!$A$6:$A$85,0)),""))</f>
        <v>Seasonal</v>
      </c>
      <c r="Q208" s="24" t="n">
        <f aca="false">IF(B208="",0,N(IFERROR(INDEX(Options!$J$6:$J$85,MATCH($B208,Options!$A$6:$A$85,0)),"")))</f>
        <v>55</v>
      </c>
      <c r="R208" s="25" t="n">
        <f aca="false">K208*Settings!$B$10+J208*Settings!$B$11+I208*Settings!$B$12+H208*Settings!$B$13</f>
        <v>2.1</v>
      </c>
      <c r="S208" s="25" t="n">
        <f aca="false">IFERROR(L208/Settings!$B$8,0)</f>
        <v>3.18181818181818</v>
      </c>
      <c r="T208" s="26" t="n">
        <f aca="false">IF(OR(B208="",P208="End of life"),0,W208*MIN(4,N208))</f>
        <v>0</v>
      </c>
      <c r="U208" s="27" t="n">
        <f aca="false">T208*Q208</f>
        <v>0</v>
      </c>
      <c r="V208" s="14" t="n">
        <f aca="false">IF(B208="",0,G208*N(IFERROR(INDEX(Options!$K$6:$K$85,MATCH($B208,Options!$A$6:$A$85,0)),"")))</f>
        <v>2299</v>
      </c>
      <c r="W208" s="26" t="n">
        <f aca="false">IF(B208="",0,IF(N208&gt;=4,S208,(H208+I208+J208+K208)/(4-N208)))</f>
        <v>2.25</v>
      </c>
    </row>
    <row r="209" customFormat="false" ht="15" hidden="false" customHeight="false" outlineLevel="0" collapsed="false">
      <c r="A209" s="16" t="s">
        <v>539</v>
      </c>
      <c r="B209" s="16" t="s">
        <v>267</v>
      </c>
      <c r="C209" s="16" t="s">
        <v>341</v>
      </c>
      <c r="D209" s="16"/>
      <c r="E209" s="16" t="n">
        <v>104</v>
      </c>
      <c r="F209" s="16" t="n">
        <v>0</v>
      </c>
      <c r="G209" s="16" t="n">
        <v>72</v>
      </c>
      <c r="H209" s="16" t="n">
        <v>1</v>
      </c>
      <c r="I209" s="16" t="n">
        <v>1</v>
      </c>
      <c r="J209" s="16" t="n">
        <v>1</v>
      </c>
      <c r="K209" s="16" t="n">
        <v>1</v>
      </c>
      <c r="L209" s="16" t="n">
        <v>32</v>
      </c>
      <c r="M209" s="16" t="n">
        <v>19</v>
      </c>
      <c r="N209" s="16" t="n">
        <v>0</v>
      </c>
      <c r="O209" s="9" t="str">
        <f aca="false">IF(B209="","",IFERROR(INDEX(Options!$G$6:$G$85,MATCH($B209,Options!$A$6:$A$85,0)),""))</f>
        <v>Letter</v>
      </c>
      <c r="P209" s="9" t="str">
        <f aca="false">IF(B209="","",IFERROR(INDEX(Options!$H$6:$H$85,MATCH($B209,Options!$A$6:$A$85,0)),""))</f>
        <v>Seasonal</v>
      </c>
      <c r="Q209" s="24" t="n">
        <f aca="false">IF(B209="",0,N(IFERROR(INDEX(Options!$J$6:$J$85,MATCH($B209,Options!$A$6:$A$85,0)),"")))</f>
        <v>55</v>
      </c>
      <c r="R209" s="25" t="n">
        <f aca="false">K209*Settings!$B$10+J209*Settings!$B$11+I209*Settings!$B$12+H209*Settings!$B$13</f>
        <v>1</v>
      </c>
      <c r="S209" s="25" t="n">
        <f aca="false">IFERROR(L209/Settings!$B$8,0)</f>
        <v>1.45454545454545</v>
      </c>
      <c r="T209" s="26" t="n">
        <f aca="false">IF(OR(B209="",P209="End of life"),0,W209*MIN(4,N209))</f>
        <v>0</v>
      </c>
      <c r="U209" s="27" t="n">
        <f aca="false">T209*Q209</f>
        <v>0</v>
      </c>
      <c r="V209" s="14" t="n">
        <f aca="false">IF(B209="",0,G209*N(IFERROR(INDEX(Options!$K$6:$K$85,MATCH($B209,Options!$A$6:$A$85,0)),"")))</f>
        <v>1504.8</v>
      </c>
      <c r="W209" s="26" t="n">
        <f aca="false">IF(B209="",0,IF(N209&gt;=4,S209,(H209+I209+J209+K209)/(4-N209)))</f>
        <v>1</v>
      </c>
    </row>
    <row r="210" customFormat="false" ht="15" hidden="false" customHeight="false" outlineLevel="0" collapsed="false">
      <c r="A210" s="16" t="s">
        <v>540</v>
      </c>
      <c r="B210" s="16" t="s">
        <v>268</v>
      </c>
      <c r="C210" s="16" t="s">
        <v>331</v>
      </c>
      <c r="D210" s="16"/>
      <c r="E210" s="16" t="n">
        <v>31</v>
      </c>
      <c r="F210" s="16" t="n">
        <v>0</v>
      </c>
      <c r="G210" s="16" t="n">
        <v>13</v>
      </c>
      <c r="H210" s="16" t="n">
        <v>1</v>
      </c>
      <c r="I210" s="16" t="n">
        <v>1</v>
      </c>
      <c r="J210" s="16" t="n">
        <v>1</v>
      </c>
      <c r="K210" s="16" t="n">
        <v>1</v>
      </c>
      <c r="L210" s="16" t="n">
        <v>18</v>
      </c>
      <c r="M210" s="16" t="n">
        <v>16</v>
      </c>
      <c r="N210" s="16" t="n">
        <v>0</v>
      </c>
      <c r="O210" s="9" t="str">
        <f aca="false">IF(B210="","",IFERROR(INDEX(Options!$G$6:$G$85,MATCH($B210,Options!$A$6:$A$85,0)),""))</f>
        <v>Letter</v>
      </c>
      <c r="P210" s="9" t="str">
        <f aca="false">IF(B210="","",IFERROR(INDEX(Options!$H$6:$H$85,MATCH($B210,Options!$A$6:$A$85,0)),""))</f>
        <v>Core</v>
      </c>
      <c r="Q210" s="24" t="n">
        <f aca="false">IF(B210="",0,N(IFERROR(INDEX(Options!$J$6:$J$85,MATCH($B210,Options!$A$6:$A$85,0)),"")))</f>
        <v>60</v>
      </c>
      <c r="R210" s="25" t="n">
        <f aca="false">K210*Settings!$B$10+J210*Settings!$B$11+I210*Settings!$B$12+H210*Settings!$B$13</f>
        <v>1</v>
      </c>
      <c r="S210" s="25" t="n">
        <f aca="false">IFERROR(L210/Settings!$B$8,0)</f>
        <v>0.818181818181818</v>
      </c>
      <c r="T210" s="26" t="n">
        <f aca="false">IF(OR(B210="",P210="End of life"),0,W210*MIN(4,N210))</f>
        <v>0</v>
      </c>
      <c r="U210" s="27" t="n">
        <f aca="false">T210*Q210</f>
        <v>0</v>
      </c>
      <c r="V210" s="14" t="n">
        <f aca="false">IF(B210="",0,G210*N(IFERROR(INDEX(Options!$K$6:$K$85,MATCH($B210,Options!$A$6:$A$85,0)),"")))</f>
        <v>296.4</v>
      </c>
      <c r="W210" s="26" t="n">
        <f aca="false">IF(B210="",0,IF(N210&gt;=4,S210,(H210+I210+J210+K210)/(4-N210)))</f>
        <v>1</v>
      </c>
    </row>
    <row r="211" customFormat="false" ht="15" hidden="false" customHeight="false" outlineLevel="0" collapsed="false">
      <c r="A211" s="16" t="s">
        <v>541</v>
      </c>
      <c r="B211" s="16" t="s">
        <v>268</v>
      </c>
      <c r="C211" s="16" t="s">
        <v>333</v>
      </c>
      <c r="D211" s="16" t="s">
        <v>183</v>
      </c>
      <c r="E211" s="16" t="n">
        <v>68</v>
      </c>
      <c r="F211" s="16" t="n">
        <v>0</v>
      </c>
      <c r="G211" s="16" t="n">
        <v>21</v>
      </c>
      <c r="H211" s="16" t="n">
        <v>2</v>
      </c>
      <c r="I211" s="16" t="n">
        <v>2</v>
      </c>
      <c r="J211" s="16" t="n">
        <v>3</v>
      </c>
      <c r="K211" s="16" t="n">
        <v>3</v>
      </c>
      <c r="L211" s="16" t="n">
        <v>47</v>
      </c>
      <c r="M211" s="16" t="n">
        <v>41</v>
      </c>
      <c r="N211" s="16" t="n">
        <v>0</v>
      </c>
      <c r="O211" s="9" t="str">
        <f aca="false">IF(B211="","",IFERROR(INDEX(Options!$G$6:$G$85,MATCH($B211,Options!$A$6:$A$85,0)),""))</f>
        <v>Letter</v>
      </c>
      <c r="P211" s="9" t="str">
        <f aca="false">IF(B211="","",IFERROR(INDEX(Options!$H$6:$H$85,MATCH($B211,Options!$A$6:$A$85,0)),""))</f>
        <v>Core</v>
      </c>
      <c r="Q211" s="24" t="n">
        <f aca="false">IF(B211="",0,N(IFERROR(INDEX(Options!$J$6:$J$85,MATCH($B211,Options!$A$6:$A$85,0)),"")))</f>
        <v>60</v>
      </c>
      <c r="R211" s="25" t="n">
        <f aca="false">K211*Settings!$B$10+J211*Settings!$B$11+I211*Settings!$B$12+H211*Settings!$B$13</f>
        <v>2.7</v>
      </c>
      <c r="S211" s="25" t="n">
        <f aca="false">IFERROR(L211/Settings!$B$8,0)</f>
        <v>2.13636363636364</v>
      </c>
      <c r="T211" s="26" t="n">
        <f aca="false">IF(OR(B211="",P211="End of life"),0,W211*MIN(4,N211))</f>
        <v>0</v>
      </c>
      <c r="U211" s="27" t="n">
        <f aca="false">T211*Q211</f>
        <v>0</v>
      </c>
      <c r="V211" s="14" t="n">
        <f aca="false">IF(B211="",0,G211*N(IFERROR(INDEX(Options!$K$6:$K$85,MATCH($B211,Options!$A$6:$A$85,0)),"")))</f>
        <v>478.8</v>
      </c>
      <c r="W211" s="26" t="n">
        <f aca="false">IF(B211="",0,IF(N211&gt;=4,S211,(H211+I211+J211+K211)/(4-N211)))</f>
        <v>2.5</v>
      </c>
    </row>
    <row r="212" customFormat="false" ht="15" hidden="false" customHeight="false" outlineLevel="0" collapsed="false">
      <c r="A212" s="16" t="s">
        <v>542</v>
      </c>
      <c r="B212" s="16" t="s">
        <v>268</v>
      </c>
      <c r="C212" s="16" t="s">
        <v>335</v>
      </c>
      <c r="D212" s="16" t="s">
        <v>183</v>
      </c>
      <c r="E212" s="16" t="n">
        <v>114</v>
      </c>
      <c r="F212" s="16" t="n">
        <v>0</v>
      </c>
      <c r="G212" s="16" t="n">
        <v>30</v>
      </c>
      <c r="H212" s="16" t="n">
        <v>4</v>
      </c>
      <c r="I212" s="16" t="n">
        <v>3</v>
      </c>
      <c r="J212" s="16" t="n">
        <v>3</v>
      </c>
      <c r="K212" s="16" t="n">
        <v>4</v>
      </c>
      <c r="L212" s="16" t="n">
        <v>84</v>
      </c>
      <c r="M212" s="16" t="n">
        <v>74</v>
      </c>
      <c r="N212" s="16" t="n">
        <v>0</v>
      </c>
      <c r="O212" s="9" t="str">
        <f aca="false">IF(B212="","",IFERROR(INDEX(Options!$G$6:$G$85,MATCH($B212,Options!$A$6:$A$85,0)),""))</f>
        <v>Letter</v>
      </c>
      <c r="P212" s="9" t="str">
        <f aca="false">IF(B212="","",IFERROR(INDEX(Options!$H$6:$H$85,MATCH($B212,Options!$A$6:$A$85,0)),""))</f>
        <v>Core</v>
      </c>
      <c r="Q212" s="24" t="n">
        <f aca="false">IF(B212="",0,N(IFERROR(INDEX(Options!$J$6:$J$85,MATCH($B212,Options!$A$6:$A$85,0)),"")))</f>
        <v>60</v>
      </c>
      <c r="R212" s="25" t="n">
        <f aca="false">K212*Settings!$B$10+J212*Settings!$B$11+I212*Settings!$B$12+H212*Settings!$B$13</f>
        <v>3.5</v>
      </c>
      <c r="S212" s="25" t="n">
        <f aca="false">IFERROR(L212/Settings!$B$8,0)</f>
        <v>3.81818181818182</v>
      </c>
      <c r="T212" s="26" t="n">
        <f aca="false">IF(OR(B212="",P212="End of life"),0,W212*MIN(4,N212))</f>
        <v>0</v>
      </c>
      <c r="U212" s="27" t="n">
        <f aca="false">T212*Q212</f>
        <v>0</v>
      </c>
      <c r="V212" s="14" t="n">
        <f aca="false">IF(B212="",0,G212*N(IFERROR(INDEX(Options!$K$6:$K$85,MATCH($B212,Options!$A$6:$A$85,0)),"")))</f>
        <v>684</v>
      </c>
      <c r="W212" s="26" t="n">
        <f aca="false">IF(B212="",0,IF(N212&gt;=4,S212,(H212+I212+J212+K212)/(4-N212)))</f>
        <v>3.5</v>
      </c>
    </row>
    <row r="213" customFormat="false" ht="15" hidden="false" customHeight="false" outlineLevel="0" collapsed="false">
      <c r="A213" s="16" t="s">
        <v>543</v>
      </c>
      <c r="B213" s="16" t="s">
        <v>268</v>
      </c>
      <c r="C213" s="16" t="s">
        <v>337</v>
      </c>
      <c r="D213" s="16" t="s">
        <v>183</v>
      </c>
      <c r="E213" s="16" t="n">
        <v>99</v>
      </c>
      <c r="F213" s="16" t="n">
        <v>0</v>
      </c>
      <c r="G213" s="16" t="n">
        <v>22</v>
      </c>
      <c r="H213" s="16" t="n">
        <v>3</v>
      </c>
      <c r="I213" s="16" t="n">
        <v>3</v>
      </c>
      <c r="J213" s="16" t="n">
        <v>4</v>
      </c>
      <c r="K213" s="16" t="n">
        <v>4</v>
      </c>
      <c r="L213" s="16" t="n">
        <v>77</v>
      </c>
      <c r="M213" s="16" t="n">
        <v>68</v>
      </c>
      <c r="N213" s="16" t="n">
        <v>0</v>
      </c>
      <c r="O213" s="9" t="str">
        <f aca="false">IF(B213="","",IFERROR(INDEX(Options!$G$6:$G$85,MATCH($B213,Options!$A$6:$A$85,0)),""))</f>
        <v>Letter</v>
      </c>
      <c r="P213" s="9" t="str">
        <f aca="false">IF(B213="","",IFERROR(INDEX(Options!$H$6:$H$85,MATCH($B213,Options!$A$6:$A$85,0)),""))</f>
        <v>Core</v>
      </c>
      <c r="Q213" s="24" t="n">
        <f aca="false">IF(B213="",0,N(IFERROR(INDEX(Options!$J$6:$J$85,MATCH($B213,Options!$A$6:$A$85,0)),"")))</f>
        <v>60</v>
      </c>
      <c r="R213" s="25" t="n">
        <f aca="false">K213*Settings!$B$10+J213*Settings!$B$11+I213*Settings!$B$12+H213*Settings!$B$13</f>
        <v>3.7</v>
      </c>
      <c r="S213" s="25" t="n">
        <f aca="false">IFERROR(L213/Settings!$B$8,0)</f>
        <v>3.5</v>
      </c>
      <c r="T213" s="26" t="n">
        <f aca="false">IF(OR(B213="",P213="End of life"),0,W213*MIN(4,N213))</f>
        <v>0</v>
      </c>
      <c r="U213" s="27" t="n">
        <f aca="false">T213*Q213</f>
        <v>0</v>
      </c>
      <c r="V213" s="14" t="n">
        <f aca="false">IF(B213="",0,G213*N(IFERROR(INDEX(Options!$K$6:$K$85,MATCH($B213,Options!$A$6:$A$85,0)),"")))</f>
        <v>501.6</v>
      </c>
      <c r="W213" s="26" t="n">
        <f aca="false">IF(B213="",0,IF(N213&gt;=4,S213,(H213+I213+J213+K213)/(4-N213)))</f>
        <v>3.5</v>
      </c>
    </row>
    <row r="214" customFormat="false" ht="15" hidden="false" customHeight="false" outlineLevel="0" collapsed="false">
      <c r="A214" s="16" t="s">
        <v>544</v>
      </c>
      <c r="B214" s="16" t="s">
        <v>268</v>
      </c>
      <c r="C214" s="16" t="s">
        <v>339</v>
      </c>
      <c r="D214" s="16"/>
      <c r="E214" s="16" t="n">
        <v>53</v>
      </c>
      <c r="F214" s="16" t="n">
        <v>0</v>
      </c>
      <c r="G214" s="16" t="n">
        <v>15</v>
      </c>
      <c r="H214" s="16" t="n">
        <v>1</v>
      </c>
      <c r="I214" s="16" t="n">
        <v>2</v>
      </c>
      <c r="J214" s="16" t="n">
        <v>2</v>
      </c>
      <c r="K214" s="16" t="n">
        <v>2</v>
      </c>
      <c r="L214" s="16" t="n">
        <v>38</v>
      </c>
      <c r="M214" s="16" t="n">
        <v>33</v>
      </c>
      <c r="N214" s="16" t="n">
        <v>0</v>
      </c>
      <c r="O214" s="9" t="str">
        <f aca="false">IF(B214="","",IFERROR(INDEX(Options!$G$6:$G$85,MATCH($B214,Options!$A$6:$A$85,0)),""))</f>
        <v>Letter</v>
      </c>
      <c r="P214" s="9" t="str">
        <f aca="false">IF(B214="","",IFERROR(INDEX(Options!$H$6:$H$85,MATCH($B214,Options!$A$6:$A$85,0)),""))</f>
        <v>Core</v>
      </c>
      <c r="Q214" s="24" t="n">
        <f aca="false">IF(B214="",0,N(IFERROR(INDEX(Options!$J$6:$J$85,MATCH($B214,Options!$A$6:$A$85,0)),"")))</f>
        <v>60</v>
      </c>
      <c r="R214" s="25" t="n">
        <f aca="false">K214*Settings!$B$10+J214*Settings!$B$11+I214*Settings!$B$12+H214*Settings!$B$13</f>
        <v>1.9</v>
      </c>
      <c r="S214" s="25" t="n">
        <f aca="false">IFERROR(L214/Settings!$B$8,0)</f>
        <v>1.72727272727273</v>
      </c>
      <c r="T214" s="26" t="n">
        <f aca="false">IF(OR(B214="",P214="End of life"),0,W214*MIN(4,N214))</f>
        <v>0</v>
      </c>
      <c r="U214" s="27" t="n">
        <f aca="false">T214*Q214</f>
        <v>0</v>
      </c>
      <c r="V214" s="14" t="n">
        <f aca="false">IF(B214="",0,G214*N(IFERROR(INDEX(Options!$K$6:$K$85,MATCH($B214,Options!$A$6:$A$85,0)),"")))</f>
        <v>342</v>
      </c>
      <c r="W214" s="26" t="n">
        <f aca="false">IF(B214="",0,IF(N214&gt;=4,S214,(H214+I214+J214+K214)/(4-N214)))</f>
        <v>1.75</v>
      </c>
    </row>
    <row r="215" customFormat="false" ht="15" hidden="false" customHeight="false" outlineLevel="0" collapsed="false">
      <c r="A215" s="16" t="s">
        <v>545</v>
      </c>
      <c r="B215" s="16" t="s">
        <v>268</v>
      </c>
      <c r="C215" s="16" t="s">
        <v>341</v>
      </c>
      <c r="D215" s="16"/>
      <c r="E215" s="16" t="n">
        <v>31</v>
      </c>
      <c r="F215" s="16" t="n">
        <v>0</v>
      </c>
      <c r="G215" s="16" t="n">
        <v>15</v>
      </c>
      <c r="H215" s="16" t="n">
        <v>1</v>
      </c>
      <c r="I215" s="16" t="n">
        <v>1</v>
      </c>
      <c r="J215" s="16" t="n">
        <v>1</v>
      </c>
      <c r="K215" s="16" t="n">
        <v>1</v>
      </c>
      <c r="L215" s="16" t="n">
        <v>16</v>
      </c>
      <c r="M215" s="16" t="n">
        <v>14</v>
      </c>
      <c r="N215" s="16" t="n">
        <v>0</v>
      </c>
      <c r="O215" s="9" t="str">
        <f aca="false">IF(B215="","",IFERROR(INDEX(Options!$G$6:$G$85,MATCH($B215,Options!$A$6:$A$85,0)),""))</f>
        <v>Letter</v>
      </c>
      <c r="P215" s="9" t="str">
        <f aca="false">IF(B215="","",IFERROR(INDEX(Options!$H$6:$H$85,MATCH($B215,Options!$A$6:$A$85,0)),""))</f>
        <v>Core</v>
      </c>
      <c r="Q215" s="24" t="n">
        <f aca="false">IF(B215="",0,N(IFERROR(INDEX(Options!$J$6:$J$85,MATCH($B215,Options!$A$6:$A$85,0)),"")))</f>
        <v>60</v>
      </c>
      <c r="R215" s="25" t="n">
        <f aca="false">K215*Settings!$B$10+J215*Settings!$B$11+I215*Settings!$B$12+H215*Settings!$B$13</f>
        <v>1</v>
      </c>
      <c r="S215" s="25" t="n">
        <f aca="false">IFERROR(L215/Settings!$B$8,0)</f>
        <v>0.727272727272727</v>
      </c>
      <c r="T215" s="26" t="n">
        <f aca="false">IF(OR(B215="",P215="End of life"),0,W215*MIN(4,N215))</f>
        <v>0</v>
      </c>
      <c r="U215" s="27" t="n">
        <f aca="false">T215*Q215</f>
        <v>0</v>
      </c>
      <c r="V215" s="14" t="n">
        <f aca="false">IF(B215="",0,G215*N(IFERROR(INDEX(Options!$K$6:$K$85,MATCH($B215,Options!$A$6:$A$85,0)),"")))</f>
        <v>342</v>
      </c>
      <c r="W215" s="26" t="n">
        <f aca="false">IF(B215="",0,IF(N215&gt;=4,S215,(H215+I215+J215+K215)/(4-N215)))</f>
        <v>1</v>
      </c>
    </row>
    <row r="216" customFormat="false" ht="15" hidden="false" customHeight="false" outlineLevel="0" collapsed="false">
      <c r="A216" s="16" t="s">
        <v>546</v>
      </c>
      <c r="B216" s="16" t="s">
        <v>269</v>
      </c>
      <c r="C216" s="16" t="s">
        <v>331</v>
      </c>
      <c r="D216" s="16"/>
      <c r="E216" s="16" t="n">
        <v>48</v>
      </c>
      <c r="F216" s="16" t="n">
        <v>0</v>
      </c>
      <c r="G216" s="16" t="n">
        <v>20</v>
      </c>
      <c r="H216" s="16" t="n">
        <v>1</v>
      </c>
      <c r="I216" s="16" t="n">
        <v>1</v>
      </c>
      <c r="J216" s="16" t="n">
        <v>1</v>
      </c>
      <c r="K216" s="16" t="n">
        <v>1</v>
      </c>
      <c r="L216" s="16" t="n">
        <v>28</v>
      </c>
      <c r="M216" s="16" t="n">
        <v>25</v>
      </c>
      <c r="N216" s="16" t="n">
        <v>0</v>
      </c>
      <c r="O216" s="9" t="str">
        <f aca="false">IF(B216="","",IFERROR(INDEX(Options!$G$6:$G$85,MATCH($B216,Options!$A$6:$A$85,0)),""))</f>
        <v>Letter</v>
      </c>
      <c r="P216" s="9" t="str">
        <f aca="false">IF(B216="","",IFERROR(INDEX(Options!$H$6:$H$85,MATCH($B216,Options!$A$6:$A$85,0)),""))</f>
        <v>Core</v>
      </c>
      <c r="Q216" s="24" t="n">
        <f aca="false">IF(B216="",0,N(IFERROR(INDEX(Options!$J$6:$J$85,MATCH($B216,Options!$A$6:$A$85,0)),"")))</f>
        <v>55</v>
      </c>
      <c r="R216" s="25" t="n">
        <f aca="false">K216*Settings!$B$10+J216*Settings!$B$11+I216*Settings!$B$12+H216*Settings!$B$13</f>
        <v>1</v>
      </c>
      <c r="S216" s="25" t="n">
        <f aca="false">IFERROR(L216/Settings!$B$8,0)</f>
        <v>1.27272727272727</v>
      </c>
      <c r="T216" s="26" t="n">
        <f aca="false">IF(OR(B216="",P216="End of life"),0,W216*MIN(4,N216))</f>
        <v>0</v>
      </c>
      <c r="U216" s="27" t="n">
        <f aca="false">T216*Q216</f>
        <v>0</v>
      </c>
      <c r="V216" s="14" t="n">
        <f aca="false">IF(B216="",0,G216*N(IFERROR(INDEX(Options!$K$6:$K$85,MATCH($B216,Options!$A$6:$A$85,0)),"")))</f>
        <v>418</v>
      </c>
      <c r="W216" s="26" t="n">
        <f aca="false">IF(B216="",0,IF(N216&gt;=4,S216,(H216+I216+J216+K216)/(4-N216)))</f>
        <v>1</v>
      </c>
    </row>
    <row r="217" customFormat="false" ht="15" hidden="false" customHeight="false" outlineLevel="0" collapsed="false">
      <c r="A217" s="16" t="s">
        <v>547</v>
      </c>
      <c r="B217" s="16" t="s">
        <v>269</v>
      </c>
      <c r="C217" s="16" t="s">
        <v>333</v>
      </c>
      <c r="D217" s="16" t="s">
        <v>183</v>
      </c>
      <c r="E217" s="16" t="n">
        <v>108</v>
      </c>
      <c r="F217" s="16" t="n">
        <v>0</v>
      </c>
      <c r="G217" s="16" t="n">
        <v>19</v>
      </c>
      <c r="H217" s="16" t="n">
        <v>3</v>
      </c>
      <c r="I217" s="16" t="n">
        <v>4</v>
      </c>
      <c r="J217" s="16" t="n">
        <v>4</v>
      </c>
      <c r="K217" s="16" t="n">
        <v>4</v>
      </c>
      <c r="L217" s="16" t="n">
        <v>89</v>
      </c>
      <c r="M217" s="16" t="n">
        <v>78</v>
      </c>
      <c r="N217" s="16" t="n">
        <v>0</v>
      </c>
      <c r="O217" s="9" t="str">
        <f aca="false">IF(B217="","",IFERROR(INDEX(Options!$G$6:$G$85,MATCH($B217,Options!$A$6:$A$85,0)),""))</f>
        <v>Letter</v>
      </c>
      <c r="P217" s="9" t="str">
        <f aca="false">IF(B217="","",IFERROR(INDEX(Options!$H$6:$H$85,MATCH($B217,Options!$A$6:$A$85,0)),""))</f>
        <v>Core</v>
      </c>
      <c r="Q217" s="24" t="n">
        <f aca="false">IF(B217="",0,N(IFERROR(INDEX(Options!$J$6:$J$85,MATCH($B217,Options!$A$6:$A$85,0)),"")))</f>
        <v>55</v>
      </c>
      <c r="R217" s="25" t="n">
        <f aca="false">K217*Settings!$B$10+J217*Settings!$B$11+I217*Settings!$B$12+H217*Settings!$B$13</f>
        <v>3.9</v>
      </c>
      <c r="S217" s="25" t="n">
        <f aca="false">IFERROR(L217/Settings!$B$8,0)</f>
        <v>4.04545454545455</v>
      </c>
      <c r="T217" s="26" t="n">
        <f aca="false">IF(OR(B217="",P217="End of life"),0,W217*MIN(4,N217))</f>
        <v>0</v>
      </c>
      <c r="U217" s="27" t="n">
        <f aca="false">T217*Q217</f>
        <v>0</v>
      </c>
      <c r="V217" s="14" t="n">
        <f aca="false">IF(B217="",0,G217*N(IFERROR(INDEX(Options!$K$6:$K$85,MATCH($B217,Options!$A$6:$A$85,0)),"")))</f>
        <v>397.1</v>
      </c>
      <c r="W217" s="26" t="n">
        <f aca="false">IF(B217="",0,IF(N217&gt;=4,S217,(H217+I217+J217+K217)/(4-N217)))</f>
        <v>3.75</v>
      </c>
    </row>
    <row r="218" customFormat="false" ht="15" hidden="false" customHeight="false" outlineLevel="0" collapsed="false">
      <c r="A218" s="16" t="s">
        <v>548</v>
      </c>
      <c r="B218" s="16" t="s">
        <v>269</v>
      </c>
      <c r="C218" s="16" t="s">
        <v>335</v>
      </c>
      <c r="D218" s="16" t="s">
        <v>183</v>
      </c>
      <c r="E218" s="16" t="n">
        <v>180</v>
      </c>
      <c r="F218" s="16" t="n">
        <v>0</v>
      </c>
      <c r="G218" s="16" t="n">
        <v>39</v>
      </c>
      <c r="H218" s="16" t="n">
        <v>6</v>
      </c>
      <c r="I218" s="16" t="n">
        <v>5</v>
      </c>
      <c r="J218" s="16" t="n">
        <v>6</v>
      </c>
      <c r="K218" s="16" t="n">
        <v>8</v>
      </c>
      <c r="L218" s="16" t="n">
        <v>141</v>
      </c>
      <c r="M218" s="16" t="n">
        <v>124</v>
      </c>
      <c r="N218" s="16" t="n">
        <v>0</v>
      </c>
      <c r="O218" s="9" t="str">
        <f aca="false">IF(B218="","",IFERROR(INDEX(Options!$G$6:$G$85,MATCH($B218,Options!$A$6:$A$85,0)),""))</f>
        <v>Letter</v>
      </c>
      <c r="P218" s="9" t="str">
        <f aca="false">IF(B218="","",IFERROR(INDEX(Options!$H$6:$H$85,MATCH($B218,Options!$A$6:$A$85,0)),""))</f>
        <v>Core</v>
      </c>
      <c r="Q218" s="24" t="n">
        <f aca="false">IF(B218="",0,N(IFERROR(INDEX(Options!$J$6:$J$85,MATCH($B218,Options!$A$6:$A$85,0)),"")))</f>
        <v>55</v>
      </c>
      <c r="R218" s="25" t="n">
        <f aca="false">K218*Settings!$B$10+J218*Settings!$B$11+I218*Settings!$B$12+H218*Settings!$B$13</f>
        <v>6.6</v>
      </c>
      <c r="S218" s="25" t="n">
        <f aca="false">IFERROR(L218/Settings!$B$8,0)</f>
        <v>6.40909090909091</v>
      </c>
      <c r="T218" s="26" t="n">
        <f aca="false">IF(OR(B218="",P218="End of life"),0,W218*MIN(4,N218))</f>
        <v>0</v>
      </c>
      <c r="U218" s="27" t="n">
        <f aca="false">T218*Q218</f>
        <v>0</v>
      </c>
      <c r="V218" s="14" t="n">
        <f aca="false">IF(B218="",0,G218*N(IFERROR(INDEX(Options!$K$6:$K$85,MATCH($B218,Options!$A$6:$A$85,0)),"")))</f>
        <v>815.1</v>
      </c>
      <c r="W218" s="26" t="n">
        <f aca="false">IF(B218="",0,IF(N218&gt;=4,S218,(H218+I218+J218+K218)/(4-N218)))</f>
        <v>6.25</v>
      </c>
    </row>
    <row r="219" customFormat="false" ht="15" hidden="false" customHeight="false" outlineLevel="0" collapsed="false">
      <c r="A219" s="16" t="s">
        <v>549</v>
      </c>
      <c r="B219" s="16" t="s">
        <v>269</v>
      </c>
      <c r="C219" s="16" t="s">
        <v>337</v>
      </c>
      <c r="D219" s="16" t="s">
        <v>183</v>
      </c>
      <c r="E219" s="16" t="n">
        <v>156</v>
      </c>
      <c r="F219" s="16" t="n">
        <v>0</v>
      </c>
      <c r="G219" s="16" t="n">
        <v>39</v>
      </c>
      <c r="H219" s="16" t="n">
        <v>5</v>
      </c>
      <c r="I219" s="16" t="n">
        <v>6</v>
      </c>
      <c r="J219" s="16" t="n">
        <v>7</v>
      </c>
      <c r="K219" s="16" t="n">
        <v>7</v>
      </c>
      <c r="L219" s="16" t="n">
        <v>117</v>
      </c>
      <c r="M219" s="16" t="n">
        <v>103</v>
      </c>
      <c r="N219" s="16" t="n">
        <v>0</v>
      </c>
      <c r="O219" s="9" t="str">
        <f aca="false">IF(B219="","",IFERROR(INDEX(Options!$G$6:$G$85,MATCH($B219,Options!$A$6:$A$85,0)),""))</f>
        <v>Letter</v>
      </c>
      <c r="P219" s="9" t="str">
        <f aca="false">IF(B219="","",IFERROR(INDEX(Options!$H$6:$H$85,MATCH($B219,Options!$A$6:$A$85,0)),""))</f>
        <v>Core</v>
      </c>
      <c r="Q219" s="24" t="n">
        <f aca="false">IF(B219="",0,N(IFERROR(INDEX(Options!$J$6:$J$85,MATCH($B219,Options!$A$6:$A$85,0)),"")))</f>
        <v>55</v>
      </c>
      <c r="R219" s="25" t="n">
        <f aca="false">K219*Settings!$B$10+J219*Settings!$B$11+I219*Settings!$B$12+H219*Settings!$B$13</f>
        <v>6.6</v>
      </c>
      <c r="S219" s="25" t="n">
        <f aca="false">IFERROR(L219/Settings!$B$8,0)</f>
        <v>5.31818181818182</v>
      </c>
      <c r="T219" s="26" t="n">
        <f aca="false">IF(OR(B219="",P219="End of life"),0,W219*MIN(4,N219))</f>
        <v>0</v>
      </c>
      <c r="U219" s="27" t="n">
        <f aca="false">T219*Q219</f>
        <v>0</v>
      </c>
      <c r="V219" s="14" t="n">
        <f aca="false">IF(B219="",0,G219*N(IFERROR(INDEX(Options!$K$6:$K$85,MATCH($B219,Options!$A$6:$A$85,0)),"")))</f>
        <v>815.1</v>
      </c>
      <c r="W219" s="26" t="n">
        <f aca="false">IF(B219="",0,IF(N219&gt;=4,S219,(H219+I219+J219+K219)/(4-N219)))</f>
        <v>6.25</v>
      </c>
    </row>
    <row r="220" customFormat="false" ht="15" hidden="false" customHeight="false" outlineLevel="0" collapsed="false">
      <c r="A220" s="16" t="s">
        <v>550</v>
      </c>
      <c r="B220" s="16" t="s">
        <v>269</v>
      </c>
      <c r="C220" s="16" t="s">
        <v>339</v>
      </c>
      <c r="D220" s="16"/>
      <c r="E220" s="16" t="n">
        <v>84</v>
      </c>
      <c r="F220" s="16" t="n">
        <v>0</v>
      </c>
      <c r="G220" s="16" t="n">
        <v>19</v>
      </c>
      <c r="H220" s="16" t="n">
        <v>3</v>
      </c>
      <c r="I220" s="16" t="n">
        <v>3</v>
      </c>
      <c r="J220" s="16" t="n">
        <v>3</v>
      </c>
      <c r="K220" s="16" t="n">
        <v>3</v>
      </c>
      <c r="L220" s="16" t="n">
        <v>65</v>
      </c>
      <c r="M220" s="16" t="n">
        <v>57</v>
      </c>
      <c r="N220" s="16" t="n">
        <v>0</v>
      </c>
      <c r="O220" s="9" t="str">
        <f aca="false">IF(B220="","",IFERROR(INDEX(Options!$G$6:$G$85,MATCH($B220,Options!$A$6:$A$85,0)),""))</f>
        <v>Letter</v>
      </c>
      <c r="P220" s="9" t="str">
        <f aca="false">IF(B220="","",IFERROR(INDEX(Options!$H$6:$H$85,MATCH($B220,Options!$A$6:$A$85,0)),""))</f>
        <v>Core</v>
      </c>
      <c r="Q220" s="24" t="n">
        <f aca="false">IF(B220="",0,N(IFERROR(INDEX(Options!$J$6:$J$85,MATCH($B220,Options!$A$6:$A$85,0)),"")))</f>
        <v>55</v>
      </c>
      <c r="R220" s="25" t="n">
        <f aca="false">K220*Settings!$B$10+J220*Settings!$B$11+I220*Settings!$B$12+H220*Settings!$B$13</f>
        <v>3</v>
      </c>
      <c r="S220" s="25" t="n">
        <f aca="false">IFERROR(L220/Settings!$B$8,0)</f>
        <v>2.95454545454545</v>
      </c>
      <c r="T220" s="26" t="n">
        <f aca="false">IF(OR(B220="",P220="End of life"),0,W220*MIN(4,N220))</f>
        <v>0</v>
      </c>
      <c r="U220" s="27" t="n">
        <f aca="false">T220*Q220</f>
        <v>0</v>
      </c>
      <c r="V220" s="14" t="n">
        <f aca="false">IF(B220="",0,G220*N(IFERROR(INDEX(Options!$K$6:$K$85,MATCH($B220,Options!$A$6:$A$85,0)),"")))</f>
        <v>397.1</v>
      </c>
      <c r="W220" s="26" t="n">
        <f aca="false">IF(B220="",0,IF(N220&gt;=4,S220,(H220+I220+J220+K220)/(4-N220)))</f>
        <v>3</v>
      </c>
    </row>
    <row r="221" customFormat="false" ht="15" hidden="false" customHeight="false" outlineLevel="0" collapsed="false">
      <c r="A221" s="16" t="s">
        <v>551</v>
      </c>
      <c r="B221" s="16" t="s">
        <v>269</v>
      </c>
      <c r="C221" s="16" t="s">
        <v>341</v>
      </c>
      <c r="D221" s="16"/>
      <c r="E221" s="16" t="n">
        <v>48</v>
      </c>
      <c r="F221" s="16" t="n">
        <v>0</v>
      </c>
      <c r="G221" s="16" t="n">
        <v>21</v>
      </c>
      <c r="H221" s="16" t="n">
        <v>1</v>
      </c>
      <c r="I221" s="16" t="n">
        <v>1</v>
      </c>
      <c r="J221" s="16" t="n">
        <v>1</v>
      </c>
      <c r="K221" s="16" t="n">
        <v>2</v>
      </c>
      <c r="L221" s="16" t="n">
        <v>27</v>
      </c>
      <c r="M221" s="16" t="n">
        <v>24</v>
      </c>
      <c r="N221" s="16" t="n">
        <v>0</v>
      </c>
      <c r="O221" s="9" t="str">
        <f aca="false">IF(B221="","",IFERROR(INDEX(Options!$G$6:$G$85,MATCH($B221,Options!$A$6:$A$85,0)),""))</f>
        <v>Letter</v>
      </c>
      <c r="P221" s="9" t="str">
        <f aca="false">IF(B221="","",IFERROR(INDEX(Options!$H$6:$H$85,MATCH($B221,Options!$A$6:$A$85,0)),""))</f>
        <v>Core</v>
      </c>
      <c r="Q221" s="24" t="n">
        <f aca="false">IF(B221="",0,N(IFERROR(INDEX(Options!$J$6:$J$85,MATCH($B221,Options!$A$6:$A$85,0)),"")))</f>
        <v>55</v>
      </c>
      <c r="R221" s="25" t="n">
        <f aca="false">K221*Settings!$B$10+J221*Settings!$B$11+I221*Settings!$B$12+H221*Settings!$B$13</f>
        <v>1.4</v>
      </c>
      <c r="S221" s="25" t="n">
        <f aca="false">IFERROR(L221/Settings!$B$8,0)</f>
        <v>1.22727272727273</v>
      </c>
      <c r="T221" s="26" t="n">
        <f aca="false">IF(OR(B221="",P221="End of life"),0,W221*MIN(4,N221))</f>
        <v>0</v>
      </c>
      <c r="U221" s="27" t="n">
        <f aca="false">T221*Q221</f>
        <v>0</v>
      </c>
      <c r="V221" s="14" t="n">
        <f aca="false">IF(B221="",0,G221*N(IFERROR(INDEX(Options!$K$6:$K$85,MATCH($B221,Options!$A$6:$A$85,0)),"")))</f>
        <v>438.9</v>
      </c>
      <c r="W221" s="26" t="n">
        <f aca="false">IF(B221="",0,IF(N221&gt;=4,S221,(H221+I221+J221+K221)/(4-N221)))</f>
        <v>1.25</v>
      </c>
    </row>
    <row r="222" customFormat="false" ht="15" hidden="false" customHeight="false" outlineLevel="0" collapsed="false">
      <c r="A222" s="16" t="s">
        <v>552</v>
      </c>
      <c r="B222" s="16" t="s">
        <v>271</v>
      </c>
      <c r="C222" s="16" t="s">
        <v>331</v>
      </c>
      <c r="D222" s="16"/>
      <c r="E222" s="16" t="n">
        <v>29</v>
      </c>
      <c r="F222" s="16" t="n">
        <v>0</v>
      </c>
      <c r="G222" s="16" t="n">
        <v>17</v>
      </c>
      <c r="H222" s="16" t="n">
        <v>0</v>
      </c>
      <c r="I222" s="16" t="n">
        <v>0</v>
      </c>
      <c r="J222" s="16" t="n">
        <v>0</v>
      </c>
      <c r="K222" s="16" t="n">
        <v>0</v>
      </c>
      <c r="L222" s="16" t="n">
        <v>12</v>
      </c>
      <c r="M222" s="16" t="n">
        <v>11</v>
      </c>
      <c r="N222" s="16" t="n">
        <v>0</v>
      </c>
      <c r="O222" s="9" t="str">
        <f aca="false">IF(B222="","",IFERROR(INDEX(Options!$G$6:$G$85,MATCH($B222,Options!$A$6:$A$85,0)),""))</f>
        <v>Letter</v>
      </c>
      <c r="P222" s="9" t="str">
        <f aca="false">IF(B222="","",IFERROR(INDEX(Options!$H$6:$H$85,MATCH($B222,Options!$A$6:$A$85,0)),""))</f>
        <v>Seasonal</v>
      </c>
      <c r="Q222" s="24" t="n">
        <f aca="false">IF(B222="",0,N(IFERROR(INDEX(Options!$J$6:$J$85,MATCH($B222,Options!$A$6:$A$85,0)),"")))</f>
        <v>55</v>
      </c>
      <c r="R222" s="25" t="n">
        <f aca="false">K222*Settings!$B$10+J222*Settings!$B$11+I222*Settings!$B$12+H222*Settings!$B$13</f>
        <v>0</v>
      </c>
      <c r="S222" s="25" t="n">
        <f aca="false">IFERROR(L222/Settings!$B$8,0)</f>
        <v>0.545454545454545</v>
      </c>
      <c r="T222" s="26" t="n">
        <f aca="false">IF(OR(B222="",P222="End of life"),0,W222*MIN(4,N222))</f>
        <v>0</v>
      </c>
      <c r="U222" s="27" t="n">
        <f aca="false">T222*Q222</f>
        <v>0</v>
      </c>
      <c r="V222" s="14" t="n">
        <f aca="false">IF(B222="",0,G222*N(IFERROR(INDEX(Options!$K$6:$K$85,MATCH($B222,Options!$A$6:$A$85,0)),"")))</f>
        <v>355.3</v>
      </c>
      <c r="W222" s="26" t="n">
        <f aca="false">IF(B222="",0,IF(N222&gt;=4,S222,(H222+I222+J222+K222)/(4-N222)))</f>
        <v>0</v>
      </c>
    </row>
    <row r="223" customFormat="false" ht="15" hidden="false" customHeight="false" outlineLevel="0" collapsed="false">
      <c r="A223" s="16" t="s">
        <v>553</v>
      </c>
      <c r="B223" s="16" t="s">
        <v>271</v>
      </c>
      <c r="C223" s="16" t="s">
        <v>333</v>
      </c>
      <c r="D223" s="16" t="s">
        <v>183</v>
      </c>
      <c r="E223" s="16" t="n">
        <v>37</v>
      </c>
      <c r="F223" s="16" t="n">
        <v>0</v>
      </c>
      <c r="G223" s="16" t="n">
        <v>0</v>
      </c>
      <c r="H223" s="16" t="n">
        <v>0</v>
      </c>
      <c r="I223" s="16" t="n">
        <v>0</v>
      </c>
      <c r="J223" s="16" t="n">
        <v>0</v>
      </c>
      <c r="K223" s="16" t="n">
        <v>0</v>
      </c>
      <c r="L223" s="16" t="n">
        <v>37</v>
      </c>
      <c r="M223" s="16" t="n">
        <v>33</v>
      </c>
      <c r="N223" s="16" t="n">
        <v>4</v>
      </c>
      <c r="O223" s="9" t="str">
        <f aca="false">IF(B223="","",IFERROR(INDEX(Options!$G$6:$G$85,MATCH($B223,Options!$A$6:$A$85,0)),""))</f>
        <v>Letter</v>
      </c>
      <c r="P223" s="9" t="str">
        <f aca="false">IF(B223="","",IFERROR(INDEX(Options!$H$6:$H$85,MATCH($B223,Options!$A$6:$A$85,0)),""))</f>
        <v>Seasonal</v>
      </c>
      <c r="Q223" s="24" t="n">
        <f aca="false">IF(B223="",0,N(IFERROR(INDEX(Options!$J$6:$J$85,MATCH($B223,Options!$A$6:$A$85,0)),"")))</f>
        <v>55</v>
      </c>
      <c r="R223" s="25" t="n">
        <f aca="false">K223*Settings!$B$10+J223*Settings!$B$11+I223*Settings!$B$12+H223*Settings!$B$13</f>
        <v>0</v>
      </c>
      <c r="S223" s="25" t="n">
        <f aca="false">IFERROR(L223/Settings!$B$8,0)</f>
        <v>1.68181818181818</v>
      </c>
      <c r="T223" s="26" t="n">
        <f aca="false">IF(OR(B223="",P223="End of life"),0,W223*MIN(4,N223))</f>
        <v>6.72727272727273</v>
      </c>
      <c r="U223" s="27" t="n">
        <f aca="false">T223*Q223</f>
        <v>370</v>
      </c>
      <c r="V223" s="14" t="n">
        <f aca="false">IF(B223="",0,G223*N(IFERROR(INDEX(Options!$K$6:$K$85,MATCH($B223,Options!$A$6:$A$85,0)),"")))</f>
        <v>0</v>
      </c>
      <c r="W223" s="26" t="n">
        <f aca="false">IF(B223="",0,IF(N223&gt;=4,S223,(H223+I223+J223+K223)/(4-N223)))</f>
        <v>1.68181818181818</v>
      </c>
    </row>
    <row r="224" customFormat="false" ht="15" hidden="false" customHeight="false" outlineLevel="0" collapsed="false">
      <c r="A224" s="16" t="s">
        <v>554</v>
      </c>
      <c r="B224" s="16" t="s">
        <v>271</v>
      </c>
      <c r="C224" s="16" t="s">
        <v>335</v>
      </c>
      <c r="D224" s="16" t="s">
        <v>183</v>
      </c>
      <c r="E224" s="16" t="n">
        <v>61</v>
      </c>
      <c r="F224" s="16" t="n">
        <v>0</v>
      </c>
      <c r="G224" s="16" t="n">
        <v>0</v>
      </c>
      <c r="H224" s="16" t="n">
        <v>0</v>
      </c>
      <c r="I224" s="16" t="n">
        <v>0</v>
      </c>
      <c r="J224" s="16" t="n">
        <v>0</v>
      </c>
      <c r="K224" s="16" t="n">
        <v>0</v>
      </c>
      <c r="L224" s="16" t="n">
        <v>61</v>
      </c>
      <c r="M224" s="16" t="n">
        <v>54</v>
      </c>
      <c r="N224" s="16" t="n">
        <v>4</v>
      </c>
      <c r="O224" s="9" t="str">
        <f aca="false">IF(B224="","",IFERROR(INDEX(Options!$G$6:$G$85,MATCH($B224,Options!$A$6:$A$85,0)),""))</f>
        <v>Letter</v>
      </c>
      <c r="P224" s="9" t="str">
        <f aca="false">IF(B224="","",IFERROR(INDEX(Options!$H$6:$H$85,MATCH($B224,Options!$A$6:$A$85,0)),""))</f>
        <v>Seasonal</v>
      </c>
      <c r="Q224" s="24" t="n">
        <f aca="false">IF(B224="",0,N(IFERROR(INDEX(Options!$J$6:$J$85,MATCH($B224,Options!$A$6:$A$85,0)),"")))</f>
        <v>55</v>
      </c>
      <c r="R224" s="25" t="n">
        <f aca="false">K224*Settings!$B$10+J224*Settings!$B$11+I224*Settings!$B$12+H224*Settings!$B$13</f>
        <v>0</v>
      </c>
      <c r="S224" s="25" t="n">
        <f aca="false">IFERROR(L224/Settings!$B$8,0)</f>
        <v>2.77272727272727</v>
      </c>
      <c r="T224" s="26" t="n">
        <f aca="false">IF(OR(B224="",P224="End of life"),0,W224*MIN(4,N224))</f>
        <v>11.0909090909091</v>
      </c>
      <c r="U224" s="27" t="n">
        <f aca="false">T224*Q224</f>
        <v>610</v>
      </c>
      <c r="V224" s="14" t="n">
        <f aca="false">IF(B224="",0,G224*N(IFERROR(INDEX(Options!$K$6:$K$85,MATCH($B224,Options!$A$6:$A$85,0)),"")))</f>
        <v>0</v>
      </c>
      <c r="W224" s="26" t="n">
        <f aca="false">IF(B224="",0,IF(N224&gt;=4,S224,(H224+I224+J224+K224)/(4-N224)))</f>
        <v>2.77272727272727</v>
      </c>
    </row>
    <row r="225" customFormat="false" ht="15" hidden="false" customHeight="false" outlineLevel="0" collapsed="false">
      <c r="A225" s="16" t="s">
        <v>555</v>
      </c>
      <c r="B225" s="16" t="s">
        <v>271</v>
      </c>
      <c r="C225" s="16" t="s">
        <v>337</v>
      </c>
      <c r="D225" s="16" t="s">
        <v>183</v>
      </c>
      <c r="E225" s="16" t="n">
        <v>53</v>
      </c>
      <c r="F225" s="16" t="n">
        <v>0</v>
      </c>
      <c r="G225" s="16" t="n">
        <v>0</v>
      </c>
      <c r="H225" s="16" t="n">
        <v>1</v>
      </c>
      <c r="I225" s="16" t="n">
        <v>1</v>
      </c>
      <c r="J225" s="16" t="n">
        <v>1</v>
      </c>
      <c r="K225" s="16" t="n">
        <v>0</v>
      </c>
      <c r="L225" s="16" t="n">
        <v>53</v>
      </c>
      <c r="M225" s="16" t="n">
        <v>47</v>
      </c>
      <c r="N225" s="16" t="n">
        <v>1</v>
      </c>
      <c r="O225" s="9" t="str">
        <f aca="false">IF(B225="","",IFERROR(INDEX(Options!$G$6:$G$85,MATCH($B225,Options!$A$6:$A$85,0)),""))</f>
        <v>Letter</v>
      </c>
      <c r="P225" s="9" t="str">
        <f aca="false">IF(B225="","",IFERROR(INDEX(Options!$H$6:$H$85,MATCH($B225,Options!$A$6:$A$85,0)),""))</f>
        <v>Seasonal</v>
      </c>
      <c r="Q225" s="24" t="n">
        <f aca="false">IF(B225="",0,N(IFERROR(INDEX(Options!$J$6:$J$85,MATCH($B225,Options!$A$6:$A$85,0)),"")))</f>
        <v>55</v>
      </c>
      <c r="R225" s="25" t="n">
        <f aca="false">K225*Settings!$B$10+J225*Settings!$B$11+I225*Settings!$B$12+H225*Settings!$B$13</f>
        <v>0.6</v>
      </c>
      <c r="S225" s="25" t="n">
        <f aca="false">IFERROR(L225/Settings!$B$8,0)</f>
        <v>2.40909090909091</v>
      </c>
      <c r="T225" s="26" t="n">
        <f aca="false">IF(OR(B225="",P225="End of life"),0,W225*MIN(4,N225))</f>
        <v>1</v>
      </c>
      <c r="U225" s="27" t="n">
        <f aca="false">T225*Q225</f>
        <v>55</v>
      </c>
      <c r="V225" s="14" t="n">
        <f aca="false">IF(B225="",0,G225*N(IFERROR(INDEX(Options!$K$6:$K$85,MATCH($B225,Options!$A$6:$A$85,0)),"")))</f>
        <v>0</v>
      </c>
      <c r="W225" s="26" t="n">
        <f aca="false">IF(B225="",0,IF(N225&gt;=4,S225,(H225+I225+J225+K225)/(4-N225)))</f>
        <v>1</v>
      </c>
    </row>
    <row r="226" customFormat="false" ht="15" hidden="false" customHeight="false" outlineLevel="0" collapsed="false">
      <c r="A226" s="16" t="s">
        <v>556</v>
      </c>
      <c r="B226" s="16" t="s">
        <v>271</v>
      </c>
      <c r="C226" s="16" t="s">
        <v>339</v>
      </c>
      <c r="D226" s="16"/>
      <c r="E226" s="16" t="n">
        <v>69</v>
      </c>
      <c r="F226" s="16" t="n">
        <v>0</v>
      </c>
      <c r="G226" s="16" t="n">
        <v>41</v>
      </c>
      <c r="H226" s="16" t="n">
        <v>1</v>
      </c>
      <c r="I226" s="16" t="n">
        <v>1</v>
      </c>
      <c r="J226" s="16" t="n">
        <v>1</v>
      </c>
      <c r="K226" s="16" t="n">
        <v>1</v>
      </c>
      <c r="L226" s="16" t="n">
        <v>28</v>
      </c>
      <c r="M226" s="16" t="n">
        <v>25</v>
      </c>
      <c r="N226" s="16" t="n">
        <v>0</v>
      </c>
      <c r="O226" s="9" t="str">
        <f aca="false">IF(B226="","",IFERROR(INDEX(Options!$G$6:$G$85,MATCH($B226,Options!$A$6:$A$85,0)),""))</f>
        <v>Letter</v>
      </c>
      <c r="P226" s="9" t="str">
        <f aca="false">IF(B226="","",IFERROR(INDEX(Options!$H$6:$H$85,MATCH($B226,Options!$A$6:$A$85,0)),""))</f>
        <v>Seasonal</v>
      </c>
      <c r="Q226" s="24" t="n">
        <f aca="false">IF(B226="",0,N(IFERROR(INDEX(Options!$J$6:$J$85,MATCH($B226,Options!$A$6:$A$85,0)),"")))</f>
        <v>55</v>
      </c>
      <c r="R226" s="25" t="n">
        <f aca="false">K226*Settings!$B$10+J226*Settings!$B$11+I226*Settings!$B$12+H226*Settings!$B$13</f>
        <v>1</v>
      </c>
      <c r="S226" s="25" t="n">
        <f aca="false">IFERROR(L226/Settings!$B$8,0)</f>
        <v>1.27272727272727</v>
      </c>
      <c r="T226" s="26" t="n">
        <f aca="false">IF(OR(B226="",P226="End of life"),0,W226*MIN(4,N226))</f>
        <v>0</v>
      </c>
      <c r="U226" s="27" t="n">
        <f aca="false">T226*Q226</f>
        <v>0</v>
      </c>
      <c r="V226" s="14" t="n">
        <f aca="false">IF(B226="",0,G226*N(IFERROR(INDEX(Options!$K$6:$K$85,MATCH($B226,Options!$A$6:$A$85,0)),"")))</f>
        <v>856.9</v>
      </c>
      <c r="W226" s="26" t="n">
        <f aca="false">IF(B226="",0,IF(N226&gt;=4,S226,(H226+I226+J226+K226)/(4-N226)))</f>
        <v>1</v>
      </c>
    </row>
    <row r="227" customFormat="false" ht="15" hidden="false" customHeight="false" outlineLevel="0" collapsed="false">
      <c r="A227" s="16" t="s">
        <v>557</v>
      </c>
      <c r="B227" s="16" t="s">
        <v>271</v>
      </c>
      <c r="C227" s="16" t="s">
        <v>341</v>
      </c>
      <c r="D227" s="16"/>
      <c r="E227" s="16" t="n">
        <v>29</v>
      </c>
      <c r="F227" s="16" t="n">
        <v>0</v>
      </c>
      <c r="G227" s="16" t="n">
        <v>16</v>
      </c>
      <c r="H227" s="16" t="n">
        <v>0</v>
      </c>
      <c r="I227" s="16" t="n">
        <v>0</v>
      </c>
      <c r="J227" s="16" t="n">
        <v>0</v>
      </c>
      <c r="K227" s="16" t="n">
        <v>0</v>
      </c>
      <c r="L227" s="16" t="n">
        <v>13</v>
      </c>
      <c r="M227" s="16" t="n">
        <v>11</v>
      </c>
      <c r="N227" s="16" t="n">
        <v>0</v>
      </c>
      <c r="O227" s="9" t="str">
        <f aca="false">IF(B227="","",IFERROR(INDEX(Options!$G$6:$G$85,MATCH($B227,Options!$A$6:$A$85,0)),""))</f>
        <v>Letter</v>
      </c>
      <c r="P227" s="9" t="str">
        <f aca="false">IF(B227="","",IFERROR(INDEX(Options!$H$6:$H$85,MATCH($B227,Options!$A$6:$A$85,0)),""))</f>
        <v>Seasonal</v>
      </c>
      <c r="Q227" s="24" t="n">
        <f aca="false">IF(B227="",0,N(IFERROR(INDEX(Options!$J$6:$J$85,MATCH($B227,Options!$A$6:$A$85,0)),"")))</f>
        <v>55</v>
      </c>
      <c r="R227" s="25" t="n">
        <f aca="false">K227*Settings!$B$10+J227*Settings!$B$11+I227*Settings!$B$12+H227*Settings!$B$13</f>
        <v>0</v>
      </c>
      <c r="S227" s="25" t="n">
        <f aca="false">IFERROR(L227/Settings!$B$8,0)</f>
        <v>0.590909090909091</v>
      </c>
      <c r="T227" s="26" t="n">
        <f aca="false">IF(OR(B227="",P227="End of life"),0,W227*MIN(4,N227))</f>
        <v>0</v>
      </c>
      <c r="U227" s="27" t="n">
        <f aca="false">T227*Q227</f>
        <v>0</v>
      </c>
      <c r="V227" s="14" t="n">
        <f aca="false">IF(B227="",0,G227*N(IFERROR(INDEX(Options!$K$6:$K$85,MATCH($B227,Options!$A$6:$A$85,0)),"")))</f>
        <v>334.4</v>
      </c>
      <c r="W227" s="26" t="n">
        <f aca="false">IF(B227="",0,IF(N227&gt;=4,S227,(H227+I227+J227+K227)/(4-N227)))</f>
        <v>0</v>
      </c>
    </row>
    <row r="228" customFormat="false" ht="15" hidden="false" customHeight="false" outlineLevel="0" collapsed="false">
      <c r="A228" s="16" t="s">
        <v>558</v>
      </c>
      <c r="B228" s="16" t="s">
        <v>272</v>
      </c>
      <c r="C228" s="16" t="s">
        <v>331</v>
      </c>
      <c r="D228" s="16"/>
      <c r="E228" s="16" t="n">
        <v>25</v>
      </c>
      <c r="F228" s="16" t="n">
        <v>0</v>
      </c>
      <c r="G228" s="16" t="n">
        <v>8</v>
      </c>
      <c r="H228" s="16" t="n">
        <v>1</v>
      </c>
      <c r="I228" s="16" t="n">
        <v>1</v>
      </c>
      <c r="J228" s="16" t="n">
        <v>1</v>
      </c>
      <c r="K228" s="16" t="n">
        <v>1</v>
      </c>
      <c r="L228" s="16" t="n">
        <v>17</v>
      </c>
      <c r="M228" s="16" t="n">
        <v>15</v>
      </c>
      <c r="N228" s="16" t="n">
        <v>0</v>
      </c>
      <c r="O228" s="9" t="str">
        <f aca="false">IF(B228="","",IFERROR(INDEX(Options!$G$6:$G$85,MATCH($B228,Options!$A$6:$A$85,0)),""))</f>
        <v>Letter</v>
      </c>
      <c r="P228" s="9" t="str">
        <f aca="false">IF(B228="","",IFERROR(INDEX(Options!$H$6:$H$85,MATCH($B228,Options!$A$6:$A$85,0)),""))</f>
        <v>End of life</v>
      </c>
      <c r="Q228" s="24" t="n">
        <f aca="false">IF(B228="",0,N(IFERROR(INDEX(Options!$J$6:$J$85,MATCH($B228,Options!$A$6:$A$85,0)),"")))</f>
        <v>60</v>
      </c>
      <c r="R228" s="25" t="n">
        <f aca="false">K228*Settings!$B$10+J228*Settings!$B$11+I228*Settings!$B$12+H228*Settings!$B$13</f>
        <v>1</v>
      </c>
      <c r="S228" s="25" t="n">
        <f aca="false">IFERROR(L228/Settings!$B$8,0)</f>
        <v>0.772727272727273</v>
      </c>
      <c r="T228" s="26" t="n">
        <f aca="false">IF(OR(B228="",P228="End of life"),0,W228*MIN(4,N228))</f>
        <v>0</v>
      </c>
      <c r="U228" s="27" t="n">
        <f aca="false">T228*Q228</f>
        <v>0</v>
      </c>
      <c r="V228" s="14" t="n">
        <f aca="false">IF(B228="",0,G228*N(IFERROR(INDEX(Options!$K$6:$K$85,MATCH($B228,Options!$A$6:$A$85,0)),"")))</f>
        <v>182.4</v>
      </c>
      <c r="W228" s="26" t="n">
        <f aca="false">IF(B228="",0,IF(N228&gt;=4,S228,(H228+I228+J228+K228)/(4-N228)))</f>
        <v>1</v>
      </c>
    </row>
    <row r="229" customFormat="false" ht="15" hidden="false" customHeight="false" outlineLevel="0" collapsed="false">
      <c r="A229" s="16" t="s">
        <v>559</v>
      </c>
      <c r="B229" s="16" t="s">
        <v>272</v>
      </c>
      <c r="C229" s="16" t="s">
        <v>333</v>
      </c>
      <c r="D229" s="16" t="s">
        <v>183</v>
      </c>
      <c r="E229" s="16" t="n">
        <v>55</v>
      </c>
      <c r="F229" s="16" t="n">
        <v>0</v>
      </c>
      <c r="G229" s="16" t="n">
        <v>7</v>
      </c>
      <c r="H229" s="16" t="n">
        <v>2</v>
      </c>
      <c r="I229" s="16" t="n">
        <v>3</v>
      </c>
      <c r="J229" s="16" t="n">
        <v>3</v>
      </c>
      <c r="K229" s="16" t="n">
        <v>4</v>
      </c>
      <c r="L229" s="16" t="n">
        <v>48</v>
      </c>
      <c r="M229" s="16" t="n">
        <v>42</v>
      </c>
      <c r="N229" s="16" t="n">
        <v>0</v>
      </c>
      <c r="O229" s="9" t="str">
        <f aca="false">IF(B229="","",IFERROR(INDEX(Options!$G$6:$G$85,MATCH($B229,Options!$A$6:$A$85,0)),""))</f>
        <v>Letter</v>
      </c>
      <c r="P229" s="9" t="str">
        <f aca="false">IF(B229="","",IFERROR(INDEX(Options!$H$6:$H$85,MATCH($B229,Options!$A$6:$A$85,0)),""))</f>
        <v>End of life</v>
      </c>
      <c r="Q229" s="24" t="n">
        <f aca="false">IF(B229="",0,N(IFERROR(INDEX(Options!$J$6:$J$85,MATCH($B229,Options!$A$6:$A$85,0)),"")))</f>
        <v>60</v>
      </c>
      <c r="R229" s="25" t="n">
        <f aca="false">K229*Settings!$B$10+J229*Settings!$B$11+I229*Settings!$B$12+H229*Settings!$B$13</f>
        <v>3.3</v>
      </c>
      <c r="S229" s="25" t="n">
        <f aca="false">IFERROR(L229/Settings!$B$8,0)</f>
        <v>2.18181818181818</v>
      </c>
      <c r="T229" s="26" t="n">
        <f aca="false">IF(OR(B229="",P229="End of life"),0,W229*MIN(4,N229))</f>
        <v>0</v>
      </c>
      <c r="U229" s="27" t="n">
        <f aca="false">T229*Q229</f>
        <v>0</v>
      </c>
      <c r="V229" s="14" t="n">
        <f aca="false">IF(B229="",0,G229*N(IFERROR(INDEX(Options!$K$6:$K$85,MATCH($B229,Options!$A$6:$A$85,0)),"")))</f>
        <v>159.6</v>
      </c>
      <c r="W229" s="26" t="n">
        <f aca="false">IF(B229="",0,IF(N229&gt;=4,S229,(H229+I229+J229+K229)/(4-N229)))</f>
        <v>3</v>
      </c>
    </row>
    <row r="230" customFormat="false" ht="15" hidden="false" customHeight="false" outlineLevel="0" collapsed="false">
      <c r="A230" s="16" t="s">
        <v>560</v>
      </c>
      <c r="B230" s="16" t="s">
        <v>272</v>
      </c>
      <c r="C230" s="16" t="s">
        <v>335</v>
      </c>
      <c r="D230" s="16" t="s">
        <v>183</v>
      </c>
      <c r="E230" s="16" t="n">
        <v>91</v>
      </c>
      <c r="F230" s="16" t="n">
        <v>0</v>
      </c>
      <c r="G230" s="16" t="n">
        <v>9</v>
      </c>
      <c r="H230" s="16" t="n">
        <v>5</v>
      </c>
      <c r="I230" s="16" t="n">
        <v>4</v>
      </c>
      <c r="J230" s="16" t="n">
        <v>5</v>
      </c>
      <c r="K230" s="16" t="n">
        <v>6</v>
      </c>
      <c r="L230" s="16" t="n">
        <v>82</v>
      </c>
      <c r="M230" s="16" t="n">
        <v>72</v>
      </c>
      <c r="N230" s="16" t="n">
        <v>0</v>
      </c>
      <c r="O230" s="9" t="str">
        <f aca="false">IF(B230="","",IFERROR(INDEX(Options!$G$6:$G$85,MATCH($B230,Options!$A$6:$A$85,0)),""))</f>
        <v>Letter</v>
      </c>
      <c r="P230" s="9" t="str">
        <f aca="false">IF(B230="","",IFERROR(INDEX(Options!$H$6:$H$85,MATCH($B230,Options!$A$6:$A$85,0)),""))</f>
        <v>End of life</v>
      </c>
      <c r="Q230" s="24" t="n">
        <f aca="false">IF(B230="",0,N(IFERROR(INDEX(Options!$J$6:$J$85,MATCH($B230,Options!$A$6:$A$85,0)),"")))</f>
        <v>60</v>
      </c>
      <c r="R230" s="25" t="n">
        <f aca="false">K230*Settings!$B$10+J230*Settings!$B$11+I230*Settings!$B$12+H230*Settings!$B$13</f>
        <v>5.2</v>
      </c>
      <c r="S230" s="25" t="n">
        <f aca="false">IFERROR(L230/Settings!$B$8,0)</f>
        <v>3.72727272727273</v>
      </c>
      <c r="T230" s="26" t="n">
        <f aca="false">IF(OR(B230="",P230="End of life"),0,W230*MIN(4,N230))</f>
        <v>0</v>
      </c>
      <c r="U230" s="27" t="n">
        <f aca="false">T230*Q230</f>
        <v>0</v>
      </c>
      <c r="V230" s="14" t="n">
        <f aca="false">IF(B230="",0,G230*N(IFERROR(INDEX(Options!$K$6:$K$85,MATCH($B230,Options!$A$6:$A$85,0)),"")))</f>
        <v>205.2</v>
      </c>
      <c r="W230" s="26" t="n">
        <f aca="false">IF(B230="",0,IF(N230&gt;=4,S230,(H230+I230+J230+K230)/(4-N230)))</f>
        <v>5</v>
      </c>
    </row>
    <row r="231" customFormat="false" ht="15" hidden="false" customHeight="false" outlineLevel="0" collapsed="false">
      <c r="A231" s="16" t="s">
        <v>561</v>
      </c>
      <c r="B231" s="16" t="s">
        <v>272</v>
      </c>
      <c r="C231" s="16" t="s">
        <v>337</v>
      </c>
      <c r="D231" s="16" t="s">
        <v>183</v>
      </c>
      <c r="E231" s="16" t="n">
        <v>79</v>
      </c>
      <c r="F231" s="16" t="n">
        <v>0</v>
      </c>
      <c r="G231" s="16" t="n">
        <v>9</v>
      </c>
      <c r="H231" s="16" t="n">
        <v>3</v>
      </c>
      <c r="I231" s="16" t="n">
        <v>4</v>
      </c>
      <c r="J231" s="16" t="n">
        <v>5</v>
      </c>
      <c r="K231" s="16" t="n">
        <v>4</v>
      </c>
      <c r="L231" s="16" t="n">
        <v>70</v>
      </c>
      <c r="M231" s="16" t="n">
        <v>62</v>
      </c>
      <c r="N231" s="16" t="n">
        <v>0</v>
      </c>
      <c r="O231" s="9" t="str">
        <f aca="false">IF(B231="","",IFERROR(INDEX(Options!$G$6:$G$85,MATCH($B231,Options!$A$6:$A$85,0)),""))</f>
        <v>Letter</v>
      </c>
      <c r="P231" s="9" t="str">
        <f aca="false">IF(B231="","",IFERROR(INDEX(Options!$H$6:$H$85,MATCH($B231,Options!$A$6:$A$85,0)),""))</f>
        <v>End of life</v>
      </c>
      <c r="Q231" s="24" t="n">
        <f aca="false">IF(B231="",0,N(IFERROR(INDEX(Options!$J$6:$J$85,MATCH($B231,Options!$A$6:$A$85,0)),"")))</f>
        <v>60</v>
      </c>
      <c r="R231" s="25" t="n">
        <f aca="false">K231*Settings!$B$10+J231*Settings!$B$11+I231*Settings!$B$12+H231*Settings!$B$13</f>
        <v>4.2</v>
      </c>
      <c r="S231" s="25" t="n">
        <f aca="false">IFERROR(L231/Settings!$B$8,0)</f>
        <v>3.18181818181818</v>
      </c>
      <c r="T231" s="26" t="n">
        <f aca="false">IF(OR(B231="",P231="End of life"),0,W231*MIN(4,N231))</f>
        <v>0</v>
      </c>
      <c r="U231" s="27" t="n">
        <f aca="false">T231*Q231</f>
        <v>0</v>
      </c>
      <c r="V231" s="14" t="n">
        <f aca="false">IF(B231="",0,G231*N(IFERROR(INDEX(Options!$K$6:$K$85,MATCH($B231,Options!$A$6:$A$85,0)),"")))</f>
        <v>205.2</v>
      </c>
      <c r="W231" s="26" t="n">
        <f aca="false">IF(B231="",0,IF(N231&gt;=4,S231,(H231+I231+J231+K231)/(4-N231)))</f>
        <v>4</v>
      </c>
    </row>
    <row r="232" customFormat="false" ht="15" hidden="false" customHeight="false" outlineLevel="0" collapsed="false">
      <c r="A232" s="16" t="s">
        <v>562</v>
      </c>
      <c r="B232" s="16" t="s">
        <v>272</v>
      </c>
      <c r="C232" s="16" t="s">
        <v>339</v>
      </c>
      <c r="D232" s="16"/>
      <c r="E232" s="16" t="n">
        <v>42</v>
      </c>
      <c r="F232" s="16" t="n">
        <v>0</v>
      </c>
      <c r="G232" s="16" t="n">
        <v>2</v>
      </c>
      <c r="H232" s="16" t="n">
        <v>2</v>
      </c>
      <c r="I232" s="16" t="n">
        <v>2</v>
      </c>
      <c r="J232" s="16" t="n">
        <v>2</v>
      </c>
      <c r="K232" s="16" t="n">
        <v>2</v>
      </c>
      <c r="L232" s="16" t="n">
        <v>40</v>
      </c>
      <c r="M232" s="16" t="n">
        <v>35</v>
      </c>
      <c r="N232" s="16" t="n">
        <v>0</v>
      </c>
      <c r="O232" s="9" t="str">
        <f aca="false">IF(B232="","",IFERROR(INDEX(Options!$G$6:$G$85,MATCH($B232,Options!$A$6:$A$85,0)),""))</f>
        <v>Letter</v>
      </c>
      <c r="P232" s="9" t="str">
        <f aca="false">IF(B232="","",IFERROR(INDEX(Options!$H$6:$H$85,MATCH($B232,Options!$A$6:$A$85,0)),""))</f>
        <v>End of life</v>
      </c>
      <c r="Q232" s="24" t="n">
        <f aca="false">IF(B232="",0,N(IFERROR(INDEX(Options!$J$6:$J$85,MATCH($B232,Options!$A$6:$A$85,0)),"")))</f>
        <v>60</v>
      </c>
      <c r="R232" s="25" t="n">
        <f aca="false">K232*Settings!$B$10+J232*Settings!$B$11+I232*Settings!$B$12+H232*Settings!$B$13</f>
        <v>2</v>
      </c>
      <c r="S232" s="25" t="n">
        <f aca="false">IFERROR(L232/Settings!$B$8,0)</f>
        <v>1.81818181818182</v>
      </c>
      <c r="T232" s="26" t="n">
        <f aca="false">IF(OR(B232="",P232="End of life"),0,W232*MIN(4,N232))</f>
        <v>0</v>
      </c>
      <c r="U232" s="27" t="n">
        <f aca="false">T232*Q232</f>
        <v>0</v>
      </c>
      <c r="V232" s="14" t="n">
        <f aca="false">IF(B232="",0,G232*N(IFERROR(INDEX(Options!$K$6:$K$85,MATCH($B232,Options!$A$6:$A$85,0)),"")))</f>
        <v>45.6</v>
      </c>
      <c r="W232" s="26" t="n">
        <f aca="false">IF(B232="",0,IF(N232&gt;=4,S232,(H232+I232+J232+K232)/(4-N232)))</f>
        <v>2</v>
      </c>
    </row>
    <row r="233" customFormat="false" ht="15" hidden="false" customHeight="false" outlineLevel="0" collapsed="false">
      <c r="A233" s="16" t="s">
        <v>563</v>
      </c>
      <c r="B233" s="16" t="s">
        <v>272</v>
      </c>
      <c r="C233" s="16" t="s">
        <v>341</v>
      </c>
      <c r="D233" s="16"/>
      <c r="E233" s="16" t="n">
        <v>25</v>
      </c>
      <c r="F233" s="16" t="n">
        <v>0</v>
      </c>
      <c r="G233" s="16" t="n">
        <v>9</v>
      </c>
      <c r="H233" s="16" t="n">
        <v>1</v>
      </c>
      <c r="I233" s="16" t="n">
        <v>1</v>
      </c>
      <c r="J233" s="16" t="n">
        <v>1</v>
      </c>
      <c r="K233" s="16" t="n">
        <v>1</v>
      </c>
      <c r="L233" s="16" t="n">
        <v>16</v>
      </c>
      <c r="M233" s="16" t="n">
        <v>14</v>
      </c>
      <c r="N233" s="16" t="n">
        <v>0</v>
      </c>
      <c r="O233" s="9" t="str">
        <f aca="false">IF(B233="","",IFERROR(INDEX(Options!$G$6:$G$85,MATCH($B233,Options!$A$6:$A$85,0)),""))</f>
        <v>Letter</v>
      </c>
      <c r="P233" s="9" t="str">
        <f aca="false">IF(B233="","",IFERROR(INDEX(Options!$H$6:$H$85,MATCH($B233,Options!$A$6:$A$85,0)),""))</f>
        <v>End of life</v>
      </c>
      <c r="Q233" s="24" t="n">
        <f aca="false">IF(B233="",0,N(IFERROR(INDEX(Options!$J$6:$J$85,MATCH($B233,Options!$A$6:$A$85,0)),"")))</f>
        <v>60</v>
      </c>
      <c r="R233" s="25" t="n">
        <f aca="false">K233*Settings!$B$10+J233*Settings!$B$11+I233*Settings!$B$12+H233*Settings!$B$13</f>
        <v>1</v>
      </c>
      <c r="S233" s="25" t="n">
        <f aca="false">IFERROR(L233/Settings!$B$8,0)</f>
        <v>0.727272727272727</v>
      </c>
      <c r="T233" s="26" t="n">
        <f aca="false">IF(OR(B233="",P233="End of life"),0,W233*MIN(4,N233))</f>
        <v>0</v>
      </c>
      <c r="U233" s="27" t="n">
        <f aca="false">T233*Q233</f>
        <v>0</v>
      </c>
      <c r="V233" s="14" t="n">
        <f aca="false">IF(B233="",0,G233*N(IFERROR(INDEX(Options!$K$6:$K$85,MATCH($B233,Options!$A$6:$A$85,0)),"")))</f>
        <v>205.2</v>
      </c>
      <c r="W233" s="26" t="n">
        <f aca="false">IF(B233="",0,IF(N233&gt;=4,S233,(H233+I233+J233+K233)/(4-N233)))</f>
        <v>1</v>
      </c>
    </row>
    <row r="234" customFormat="false" ht="15" hidden="false" customHeight="false" outlineLevel="0" collapsed="false">
      <c r="A234" s="16" t="s">
        <v>564</v>
      </c>
      <c r="B234" s="16" t="s">
        <v>274</v>
      </c>
      <c r="C234" s="16" t="s">
        <v>331</v>
      </c>
      <c r="D234" s="16"/>
      <c r="E234" s="16" t="n">
        <v>66</v>
      </c>
      <c r="F234" s="16" t="n">
        <v>0</v>
      </c>
      <c r="G234" s="16" t="n">
        <v>48</v>
      </c>
      <c r="H234" s="16" t="n">
        <v>0</v>
      </c>
      <c r="I234" s="16" t="n">
        <v>0</v>
      </c>
      <c r="J234" s="16" t="n">
        <v>0</v>
      </c>
      <c r="K234" s="16" t="n">
        <v>0</v>
      </c>
      <c r="L234" s="16" t="n">
        <v>18</v>
      </c>
      <c r="M234" s="16" t="n">
        <v>11</v>
      </c>
      <c r="N234" s="16" t="n">
        <v>0</v>
      </c>
      <c r="O234" s="9" t="str">
        <f aca="false">IF(B234="","",IFERROR(INDEX(Options!$G$6:$G$85,MATCH($B234,Options!$A$6:$A$85,0)),""))</f>
        <v>Letter</v>
      </c>
      <c r="P234" s="9" t="str">
        <f aca="false">IF(B234="","",IFERROR(INDEX(Options!$H$6:$H$85,MATCH($B234,Options!$A$6:$A$85,0)),""))</f>
        <v>Seasonal</v>
      </c>
      <c r="Q234" s="24" t="n">
        <f aca="false">IF(B234="",0,N(IFERROR(INDEX(Options!$J$6:$J$85,MATCH($B234,Options!$A$6:$A$85,0)),"")))</f>
        <v>60</v>
      </c>
      <c r="R234" s="25" t="n">
        <f aca="false">K234*Settings!$B$10+J234*Settings!$B$11+I234*Settings!$B$12+H234*Settings!$B$13</f>
        <v>0</v>
      </c>
      <c r="S234" s="25" t="n">
        <f aca="false">IFERROR(L234/Settings!$B$8,0)</f>
        <v>0.818181818181818</v>
      </c>
      <c r="T234" s="26" t="n">
        <f aca="false">IF(OR(B234="",P234="End of life"),0,W234*MIN(4,N234))</f>
        <v>0</v>
      </c>
      <c r="U234" s="27" t="n">
        <f aca="false">T234*Q234</f>
        <v>0</v>
      </c>
      <c r="V234" s="14" t="n">
        <f aca="false">IF(B234="",0,G234*N(IFERROR(INDEX(Options!$K$6:$K$85,MATCH($B234,Options!$A$6:$A$85,0)),"")))</f>
        <v>1094.4</v>
      </c>
      <c r="W234" s="26" t="n">
        <f aca="false">IF(B234="",0,IF(N234&gt;=4,S234,(H234+I234+J234+K234)/(4-N234)))</f>
        <v>0</v>
      </c>
    </row>
    <row r="235" customFormat="false" ht="15" hidden="false" customHeight="false" outlineLevel="0" collapsed="false">
      <c r="A235" s="16" t="s">
        <v>565</v>
      </c>
      <c r="B235" s="16" t="s">
        <v>274</v>
      </c>
      <c r="C235" s="16" t="s">
        <v>333</v>
      </c>
      <c r="D235" s="16" t="s">
        <v>183</v>
      </c>
      <c r="E235" s="16" t="n">
        <v>147</v>
      </c>
      <c r="F235" s="16" t="n">
        <v>0</v>
      </c>
      <c r="G235" s="16" t="n">
        <v>88</v>
      </c>
      <c r="H235" s="16" t="n">
        <v>1</v>
      </c>
      <c r="I235" s="16" t="n">
        <v>1</v>
      </c>
      <c r="J235" s="16" t="n">
        <v>1</v>
      </c>
      <c r="K235" s="16" t="n">
        <v>1</v>
      </c>
      <c r="L235" s="16" t="n">
        <v>59</v>
      </c>
      <c r="M235" s="16" t="n">
        <v>35</v>
      </c>
      <c r="N235" s="16" t="n">
        <v>0</v>
      </c>
      <c r="O235" s="9" t="str">
        <f aca="false">IF(B235="","",IFERROR(INDEX(Options!$G$6:$G$85,MATCH($B235,Options!$A$6:$A$85,0)),""))</f>
        <v>Letter</v>
      </c>
      <c r="P235" s="9" t="str">
        <f aca="false">IF(B235="","",IFERROR(INDEX(Options!$H$6:$H$85,MATCH($B235,Options!$A$6:$A$85,0)),""))</f>
        <v>Seasonal</v>
      </c>
      <c r="Q235" s="24" t="n">
        <f aca="false">IF(B235="",0,N(IFERROR(INDEX(Options!$J$6:$J$85,MATCH($B235,Options!$A$6:$A$85,0)),"")))</f>
        <v>60</v>
      </c>
      <c r="R235" s="25" t="n">
        <f aca="false">K235*Settings!$B$10+J235*Settings!$B$11+I235*Settings!$B$12+H235*Settings!$B$13</f>
        <v>1</v>
      </c>
      <c r="S235" s="25" t="n">
        <f aca="false">IFERROR(L235/Settings!$B$8,0)</f>
        <v>2.68181818181818</v>
      </c>
      <c r="T235" s="26" t="n">
        <f aca="false">IF(OR(B235="",P235="End of life"),0,W235*MIN(4,N235))</f>
        <v>0</v>
      </c>
      <c r="U235" s="27" t="n">
        <f aca="false">T235*Q235</f>
        <v>0</v>
      </c>
      <c r="V235" s="14" t="n">
        <f aca="false">IF(B235="",0,G235*N(IFERROR(INDEX(Options!$K$6:$K$85,MATCH($B235,Options!$A$6:$A$85,0)),"")))</f>
        <v>2006.4</v>
      </c>
      <c r="W235" s="26" t="n">
        <f aca="false">IF(B235="",0,IF(N235&gt;=4,S235,(H235+I235+J235+K235)/(4-N235)))</f>
        <v>1</v>
      </c>
    </row>
    <row r="236" customFormat="false" ht="15" hidden="false" customHeight="false" outlineLevel="0" collapsed="false">
      <c r="A236" s="16" t="s">
        <v>566</v>
      </c>
      <c r="B236" s="16" t="s">
        <v>274</v>
      </c>
      <c r="C236" s="16" t="s">
        <v>335</v>
      </c>
      <c r="D236" s="16" t="s">
        <v>183</v>
      </c>
      <c r="E236" s="16" t="n">
        <v>246</v>
      </c>
      <c r="F236" s="16" t="n">
        <v>0</v>
      </c>
      <c r="G236" s="16" t="n">
        <v>144</v>
      </c>
      <c r="H236" s="16" t="n">
        <v>1</v>
      </c>
      <c r="I236" s="16" t="n">
        <v>1</v>
      </c>
      <c r="J236" s="16" t="n">
        <v>1</v>
      </c>
      <c r="K236" s="16" t="n">
        <v>1</v>
      </c>
      <c r="L236" s="16" t="n">
        <v>102</v>
      </c>
      <c r="M236" s="16" t="n">
        <v>61</v>
      </c>
      <c r="N236" s="16" t="n">
        <v>0</v>
      </c>
      <c r="O236" s="9" t="str">
        <f aca="false">IF(B236="","",IFERROR(INDEX(Options!$G$6:$G$85,MATCH($B236,Options!$A$6:$A$85,0)),""))</f>
        <v>Letter</v>
      </c>
      <c r="P236" s="9" t="str">
        <f aca="false">IF(B236="","",IFERROR(INDEX(Options!$H$6:$H$85,MATCH($B236,Options!$A$6:$A$85,0)),""))</f>
        <v>Seasonal</v>
      </c>
      <c r="Q236" s="24" t="n">
        <f aca="false">IF(B236="",0,N(IFERROR(INDEX(Options!$J$6:$J$85,MATCH($B236,Options!$A$6:$A$85,0)),"")))</f>
        <v>60</v>
      </c>
      <c r="R236" s="25" t="n">
        <f aca="false">K236*Settings!$B$10+J236*Settings!$B$11+I236*Settings!$B$12+H236*Settings!$B$13</f>
        <v>1</v>
      </c>
      <c r="S236" s="25" t="n">
        <f aca="false">IFERROR(L236/Settings!$B$8,0)</f>
        <v>4.63636363636364</v>
      </c>
      <c r="T236" s="26" t="n">
        <f aca="false">IF(OR(B236="",P236="End of life"),0,W236*MIN(4,N236))</f>
        <v>0</v>
      </c>
      <c r="U236" s="27" t="n">
        <f aca="false">T236*Q236</f>
        <v>0</v>
      </c>
      <c r="V236" s="14" t="n">
        <f aca="false">IF(B236="",0,G236*N(IFERROR(INDEX(Options!$K$6:$K$85,MATCH($B236,Options!$A$6:$A$85,0)),"")))</f>
        <v>3283.2</v>
      </c>
      <c r="W236" s="26" t="n">
        <f aca="false">IF(B236="",0,IF(N236&gt;=4,S236,(H236+I236+J236+K236)/(4-N236)))</f>
        <v>1</v>
      </c>
    </row>
    <row r="237" customFormat="false" ht="15" hidden="false" customHeight="false" outlineLevel="0" collapsed="false">
      <c r="A237" s="16" t="s">
        <v>567</v>
      </c>
      <c r="B237" s="16" t="s">
        <v>274</v>
      </c>
      <c r="C237" s="16" t="s">
        <v>337</v>
      </c>
      <c r="D237" s="16" t="s">
        <v>183</v>
      </c>
      <c r="E237" s="16" t="n">
        <v>213</v>
      </c>
      <c r="F237" s="16" t="n">
        <v>0</v>
      </c>
      <c r="G237" s="16" t="n">
        <v>125</v>
      </c>
      <c r="H237" s="16" t="n">
        <v>1</v>
      </c>
      <c r="I237" s="16" t="n">
        <v>1</v>
      </c>
      <c r="J237" s="16" t="n">
        <v>1</v>
      </c>
      <c r="K237" s="16" t="n">
        <v>1</v>
      </c>
      <c r="L237" s="16" t="n">
        <v>88</v>
      </c>
      <c r="M237" s="16" t="n">
        <v>53</v>
      </c>
      <c r="N237" s="16" t="n">
        <v>0</v>
      </c>
      <c r="O237" s="9" t="str">
        <f aca="false">IF(B237="","",IFERROR(INDEX(Options!$G$6:$G$85,MATCH($B237,Options!$A$6:$A$85,0)),""))</f>
        <v>Letter</v>
      </c>
      <c r="P237" s="9" t="str">
        <f aca="false">IF(B237="","",IFERROR(INDEX(Options!$H$6:$H$85,MATCH($B237,Options!$A$6:$A$85,0)),""))</f>
        <v>Seasonal</v>
      </c>
      <c r="Q237" s="24" t="n">
        <f aca="false">IF(B237="",0,N(IFERROR(INDEX(Options!$J$6:$J$85,MATCH($B237,Options!$A$6:$A$85,0)),"")))</f>
        <v>60</v>
      </c>
      <c r="R237" s="25" t="n">
        <f aca="false">K237*Settings!$B$10+J237*Settings!$B$11+I237*Settings!$B$12+H237*Settings!$B$13</f>
        <v>1</v>
      </c>
      <c r="S237" s="25" t="n">
        <f aca="false">IFERROR(L237/Settings!$B$8,0)</f>
        <v>4</v>
      </c>
      <c r="T237" s="26" t="n">
        <f aca="false">IF(OR(B237="",P237="End of life"),0,W237*MIN(4,N237))</f>
        <v>0</v>
      </c>
      <c r="U237" s="27" t="n">
        <f aca="false">T237*Q237</f>
        <v>0</v>
      </c>
      <c r="V237" s="14" t="n">
        <f aca="false">IF(B237="",0,G237*N(IFERROR(INDEX(Options!$K$6:$K$85,MATCH($B237,Options!$A$6:$A$85,0)),"")))</f>
        <v>2850</v>
      </c>
      <c r="W237" s="26" t="n">
        <f aca="false">IF(B237="",0,IF(N237&gt;=4,S237,(H237+I237+J237+K237)/(4-N237)))</f>
        <v>1</v>
      </c>
    </row>
    <row r="238" customFormat="false" ht="15" hidden="false" customHeight="false" outlineLevel="0" collapsed="false">
      <c r="A238" s="16" t="s">
        <v>568</v>
      </c>
      <c r="B238" s="16" t="s">
        <v>274</v>
      </c>
      <c r="C238" s="16" t="s">
        <v>339</v>
      </c>
      <c r="D238" s="16"/>
      <c r="E238" s="16" t="n">
        <v>115</v>
      </c>
      <c r="F238" s="16" t="n">
        <v>0</v>
      </c>
      <c r="G238" s="16" t="n">
        <v>71</v>
      </c>
      <c r="H238" s="16" t="n">
        <v>0</v>
      </c>
      <c r="I238" s="16" t="n">
        <v>0</v>
      </c>
      <c r="J238" s="16" t="n">
        <v>1</v>
      </c>
      <c r="K238" s="16" t="n">
        <v>0</v>
      </c>
      <c r="L238" s="16" t="n">
        <v>44</v>
      </c>
      <c r="M238" s="16" t="n">
        <v>26</v>
      </c>
      <c r="N238" s="16" t="n">
        <v>0</v>
      </c>
      <c r="O238" s="9" t="str">
        <f aca="false">IF(B238="","",IFERROR(INDEX(Options!$G$6:$G$85,MATCH($B238,Options!$A$6:$A$85,0)),""))</f>
        <v>Letter</v>
      </c>
      <c r="P238" s="9" t="str">
        <f aca="false">IF(B238="","",IFERROR(INDEX(Options!$H$6:$H$85,MATCH($B238,Options!$A$6:$A$85,0)),""))</f>
        <v>Seasonal</v>
      </c>
      <c r="Q238" s="24" t="n">
        <f aca="false">IF(B238="",0,N(IFERROR(INDEX(Options!$J$6:$J$85,MATCH($B238,Options!$A$6:$A$85,0)),"")))</f>
        <v>60</v>
      </c>
      <c r="R238" s="25" t="n">
        <f aca="false">K238*Settings!$B$10+J238*Settings!$B$11+I238*Settings!$B$12+H238*Settings!$B$13</f>
        <v>0.3</v>
      </c>
      <c r="S238" s="25" t="n">
        <f aca="false">IFERROR(L238/Settings!$B$8,0)</f>
        <v>2</v>
      </c>
      <c r="T238" s="26" t="n">
        <f aca="false">IF(OR(B238="",P238="End of life"),0,W238*MIN(4,N238))</f>
        <v>0</v>
      </c>
      <c r="U238" s="27" t="n">
        <f aca="false">T238*Q238</f>
        <v>0</v>
      </c>
      <c r="V238" s="14" t="n">
        <f aca="false">IF(B238="",0,G238*N(IFERROR(INDEX(Options!$K$6:$K$85,MATCH($B238,Options!$A$6:$A$85,0)),"")))</f>
        <v>1618.8</v>
      </c>
      <c r="W238" s="26" t="n">
        <f aca="false">IF(B238="",0,IF(N238&gt;=4,S238,(H238+I238+J238+K238)/(4-N238)))</f>
        <v>0.25</v>
      </c>
    </row>
    <row r="239" customFormat="false" ht="15" hidden="false" customHeight="false" outlineLevel="0" collapsed="false">
      <c r="A239" s="16" t="s">
        <v>569</v>
      </c>
      <c r="B239" s="16" t="s">
        <v>274</v>
      </c>
      <c r="C239" s="16" t="s">
        <v>341</v>
      </c>
      <c r="D239" s="16"/>
      <c r="E239" s="16" t="n">
        <v>66</v>
      </c>
      <c r="F239" s="16" t="n">
        <v>0</v>
      </c>
      <c r="G239" s="16" t="n">
        <v>47</v>
      </c>
      <c r="H239" s="16" t="n">
        <v>0</v>
      </c>
      <c r="I239" s="16" t="n">
        <v>0</v>
      </c>
      <c r="J239" s="16" t="n">
        <v>0</v>
      </c>
      <c r="K239" s="16" t="n">
        <v>0</v>
      </c>
      <c r="L239" s="16" t="n">
        <v>19</v>
      </c>
      <c r="M239" s="16" t="n">
        <v>11</v>
      </c>
      <c r="N239" s="16" t="n">
        <v>0</v>
      </c>
      <c r="O239" s="9" t="str">
        <f aca="false">IF(B239="","",IFERROR(INDEX(Options!$G$6:$G$85,MATCH($B239,Options!$A$6:$A$85,0)),""))</f>
        <v>Letter</v>
      </c>
      <c r="P239" s="9" t="str">
        <f aca="false">IF(B239="","",IFERROR(INDEX(Options!$H$6:$H$85,MATCH($B239,Options!$A$6:$A$85,0)),""))</f>
        <v>Seasonal</v>
      </c>
      <c r="Q239" s="24" t="n">
        <f aca="false">IF(B239="",0,N(IFERROR(INDEX(Options!$J$6:$J$85,MATCH($B239,Options!$A$6:$A$85,0)),"")))</f>
        <v>60</v>
      </c>
      <c r="R239" s="25" t="n">
        <f aca="false">K239*Settings!$B$10+J239*Settings!$B$11+I239*Settings!$B$12+H239*Settings!$B$13</f>
        <v>0</v>
      </c>
      <c r="S239" s="25" t="n">
        <f aca="false">IFERROR(L239/Settings!$B$8,0)</f>
        <v>0.863636363636364</v>
      </c>
      <c r="T239" s="26" t="n">
        <f aca="false">IF(OR(B239="",P239="End of life"),0,W239*MIN(4,N239))</f>
        <v>0</v>
      </c>
      <c r="U239" s="27" t="n">
        <f aca="false">T239*Q239</f>
        <v>0</v>
      </c>
      <c r="V239" s="14" t="n">
        <f aca="false">IF(B239="",0,G239*N(IFERROR(INDEX(Options!$K$6:$K$85,MATCH($B239,Options!$A$6:$A$85,0)),"")))</f>
        <v>1071.6</v>
      </c>
      <c r="W239" s="26" t="n">
        <f aca="false">IF(B239="",0,IF(N239&gt;=4,S239,(H239+I239+J239+K239)/(4-N239)))</f>
        <v>0</v>
      </c>
    </row>
    <row r="240" customFormat="false" ht="15" hidden="false" customHeight="false" outlineLevel="0" collapsed="false">
      <c r="A240" s="16" t="s">
        <v>570</v>
      </c>
      <c r="B240" s="16" t="s">
        <v>275</v>
      </c>
      <c r="C240" s="16" t="s">
        <v>331</v>
      </c>
      <c r="D240" s="16"/>
      <c r="E240" s="16" t="n">
        <v>23</v>
      </c>
      <c r="F240" s="16" t="n">
        <v>0</v>
      </c>
      <c r="G240" s="16" t="n">
        <v>10</v>
      </c>
      <c r="H240" s="16" t="n">
        <v>1</v>
      </c>
      <c r="I240" s="16" t="n">
        <v>1</v>
      </c>
      <c r="J240" s="16" t="n">
        <v>1</v>
      </c>
      <c r="K240" s="16" t="n">
        <v>1</v>
      </c>
      <c r="L240" s="16" t="n">
        <v>13</v>
      </c>
      <c r="M240" s="16" t="n">
        <v>11</v>
      </c>
      <c r="N240" s="16" t="n">
        <v>0</v>
      </c>
      <c r="O240" s="9" t="str">
        <f aca="false">IF(B240="","",IFERROR(INDEX(Options!$G$6:$G$85,MATCH($B240,Options!$A$6:$A$85,0)),""))</f>
        <v>Letter</v>
      </c>
      <c r="P240" s="9" t="str">
        <f aca="false">IF(B240="","",IFERROR(INDEX(Options!$H$6:$H$85,MATCH($B240,Options!$A$6:$A$85,0)),""))</f>
        <v>Seasonal</v>
      </c>
      <c r="Q240" s="24" t="n">
        <f aca="false">IF(B240="",0,N(IFERROR(INDEX(Options!$J$6:$J$85,MATCH($B240,Options!$A$6:$A$85,0)),"")))</f>
        <v>55</v>
      </c>
      <c r="R240" s="25" t="n">
        <f aca="false">K240*Settings!$B$10+J240*Settings!$B$11+I240*Settings!$B$12+H240*Settings!$B$13</f>
        <v>1</v>
      </c>
      <c r="S240" s="25" t="n">
        <f aca="false">IFERROR(L240/Settings!$B$8,0)</f>
        <v>0.590909090909091</v>
      </c>
      <c r="T240" s="26" t="n">
        <f aca="false">IF(OR(B240="",P240="End of life"),0,W240*MIN(4,N240))</f>
        <v>0</v>
      </c>
      <c r="U240" s="27" t="n">
        <f aca="false">T240*Q240</f>
        <v>0</v>
      </c>
      <c r="V240" s="14" t="n">
        <f aca="false">IF(B240="",0,G240*N(IFERROR(INDEX(Options!$K$6:$K$85,MATCH($B240,Options!$A$6:$A$85,0)),"")))</f>
        <v>209</v>
      </c>
      <c r="W240" s="26" t="n">
        <f aca="false">IF(B240="",0,IF(N240&gt;=4,S240,(H240+I240+J240+K240)/(4-N240)))</f>
        <v>1</v>
      </c>
    </row>
    <row r="241" customFormat="false" ht="15" hidden="false" customHeight="false" outlineLevel="0" collapsed="false">
      <c r="A241" s="16" t="s">
        <v>571</v>
      </c>
      <c r="B241" s="16" t="s">
        <v>275</v>
      </c>
      <c r="C241" s="16" t="s">
        <v>333</v>
      </c>
      <c r="D241" s="16" t="s">
        <v>183</v>
      </c>
      <c r="E241" s="16" t="n">
        <v>51</v>
      </c>
      <c r="F241" s="16" t="n">
        <v>0</v>
      </c>
      <c r="G241" s="16" t="n">
        <v>11</v>
      </c>
      <c r="H241" s="16" t="n">
        <v>1</v>
      </c>
      <c r="I241" s="16" t="n">
        <v>2</v>
      </c>
      <c r="J241" s="16" t="n">
        <v>2</v>
      </c>
      <c r="K241" s="16" t="n">
        <v>2</v>
      </c>
      <c r="L241" s="16" t="n">
        <v>40</v>
      </c>
      <c r="M241" s="16" t="n">
        <v>35</v>
      </c>
      <c r="N241" s="16" t="n">
        <v>0</v>
      </c>
      <c r="O241" s="9" t="str">
        <f aca="false">IF(B241="","",IFERROR(INDEX(Options!$G$6:$G$85,MATCH($B241,Options!$A$6:$A$85,0)),""))</f>
        <v>Letter</v>
      </c>
      <c r="P241" s="9" t="str">
        <f aca="false">IF(B241="","",IFERROR(INDEX(Options!$H$6:$H$85,MATCH($B241,Options!$A$6:$A$85,0)),""))</f>
        <v>Seasonal</v>
      </c>
      <c r="Q241" s="24" t="n">
        <f aca="false">IF(B241="",0,N(IFERROR(INDEX(Options!$J$6:$J$85,MATCH($B241,Options!$A$6:$A$85,0)),"")))</f>
        <v>55</v>
      </c>
      <c r="R241" s="25" t="n">
        <f aca="false">K241*Settings!$B$10+J241*Settings!$B$11+I241*Settings!$B$12+H241*Settings!$B$13</f>
        <v>1.9</v>
      </c>
      <c r="S241" s="25" t="n">
        <f aca="false">IFERROR(L241/Settings!$B$8,0)</f>
        <v>1.81818181818182</v>
      </c>
      <c r="T241" s="26" t="n">
        <f aca="false">IF(OR(B241="",P241="End of life"),0,W241*MIN(4,N241))</f>
        <v>0</v>
      </c>
      <c r="U241" s="27" t="n">
        <f aca="false">T241*Q241</f>
        <v>0</v>
      </c>
      <c r="V241" s="14" t="n">
        <f aca="false">IF(B241="",0,G241*N(IFERROR(INDEX(Options!$K$6:$K$85,MATCH($B241,Options!$A$6:$A$85,0)),"")))</f>
        <v>229.9</v>
      </c>
      <c r="W241" s="26" t="n">
        <f aca="false">IF(B241="",0,IF(N241&gt;=4,S241,(H241+I241+J241+K241)/(4-N241)))</f>
        <v>1.75</v>
      </c>
    </row>
    <row r="242" customFormat="false" ht="15" hidden="false" customHeight="false" outlineLevel="0" collapsed="false">
      <c r="A242" s="16" t="s">
        <v>572</v>
      </c>
      <c r="B242" s="16" t="s">
        <v>275</v>
      </c>
      <c r="C242" s="16" t="s">
        <v>335</v>
      </c>
      <c r="D242" s="16" t="s">
        <v>183</v>
      </c>
      <c r="E242" s="16" t="n">
        <v>85</v>
      </c>
      <c r="F242" s="16" t="n">
        <v>0</v>
      </c>
      <c r="G242" s="16" t="n">
        <v>17</v>
      </c>
      <c r="H242" s="16" t="n">
        <v>3</v>
      </c>
      <c r="I242" s="16" t="n">
        <v>3</v>
      </c>
      <c r="J242" s="16" t="n">
        <v>3</v>
      </c>
      <c r="K242" s="16" t="n">
        <v>3</v>
      </c>
      <c r="L242" s="16" t="n">
        <v>68</v>
      </c>
      <c r="M242" s="16" t="n">
        <v>60</v>
      </c>
      <c r="N242" s="16" t="n">
        <v>0</v>
      </c>
      <c r="O242" s="9" t="str">
        <f aca="false">IF(B242="","",IFERROR(INDEX(Options!$G$6:$G$85,MATCH($B242,Options!$A$6:$A$85,0)),""))</f>
        <v>Letter</v>
      </c>
      <c r="P242" s="9" t="str">
        <f aca="false">IF(B242="","",IFERROR(INDEX(Options!$H$6:$H$85,MATCH($B242,Options!$A$6:$A$85,0)),""))</f>
        <v>Seasonal</v>
      </c>
      <c r="Q242" s="24" t="n">
        <f aca="false">IF(B242="",0,N(IFERROR(INDEX(Options!$J$6:$J$85,MATCH($B242,Options!$A$6:$A$85,0)),"")))</f>
        <v>55</v>
      </c>
      <c r="R242" s="25" t="n">
        <f aca="false">K242*Settings!$B$10+J242*Settings!$B$11+I242*Settings!$B$12+H242*Settings!$B$13</f>
        <v>3</v>
      </c>
      <c r="S242" s="25" t="n">
        <f aca="false">IFERROR(L242/Settings!$B$8,0)</f>
        <v>3.09090909090909</v>
      </c>
      <c r="T242" s="26" t="n">
        <f aca="false">IF(OR(B242="",P242="End of life"),0,W242*MIN(4,N242))</f>
        <v>0</v>
      </c>
      <c r="U242" s="27" t="n">
        <f aca="false">T242*Q242</f>
        <v>0</v>
      </c>
      <c r="V242" s="14" t="n">
        <f aca="false">IF(B242="",0,G242*N(IFERROR(INDEX(Options!$K$6:$K$85,MATCH($B242,Options!$A$6:$A$85,0)),"")))</f>
        <v>355.3</v>
      </c>
      <c r="W242" s="26" t="n">
        <f aca="false">IF(B242="",0,IF(N242&gt;=4,S242,(H242+I242+J242+K242)/(4-N242)))</f>
        <v>3</v>
      </c>
    </row>
    <row r="243" customFormat="false" ht="15" hidden="false" customHeight="false" outlineLevel="0" collapsed="false">
      <c r="A243" s="16" t="s">
        <v>573</v>
      </c>
      <c r="B243" s="16" t="s">
        <v>275</v>
      </c>
      <c r="C243" s="16" t="s">
        <v>337</v>
      </c>
      <c r="D243" s="16" t="s">
        <v>183</v>
      </c>
      <c r="E243" s="16" t="n">
        <v>73</v>
      </c>
      <c r="F243" s="16" t="n">
        <v>0</v>
      </c>
      <c r="G243" s="16" t="n">
        <v>16</v>
      </c>
      <c r="H243" s="16" t="n">
        <v>3</v>
      </c>
      <c r="I243" s="16" t="n">
        <v>3</v>
      </c>
      <c r="J243" s="16" t="n">
        <v>3</v>
      </c>
      <c r="K243" s="16" t="n">
        <v>3</v>
      </c>
      <c r="L243" s="16" t="n">
        <v>57</v>
      </c>
      <c r="M243" s="16" t="n">
        <v>50</v>
      </c>
      <c r="N243" s="16" t="n">
        <v>0</v>
      </c>
      <c r="O243" s="9" t="str">
        <f aca="false">IF(B243="","",IFERROR(INDEX(Options!$G$6:$G$85,MATCH($B243,Options!$A$6:$A$85,0)),""))</f>
        <v>Letter</v>
      </c>
      <c r="P243" s="9" t="str">
        <f aca="false">IF(B243="","",IFERROR(INDEX(Options!$H$6:$H$85,MATCH($B243,Options!$A$6:$A$85,0)),""))</f>
        <v>Seasonal</v>
      </c>
      <c r="Q243" s="24" t="n">
        <f aca="false">IF(B243="",0,N(IFERROR(INDEX(Options!$J$6:$J$85,MATCH($B243,Options!$A$6:$A$85,0)),"")))</f>
        <v>55</v>
      </c>
      <c r="R243" s="25" t="n">
        <f aca="false">K243*Settings!$B$10+J243*Settings!$B$11+I243*Settings!$B$12+H243*Settings!$B$13</f>
        <v>3</v>
      </c>
      <c r="S243" s="25" t="n">
        <f aca="false">IFERROR(L243/Settings!$B$8,0)</f>
        <v>2.59090909090909</v>
      </c>
      <c r="T243" s="26" t="n">
        <f aca="false">IF(OR(B243="",P243="End of life"),0,W243*MIN(4,N243))</f>
        <v>0</v>
      </c>
      <c r="U243" s="27" t="n">
        <f aca="false">T243*Q243</f>
        <v>0</v>
      </c>
      <c r="V243" s="14" t="n">
        <f aca="false">IF(B243="",0,G243*N(IFERROR(INDEX(Options!$K$6:$K$85,MATCH($B243,Options!$A$6:$A$85,0)),"")))</f>
        <v>334.4</v>
      </c>
      <c r="W243" s="26" t="n">
        <f aca="false">IF(B243="",0,IF(N243&gt;=4,S243,(H243+I243+J243+K243)/(4-N243)))</f>
        <v>3</v>
      </c>
    </row>
    <row r="244" customFormat="false" ht="15" hidden="false" customHeight="false" outlineLevel="0" collapsed="false">
      <c r="A244" s="16" t="s">
        <v>574</v>
      </c>
      <c r="B244" s="16" t="s">
        <v>275</v>
      </c>
      <c r="C244" s="16" t="s">
        <v>339</v>
      </c>
      <c r="D244" s="16"/>
      <c r="E244" s="16" t="n">
        <v>40</v>
      </c>
      <c r="F244" s="16" t="n">
        <v>0</v>
      </c>
      <c r="G244" s="16" t="n">
        <v>11</v>
      </c>
      <c r="H244" s="16" t="n">
        <v>1</v>
      </c>
      <c r="I244" s="16" t="n">
        <v>1</v>
      </c>
      <c r="J244" s="16" t="n">
        <v>1</v>
      </c>
      <c r="K244" s="16" t="n">
        <v>1</v>
      </c>
      <c r="L244" s="16" t="n">
        <v>29</v>
      </c>
      <c r="M244" s="16" t="n">
        <v>26</v>
      </c>
      <c r="N244" s="16" t="n">
        <v>0</v>
      </c>
      <c r="O244" s="9" t="str">
        <f aca="false">IF(B244="","",IFERROR(INDEX(Options!$G$6:$G$85,MATCH($B244,Options!$A$6:$A$85,0)),""))</f>
        <v>Letter</v>
      </c>
      <c r="P244" s="9" t="str">
        <f aca="false">IF(B244="","",IFERROR(INDEX(Options!$H$6:$H$85,MATCH($B244,Options!$A$6:$A$85,0)),""))</f>
        <v>Seasonal</v>
      </c>
      <c r="Q244" s="24" t="n">
        <f aca="false">IF(B244="",0,N(IFERROR(INDEX(Options!$J$6:$J$85,MATCH($B244,Options!$A$6:$A$85,0)),"")))</f>
        <v>55</v>
      </c>
      <c r="R244" s="25" t="n">
        <f aca="false">K244*Settings!$B$10+J244*Settings!$B$11+I244*Settings!$B$12+H244*Settings!$B$13</f>
        <v>1</v>
      </c>
      <c r="S244" s="25" t="n">
        <f aca="false">IFERROR(L244/Settings!$B$8,0)</f>
        <v>1.31818181818182</v>
      </c>
      <c r="T244" s="26" t="n">
        <f aca="false">IF(OR(B244="",P244="End of life"),0,W244*MIN(4,N244))</f>
        <v>0</v>
      </c>
      <c r="U244" s="27" t="n">
        <f aca="false">T244*Q244</f>
        <v>0</v>
      </c>
      <c r="V244" s="14" t="n">
        <f aca="false">IF(B244="",0,G244*N(IFERROR(INDEX(Options!$K$6:$K$85,MATCH($B244,Options!$A$6:$A$85,0)),"")))</f>
        <v>229.9</v>
      </c>
      <c r="W244" s="26" t="n">
        <f aca="false">IF(B244="",0,IF(N244&gt;=4,S244,(H244+I244+J244+K244)/(4-N244)))</f>
        <v>1</v>
      </c>
    </row>
    <row r="245" customFormat="false" ht="15" hidden="false" customHeight="false" outlineLevel="0" collapsed="false">
      <c r="A245" s="16" t="s">
        <v>575</v>
      </c>
      <c r="B245" s="16" t="s">
        <v>275</v>
      </c>
      <c r="C245" s="16" t="s">
        <v>341</v>
      </c>
      <c r="D245" s="16"/>
      <c r="E245" s="16" t="n">
        <v>23</v>
      </c>
      <c r="F245" s="16" t="n">
        <v>0</v>
      </c>
      <c r="G245" s="16" t="n">
        <v>10</v>
      </c>
      <c r="H245" s="16" t="n">
        <v>0</v>
      </c>
      <c r="I245" s="16" t="n">
        <v>1</v>
      </c>
      <c r="J245" s="16" t="n">
        <v>1</v>
      </c>
      <c r="K245" s="16" t="n">
        <v>1</v>
      </c>
      <c r="L245" s="16" t="n">
        <v>13</v>
      </c>
      <c r="M245" s="16" t="n">
        <v>11</v>
      </c>
      <c r="N245" s="16" t="n">
        <v>0</v>
      </c>
      <c r="O245" s="9" t="str">
        <f aca="false">IF(B245="","",IFERROR(INDEX(Options!$G$6:$G$85,MATCH($B245,Options!$A$6:$A$85,0)),""))</f>
        <v>Letter</v>
      </c>
      <c r="P245" s="9" t="str">
        <f aca="false">IF(B245="","",IFERROR(INDEX(Options!$H$6:$H$85,MATCH($B245,Options!$A$6:$A$85,0)),""))</f>
        <v>Seasonal</v>
      </c>
      <c r="Q245" s="24" t="n">
        <f aca="false">IF(B245="",0,N(IFERROR(INDEX(Options!$J$6:$J$85,MATCH($B245,Options!$A$6:$A$85,0)),"")))</f>
        <v>55</v>
      </c>
      <c r="R245" s="25" t="n">
        <f aca="false">K245*Settings!$B$10+J245*Settings!$B$11+I245*Settings!$B$12+H245*Settings!$B$13</f>
        <v>0.9</v>
      </c>
      <c r="S245" s="25" t="n">
        <f aca="false">IFERROR(L245/Settings!$B$8,0)</f>
        <v>0.590909090909091</v>
      </c>
      <c r="T245" s="26" t="n">
        <f aca="false">IF(OR(B245="",P245="End of life"),0,W245*MIN(4,N245))</f>
        <v>0</v>
      </c>
      <c r="U245" s="27" t="n">
        <f aca="false">T245*Q245</f>
        <v>0</v>
      </c>
      <c r="V245" s="14" t="n">
        <f aca="false">IF(B245="",0,G245*N(IFERROR(INDEX(Options!$K$6:$K$85,MATCH($B245,Options!$A$6:$A$85,0)),"")))</f>
        <v>209</v>
      </c>
      <c r="W245" s="26" t="n">
        <f aca="false">IF(B245="",0,IF(N245&gt;=4,S245,(H245+I245+J245+K245)/(4-N245)))</f>
        <v>0.75</v>
      </c>
    </row>
    <row r="246" customFormat="false" ht="15" hidden="false" customHeight="false" outlineLevel="0" collapsed="false">
      <c r="A246" s="16" t="s">
        <v>576</v>
      </c>
      <c r="B246" s="16" t="s">
        <v>276</v>
      </c>
      <c r="C246" s="16" t="s">
        <v>331</v>
      </c>
      <c r="D246" s="16"/>
      <c r="E246" s="16" t="n">
        <v>52</v>
      </c>
      <c r="F246" s="16" t="n">
        <v>0</v>
      </c>
      <c r="G246" s="16" t="n">
        <v>25</v>
      </c>
      <c r="H246" s="16" t="n">
        <v>1</v>
      </c>
      <c r="I246" s="16" t="n">
        <v>1</v>
      </c>
      <c r="J246" s="16" t="n">
        <v>1</v>
      </c>
      <c r="K246" s="16" t="n">
        <v>1</v>
      </c>
      <c r="L246" s="16" t="n">
        <v>27</v>
      </c>
      <c r="M246" s="16" t="n">
        <v>24</v>
      </c>
      <c r="N246" s="16" t="n">
        <v>0</v>
      </c>
      <c r="O246" s="9" t="str">
        <f aca="false">IF(B246="","",IFERROR(INDEX(Options!$G$6:$G$85,MATCH($B246,Options!$A$6:$A$85,0)),""))</f>
        <v>Letter</v>
      </c>
      <c r="P246" s="9" t="str">
        <f aca="false">IF(B246="","",IFERROR(INDEX(Options!$H$6:$H$85,MATCH($B246,Options!$A$6:$A$85,0)),""))</f>
        <v>Seasonal</v>
      </c>
      <c r="Q246" s="24" t="n">
        <f aca="false">IF(B246="",0,N(IFERROR(INDEX(Options!$J$6:$J$85,MATCH($B246,Options!$A$6:$A$85,0)),"")))</f>
        <v>55</v>
      </c>
      <c r="R246" s="25" t="n">
        <f aca="false">K246*Settings!$B$10+J246*Settings!$B$11+I246*Settings!$B$12+H246*Settings!$B$13</f>
        <v>1</v>
      </c>
      <c r="S246" s="25" t="n">
        <f aca="false">IFERROR(L246/Settings!$B$8,0)</f>
        <v>1.22727272727273</v>
      </c>
      <c r="T246" s="26" t="n">
        <f aca="false">IF(OR(B246="",P246="End of life"),0,W246*MIN(4,N246))</f>
        <v>0</v>
      </c>
      <c r="U246" s="27" t="n">
        <f aca="false">T246*Q246</f>
        <v>0</v>
      </c>
      <c r="V246" s="14" t="n">
        <f aca="false">IF(B246="",0,G246*N(IFERROR(INDEX(Options!$K$6:$K$85,MATCH($B246,Options!$A$6:$A$85,0)),"")))</f>
        <v>522.5</v>
      </c>
      <c r="W246" s="26" t="n">
        <f aca="false">IF(B246="",0,IF(N246&gt;=4,S246,(H246+I246+J246+K246)/(4-N246)))</f>
        <v>1</v>
      </c>
    </row>
    <row r="247" customFormat="false" ht="15" hidden="false" customHeight="false" outlineLevel="0" collapsed="false">
      <c r="A247" s="16" t="s">
        <v>577</v>
      </c>
      <c r="B247" s="16" t="s">
        <v>276</v>
      </c>
      <c r="C247" s="16" t="s">
        <v>333</v>
      </c>
      <c r="D247" s="16" t="s">
        <v>183</v>
      </c>
      <c r="E247" s="16" t="n">
        <v>116</v>
      </c>
      <c r="F247" s="16" t="n">
        <v>0</v>
      </c>
      <c r="G247" s="16" t="n">
        <v>34</v>
      </c>
      <c r="H247" s="16" t="n">
        <v>3</v>
      </c>
      <c r="I247" s="16" t="n">
        <v>4</v>
      </c>
      <c r="J247" s="16" t="n">
        <v>5</v>
      </c>
      <c r="K247" s="16" t="n">
        <v>3</v>
      </c>
      <c r="L247" s="16" t="n">
        <v>82</v>
      </c>
      <c r="M247" s="16" t="n">
        <v>72</v>
      </c>
      <c r="N247" s="16" t="n">
        <v>0</v>
      </c>
      <c r="O247" s="9" t="str">
        <f aca="false">IF(B247="","",IFERROR(INDEX(Options!$G$6:$G$85,MATCH($B247,Options!$A$6:$A$85,0)),""))</f>
        <v>Letter</v>
      </c>
      <c r="P247" s="9" t="str">
        <f aca="false">IF(B247="","",IFERROR(INDEX(Options!$H$6:$H$85,MATCH($B247,Options!$A$6:$A$85,0)),""))</f>
        <v>Seasonal</v>
      </c>
      <c r="Q247" s="24" t="n">
        <f aca="false">IF(B247="",0,N(IFERROR(INDEX(Options!$J$6:$J$85,MATCH($B247,Options!$A$6:$A$85,0)),"")))</f>
        <v>55</v>
      </c>
      <c r="R247" s="25" t="n">
        <f aca="false">K247*Settings!$B$10+J247*Settings!$B$11+I247*Settings!$B$12+H247*Settings!$B$13</f>
        <v>3.8</v>
      </c>
      <c r="S247" s="25" t="n">
        <f aca="false">IFERROR(L247/Settings!$B$8,0)</f>
        <v>3.72727272727273</v>
      </c>
      <c r="T247" s="26" t="n">
        <f aca="false">IF(OR(B247="",P247="End of life"),0,W247*MIN(4,N247))</f>
        <v>0</v>
      </c>
      <c r="U247" s="27" t="n">
        <f aca="false">T247*Q247</f>
        <v>0</v>
      </c>
      <c r="V247" s="14" t="n">
        <f aca="false">IF(B247="",0,G247*N(IFERROR(INDEX(Options!$K$6:$K$85,MATCH($B247,Options!$A$6:$A$85,0)),"")))</f>
        <v>710.6</v>
      </c>
      <c r="W247" s="26" t="n">
        <f aca="false">IF(B247="",0,IF(N247&gt;=4,S247,(H247+I247+J247+K247)/(4-N247)))</f>
        <v>3.75</v>
      </c>
    </row>
    <row r="248" customFormat="false" ht="15" hidden="false" customHeight="false" outlineLevel="0" collapsed="false">
      <c r="A248" s="16" t="s">
        <v>578</v>
      </c>
      <c r="B248" s="16" t="s">
        <v>276</v>
      </c>
      <c r="C248" s="16" t="s">
        <v>335</v>
      </c>
      <c r="D248" s="16" t="s">
        <v>183</v>
      </c>
      <c r="E248" s="16" t="n">
        <v>193</v>
      </c>
      <c r="F248" s="16" t="n">
        <v>0</v>
      </c>
      <c r="G248" s="16" t="n">
        <v>60</v>
      </c>
      <c r="H248" s="16" t="n">
        <v>7</v>
      </c>
      <c r="I248" s="16" t="n">
        <v>5</v>
      </c>
      <c r="J248" s="16" t="n">
        <v>5</v>
      </c>
      <c r="K248" s="16" t="n">
        <v>6</v>
      </c>
      <c r="L248" s="16" t="n">
        <v>133</v>
      </c>
      <c r="M248" s="16" t="n">
        <v>117</v>
      </c>
      <c r="N248" s="16" t="n">
        <v>0</v>
      </c>
      <c r="O248" s="9" t="str">
        <f aca="false">IF(B248="","",IFERROR(INDEX(Options!$G$6:$G$85,MATCH($B248,Options!$A$6:$A$85,0)),""))</f>
        <v>Letter</v>
      </c>
      <c r="P248" s="9" t="str">
        <f aca="false">IF(B248="","",IFERROR(INDEX(Options!$H$6:$H$85,MATCH($B248,Options!$A$6:$A$85,0)),""))</f>
        <v>Seasonal</v>
      </c>
      <c r="Q248" s="24" t="n">
        <f aca="false">IF(B248="",0,N(IFERROR(INDEX(Options!$J$6:$J$85,MATCH($B248,Options!$A$6:$A$85,0)),"")))</f>
        <v>55</v>
      </c>
      <c r="R248" s="25" t="n">
        <f aca="false">K248*Settings!$B$10+J248*Settings!$B$11+I248*Settings!$B$12+H248*Settings!$B$13</f>
        <v>5.6</v>
      </c>
      <c r="S248" s="25" t="n">
        <f aca="false">IFERROR(L248/Settings!$B$8,0)</f>
        <v>6.04545454545455</v>
      </c>
      <c r="T248" s="26" t="n">
        <f aca="false">IF(OR(B248="",P248="End of life"),0,W248*MIN(4,N248))</f>
        <v>0</v>
      </c>
      <c r="U248" s="27" t="n">
        <f aca="false">T248*Q248</f>
        <v>0</v>
      </c>
      <c r="V248" s="14" t="n">
        <f aca="false">IF(B248="",0,G248*N(IFERROR(INDEX(Options!$K$6:$K$85,MATCH($B248,Options!$A$6:$A$85,0)),"")))</f>
        <v>1254</v>
      </c>
      <c r="W248" s="26" t="n">
        <f aca="false">IF(B248="",0,IF(N248&gt;=4,S248,(H248+I248+J248+K248)/(4-N248)))</f>
        <v>5.75</v>
      </c>
    </row>
    <row r="249" customFormat="false" ht="15" hidden="false" customHeight="false" outlineLevel="0" collapsed="false">
      <c r="A249" s="16" t="s">
        <v>579</v>
      </c>
      <c r="B249" s="16" t="s">
        <v>276</v>
      </c>
      <c r="C249" s="16" t="s">
        <v>337</v>
      </c>
      <c r="D249" s="16" t="s">
        <v>183</v>
      </c>
      <c r="E249" s="16" t="n">
        <v>167</v>
      </c>
      <c r="F249" s="16" t="n">
        <v>0</v>
      </c>
      <c r="G249" s="16" t="n">
        <v>39</v>
      </c>
      <c r="H249" s="16" t="n">
        <v>5</v>
      </c>
      <c r="I249" s="16" t="n">
        <v>6</v>
      </c>
      <c r="J249" s="16" t="n">
        <v>4</v>
      </c>
      <c r="K249" s="16" t="n">
        <v>7</v>
      </c>
      <c r="L249" s="16" t="n">
        <v>128</v>
      </c>
      <c r="M249" s="16" t="n">
        <v>113</v>
      </c>
      <c r="N249" s="16" t="n">
        <v>0</v>
      </c>
      <c r="O249" s="9" t="str">
        <f aca="false">IF(B249="","",IFERROR(INDEX(Options!$G$6:$G$85,MATCH($B249,Options!$A$6:$A$85,0)),""))</f>
        <v>Letter</v>
      </c>
      <c r="P249" s="9" t="str">
        <f aca="false">IF(B249="","",IFERROR(INDEX(Options!$H$6:$H$85,MATCH($B249,Options!$A$6:$A$85,0)),""))</f>
        <v>Seasonal</v>
      </c>
      <c r="Q249" s="24" t="n">
        <f aca="false">IF(B249="",0,N(IFERROR(INDEX(Options!$J$6:$J$85,MATCH($B249,Options!$A$6:$A$85,0)),"")))</f>
        <v>55</v>
      </c>
      <c r="R249" s="25" t="n">
        <f aca="false">K249*Settings!$B$10+J249*Settings!$B$11+I249*Settings!$B$12+H249*Settings!$B$13</f>
        <v>5.7</v>
      </c>
      <c r="S249" s="25" t="n">
        <f aca="false">IFERROR(L249/Settings!$B$8,0)</f>
        <v>5.81818181818182</v>
      </c>
      <c r="T249" s="26" t="n">
        <f aca="false">IF(OR(B249="",P249="End of life"),0,W249*MIN(4,N249))</f>
        <v>0</v>
      </c>
      <c r="U249" s="27" t="n">
        <f aca="false">T249*Q249</f>
        <v>0</v>
      </c>
      <c r="V249" s="14" t="n">
        <f aca="false">IF(B249="",0,G249*N(IFERROR(INDEX(Options!$K$6:$K$85,MATCH($B249,Options!$A$6:$A$85,0)),"")))</f>
        <v>815.1</v>
      </c>
      <c r="W249" s="26" t="n">
        <f aca="false">IF(B249="",0,IF(N249&gt;=4,S249,(H249+I249+J249+K249)/(4-N249)))</f>
        <v>5.5</v>
      </c>
    </row>
    <row r="250" customFormat="false" ht="15" hidden="false" customHeight="false" outlineLevel="0" collapsed="false">
      <c r="A250" s="16" t="s">
        <v>580</v>
      </c>
      <c r="B250" s="16" t="s">
        <v>276</v>
      </c>
      <c r="C250" s="16" t="s">
        <v>339</v>
      </c>
      <c r="D250" s="16"/>
      <c r="E250" s="16" t="n">
        <v>90</v>
      </c>
      <c r="F250" s="16" t="n">
        <v>0</v>
      </c>
      <c r="G250" s="16" t="n">
        <v>27</v>
      </c>
      <c r="H250" s="16" t="n">
        <v>3</v>
      </c>
      <c r="I250" s="16" t="n">
        <v>2</v>
      </c>
      <c r="J250" s="16" t="n">
        <v>3</v>
      </c>
      <c r="K250" s="16" t="n">
        <v>3</v>
      </c>
      <c r="L250" s="16" t="n">
        <v>63</v>
      </c>
      <c r="M250" s="16" t="n">
        <v>55</v>
      </c>
      <c r="N250" s="16" t="n">
        <v>0</v>
      </c>
      <c r="O250" s="9" t="str">
        <f aca="false">IF(B250="","",IFERROR(INDEX(Options!$G$6:$G$85,MATCH($B250,Options!$A$6:$A$85,0)),""))</f>
        <v>Letter</v>
      </c>
      <c r="P250" s="9" t="str">
        <f aca="false">IF(B250="","",IFERROR(INDEX(Options!$H$6:$H$85,MATCH($B250,Options!$A$6:$A$85,0)),""))</f>
        <v>Seasonal</v>
      </c>
      <c r="Q250" s="24" t="n">
        <f aca="false">IF(B250="",0,N(IFERROR(INDEX(Options!$J$6:$J$85,MATCH($B250,Options!$A$6:$A$85,0)),"")))</f>
        <v>55</v>
      </c>
      <c r="R250" s="25" t="n">
        <f aca="false">K250*Settings!$B$10+J250*Settings!$B$11+I250*Settings!$B$12+H250*Settings!$B$13</f>
        <v>2.8</v>
      </c>
      <c r="S250" s="25" t="n">
        <f aca="false">IFERROR(L250/Settings!$B$8,0)</f>
        <v>2.86363636363636</v>
      </c>
      <c r="T250" s="26" t="n">
        <f aca="false">IF(OR(B250="",P250="End of life"),0,W250*MIN(4,N250))</f>
        <v>0</v>
      </c>
      <c r="U250" s="27" t="n">
        <f aca="false">T250*Q250</f>
        <v>0</v>
      </c>
      <c r="V250" s="14" t="n">
        <f aca="false">IF(B250="",0,G250*N(IFERROR(INDEX(Options!$K$6:$K$85,MATCH($B250,Options!$A$6:$A$85,0)),"")))</f>
        <v>564.3</v>
      </c>
      <c r="W250" s="26" t="n">
        <f aca="false">IF(B250="",0,IF(N250&gt;=4,S250,(H250+I250+J250+K250)/(4-N250)))</f>
        <v>2.75</v>
      </c>
    </row>
    <row r="251" customFormat="false" ht="15" hidden="false" customHeight="false" outlineLevel="0" collapsed="false">
      <c r="A251" s="16" t="s">
        <v>581</v>
      </c>
      <c r="B251" s="16" t="s">
        <v>276</v>
      </c>
      <c r="C251" s="16" t="s">
        <v>341</v>
      </c>
      <c r="D251" s="16"/>
      <c r="E251" s="16" t="n">
        <v>52</v>
      </c>
      <c r="F251" s="16" t="n">
        <v>0</v>
      </c>
      <c r="G251" s="16" t="n">
        <v>26</v>
      </c>
      <c r="H251" s="16" t="n">
        <v>1</v>
      </c>
      <c r="I251" s="16" t="n">
        <v>1</v>
      </c>
      <c r="J251" s="16" t="n">
        <v>1</v>
      </c>
      <c r="K251" s="16" t="n">
        <v>1</v>
      </c>
      <c r="L251" s="16" t="n">
        <v>26</v>
      </c>
      <c r="M251" s="16" t="n">
        <v>23</v>
      </c>
      <c r="N251" s="16" t="n">
        <v>0</v>
      </c>
      <c r="O251" s="9" t="str">
        <f aca="false">IF(B251="","",IFERROR(INDEX(Options!$G$6:$G$85,MATCH($B251,Options!$A$6:$A$85,0)),""))</f>
        <v>Letter</v>
      </c>
      <c r="P251" s="9" t="str">
        <f aca="false">IF(B251="","",IFERROR(INDEX(Options!$H$6:$H$85,MATCH($B251,Options!$A$6:$A$85,0)),""))</f>
        <v>Seasonal</v>
      </c>
      <c r="Q251" s="24" t="n">
        <f aca="false">IF(B251="",0,N(IFERROR(INDEX(Options!$J$6:$J$85,MATCH($B251,Options!$A$6:$A$85,0)),"")))</f>
        <v>55</v>
      </c>
      <c r="R251" s="25" t="n">
        <f aca="false">K251*Settings!$B$10+J251*Settings!$B$11+I251*Settings!$B$12+H251*Settings!$B$13</f>
        <v>1</v>
      </c>
      <c r="S251" s="25" t="n">
        <f aca="false">IFERROR(L251/Settings!$B$8,0)</f>
        <v>1.18181818181818</v>
      </c>
      <c r="T251" s="26" t="n">
        <f aca="false">IF(OR(B251="",P251="End of life"),0,W251*MIN(4,N251))</f>
        <v>0</v>
      </c>
      <c r="U251" s="27" t="n">
        <f aca="false">T251*Q251</f>
        <v>0</v>
      </c>
      <c r="V251" s="14" t="n">
        <f aca="false">IF(B251="",0,G251*N(IFERROR(INDEX(Options!$K$6:$K$85,MATCH($B251,Options!$A$6:$A$85,0)),"")))</f>
        <v>543.4</v>
      </c>
      <c r="W251" s="26" t="n">
        <f aca="false">IF(B251="",0,IF(N251&gt;=4,S251,(H251+I251+J251+K251)/(4-N251)))</f>
        <v>1</v>
      </c>
    </row>
    <row r="252" customFormat="false" ht="15" hidden="false" customHeight="false" outlineLevel="0" collapsed="false">
      <c r="A252" s="16" t="s">
        <v>582</v>
      </c>
      <c r="B252" s="16" t="s">
        <v>277</v>
      </c>
      <c r="C252" s="16" t="s">
        <v>331</v>
      </c>
      <c r="D252" s="16"/>
      <c r="E252" s="16" t="n">
        <v>34</v>
      </c>
      <c r="F252" s="16" t="n">
        <v>0</v>
      </c>
      <c r="G252" s="16" t="n">
        <v>15</v>
      </c>
      <c r="H252" s="16" t="n">
        <v>1</v>
      </c>
      <c r="I252" s="16" t="n">
        <v>1</v>
      </c>
      <c r="J252" s="16" t="n">
        <v>1</v>
      </c>
      <c r="K252" s="16" t="n">
        <v>1</v>
      </c>
      <c r="L252" s="16" t="n">
        <v>19</v>
      </c>
      <c r="M252" s="16" t="n">
        <v>17</v>
      </c>
      <c r="N252" s="16" t="n">
        <v>0</v>
      </c>
      <c r="O252" s="9" t="str">
        <f aca="false">IF(B252="","",IFERROR(INDEX(Options!$G$6:$G$85,MATCH($B252,Options!$A$6:$A$85,0)),""))</f>
        <v>Letter</v>
      </c>
      <c r="P252" s="9" t="str">
        <f aca="false">IF(B252="","",IFERROR(INDEX(Options!$H$6:$H$85,MATCH($B252,Options!$A$6:$A$85,0)),""))</f>
        <v>Seasonal</v>
      </c>
      <c r="Q252" s="24" t="n">
        <f aca="false">IF(B252="",0,N(IFERROR(INDEX(Options!$J$6:$J$85,MATCH($B252,Options!$A$6:$A$85,0)),"")))</f>
        <v>55</v>
      </c>
      <c r="R252" s="25" t="n">
        <f aca="false">K252*Settings!$B$10+J252*Settings!$B$11+I252*Settings!$B$12+H252*Settings!$B$13</f>
        <v>1</v>
      </c>
      <c r="S252" s="25" t="n">
        <f aca="false">IFERROR(L252/Settings!$B$8,0)</f>
        <v>0.863636363636364</v>
      </c>
      <c r="T252" s="26" t="n">
        <f aca="false">IF(OR(B252="",P252="End of life"),0,W252*MIN(4,N252))</f>
        <v>0</v>
      </c>
      <c r="U252" s="27" t="n">
        <f aca="false">T252*Q252</f>
        <v>0</v>
      </c>
      <c r="V252" s="14" t="n">
        <f aca="false">IF(B252="",0,G252*N(IFERROR(INDEX(Options!$K$6:$K$85,MATCH($B252,Options!$A$6:$A$85,0)),"")))</f>
        <v>313.5</v>
      </c>
      <c r="W252" s="26" t="n">
        <f aca="false">IF(B252="",0,IF(N252&gt;=4,S252,(H252+I252+J252+K252)/(4-N252)))</f>
        <v>1</v>
      </c>
    </row>
    <row r="253" customFormat="false" ht="15" hidden="false" customHeight="false" outlineLevel="0" collapsed="false">
      <c r="A253" s="16" t="s">
        <v>583</v>
      </c>
      <c r="B253" s="16" t="s">
        <v>277</v>
      </c>
      <c r="C253" s="16" t="s">
        <v>333</v>
      </c>
      <c r="D253" s="16" t="s">
        <v>183</v>
      </c>
      <c r="E253" s="16" t="n">
        <v>75</v>
      </c>
      <c r="F253" s="16" t="n">
        <v>0</v>
      </c>
      <c r="G253" s="16" t="n">
        <v>23</v>
      </c>
      <c r="H253" s="16" t="n">
        <v>2</v>
      </c>
      <c r="I253" s="16" t="n">
        <v>3</v>
      </c>
      <c r="J253" s="16" t="n">
        <v>3</v>
      </c>
      <c r="K253" s="16" t="n">
        <v>3</v>
      </c>
      <c r="L253" s="16" t="n">
        <v>52</v>
      </c>
      <c r="M253" s="16" t="n">
        <v>46</v>
      </c>
      <c r="N253" s="16" t="n">
        <v>0</v>
      </c>
      <c r="O253" s="9" t="str">
        <f aca="false">IF(B253="","",IFERROR(INDEX(Options!$G$6:$G$85,MATCH($B253,Options!$A$6:$A$85,0)),""))</f>
        <v>Letter</v>
      </c>
      <c r="P253" s="9" t="str">
        <f aca="false">IF(B253="","",IFERROR(INDEX(Options!$H$6:$H$85,MATCH($B253,Options!$A$6:$A$85,0)),""))</f>
        <v>Seasonal</v>
      </c>
      <c r="Q253" s="24" t="n">
        <f aca="false">IF(B253="",0,N(IFERROR(INDEX(Options!$J$6:$J$85,MATCH($B253,Options!$A$6:$A$85,0)),"")))</f>
        <v>55</v>
      </c>
      <c r="R253" s="25" t="n">
        <f aca="false">K253*Settings!$B$10+J253*Settings!$B$11+I253*Settings!$B$12+H253*Settings!$B$13</f>
        <v>2.9</v>
      </c>
      <c r="S253" s="25" t="n">
        <f aca="false">IFERROR(L253/Settings!$B$8,0)</f>
        <v>2.36363636363636</v>
      </c>
      <c r="T253" s="26" t="n">
        <f aca="false">IF(OR(B253="",P253="End of life"),0,W253*MIN(4,N253))</f>
        <v>0</v>
      </c>
      <c r="U253" s="27" t="n">
        <f aca="false">T253*Q253</f>
        <v>0</v>
      </c>
      <c r="V253" s="14" t="n">
        <f aca="false">IF(B253="",0,G253*N(IFERROR(INDEX(Options!$K$6:$K$85,MATCH($B253,Options!$A$6:$A$85,0)),"")))</f>
        <v>480.7</v>
      </c>
      <c r="W253" s="26" t="n">
        <f aca="false">IF(B253="",0,IF(N253&gt;=4,S253,(H253+I253+J253+K253)/(4-N253)))</f>
        <v>2.75</v>
      </c>
    </row>
    <row r="254" customFormat="false" ht="15" hidden="false" customHeight="false" outlineLevel="0" collapsed="false">
      <c r="A254" s="16" t="s">
        <v>584</v>
      </c>
      <c r="B254" s="16" t="s">
        <v>277</v>
      </c>
      <c r="C254" s="16" t="s">
        <v>335</v>
      </c>
      <c r="D254" s="16" t="s">
        <v>183</v>
      </c>
      <c r="E254" s="16" t="n">
        <v>125</v>
      </c>
      <c r="F254" s="16" t="n">
        <v>0</v>
      </c>
      <c r="G254" s="16" t="n">
        <v>37</v>
      </c>
      <c r="H254" s="16" t="n">
        <v>4</v>
      </c>
      <c r="I254" s="16" t="n">
        <v>4</v>
      </c>
      <c r="J254" s="16" t="n">
        <v>4</v>
      </c>
      <c r="K254" s="16" t="n">
        <v>5</v>
      </c>
      <c r="L254" s="16" t="n">
        <v>88</v>
      </c>
      <c r="M254" s="16" t="n">
        <v>77</v>
      </c>
      <c r="N254" s="16" t="n">
        <v>0</v>
      </c>
      <c r="O254" s="9" t="str">
        <f aca="false">IF(B254="","",IFERROR(INDEX(Options!$G$6:$G$85,MATCH($B254,Options!$A$6:$A$85,0)),""))</f>
        <v>Letter</v>
      </c>
      <c r="P254" s="9" t="str">
        <f aca="false">IF(B254="","",IFERROR(INDEX(Options!$H$6:$H$85,MATCH($B254,Options!$A$6:$A$85,0)),""))</f>
        <v>Seasonal</v>
      </c>
      <c r="Q254" s="24" t="n">
        <f aca="false">IF(B254="",0,N(IFERROR(INDEX(Options!$J$6:$J$85,MATCH($B254,Options!$A$6:$A$85,0)),"")))</f>
        <v>55</v>
      </c>
      <c r="R254" s="25" t="n">
        <f aca="false">K254*Settings!$B$10+J254*Settings!$B$11+I254*Settings!$B$12+H254*Settings!$B$13</f>
        <v>4.4</v>
      </c>
      <c r="S254" s="25" t="n">
        <f aca="false">IFERROR(L254/Settings!$B$8,0)</f>
        <v>4</v>
      </c>
      <c r="T254" s="26" t="n">
        <f aca="false">IF(OR(B254="",P254="End of life"),0,W254*MIN(4,N254))</f>
        <v>0</v>
      </c>
      <c r="U254" s="27" t="n">
        <f aca="false">T254*Q254</f>
        <v>0</v>
      </c>
      <c r="V254" s="14" t="n">
        <f aca="false">IF(B254="",0,G254*N(IFERROR(INDEX(Options!$K$6:$K$85,MATCH($B254,Options!$A$6:$A$85,0)),"")))</f>
        <v>773.3</v>
      </c>
      <c r="W254" s="26" t="n">
        <f aca="false">IF(B254="",0,IF(N254&gt;=4,S254,(H254+I254+J254+K254)/(4-N254)))</f>
        <v>4.25</v>
      </c>
    </row>
    <row r="255" customFormat="false" ht="15" hidden="false" customHeight="false" outlineLevel="0" collapsed="false">
      <c r="A255" s="16" t="s">
        <v>585</v>
      </c>
      <c r="B255" s="16" t="s">
        <v>277</v>
      </c>
      <c r="C255" s="16" t="s">
        <v>337</v>
      </c>
      <c r="D255" s="16" t="s">
        <v>183</v>
      </c>
      <c r="E255" s="16" t="n">
        <v>108</v>
      </c>
      <c r="F255" s="16" t="n">
        <v>0</v>
      </c>
      <c r="G255" s="16" t="n">
        <v>32</v>
      </c>
      <c r="H255" s="16" t="n">
        <v>3</v>
      </c>
      <c r="I255" s="16" t="n">
        <v>3</v>
      </c>
      <c r="J255" s="16" t="n">
        <v>3</v>
      </c>
      <c r="K255" s="16" t="n">
        <v>4</v>
      </c>
      <c r="L255" s="16" t="n">
        <v>76</v>
      </c>
      <c r="M255" s="16" t="n">
        <v>67</v>
      </c>
      <c r="N255" s="16" t="n">
        <v>0</v>
      </c>
      <c r="O255" s="9" t="str">
        <f aca="false">IF(B255="","",IFERROR(INDEX(Options!$G$6:$G$85,MATCH($B255,Options!$A$6:$A$85,0)),""))</f>
        <v>Letter</v>
      </c>
      <c r="P255" s="9" t="str">
        <f aca="false">IF(B255="","",IFERROR(INDEX(Options!$H$6:$H$85,MATCH($B255,Options!$A$6:$A$85,0)),""))</f>
        <v>Seasonal</v>
      </c>
      <c r="Q255" s="24" t="n">
        <f aca="false">IF(B255="",0,N(IFERROR(INDEX(Options!$J$6:$J$85,MATCH($B255,Options!$A$6:$A$85,0)),"")))</f>
        <v>55</v>
      </c>
      <c r="R255" s="25" t="n">
        <f aca="false">K255*Settings!$B$10+J255*Settings!$B$11+I255*Settings!$B$12+H255*Settings!$B$13</f>
        <v>3.4</v>
      </c>
      <c r="S255" s="25" t="n">
        <f aca="false">IFERROR(L255/Settings!$B$8,0)</f>
        <v>3.45454545454545</v>
      </c>
      <c r="T255" s="26" t="n">
        <f aca="false">IF(OR(B255="",P255="End of life"),0,W255*MIN(4,N255))</f>
        <v>0</v>
      </c>
      <c r="U255" s="27" t="n">
        <f aca="false">T255*Q255</f>
        <v>0</v>
      </c>
      <c r="V255" s="14" t="n">
        <f aca="false">IF(B255="",0,G255*N(IFERROR(INDEX(Options!$K$6:$K$85,MATCH($B255,Options!$A$6:$A$85,0)),"")))</f>
        <v>668.8</v>
      </c>
      <c r="W255" s="26" t="n">
        <f aca="false">IF(B255="",0,IF(N255&gt;=4,S255,(H255+I255+J255+K255)/(4-N255)))</f>
        <v>3.25</v>
      </c>
    </row>
    <row r="256" customFormat="false" ht="15" hidden="false" customHeight="false" outlineLevel="0" collapsed="false">
      <c r="A256" s="16" t="s">
        <v>586</v>
      </c>
      <c r="B256" s="16" t="s">
        <v>277</v>
      </c>
      <c r="C256" s="16" t="s">
        <v>339</v>
      </c>
      <c r="D256" s="16"/>
      <c r="E256" s="16" t="n">
        <v>58</v>
      </c>
      <c r="F256" s="16" t="n">
        <v>0</v>
      </c>
      <c r="G256" s="16" t="n">
        <v>14</v>
      </c>
      <c r="H256" s="16" t="n">
        <v>1</v>
      </c>
      <c r="I256" s="16" t="n">
        <v>1</v>
      </c>
      <c r="J256" s="16" t="n">
        <v>2</v>
      </c>
      <c r="K256" s="16" t="n">
        <v>2</v>
      </c>
      <c r="L256" s="16" t="n">
        <v>44</v>
      </c>
      <c r="M256" s="16" t="n">
        <v>39</v>
      </c>
      <c r="N256" s="16" t="n">
        <v>0</v>
      </c>
      <c r="O256" s="9" t="str">
        <f aca="false">IF(B256="","",IFERROR(INDEX(Options!$G$6:$G$85,MATCH($B256,Options!$A$6:$A$85,0)),""))</f>
        <v>Letter</v>
      </c>
      <c r="P256" s="9" t="str">
        <f aca="false">IF(B256="","",IFERROR(INDEX(Options!$H$6:$H$85,MATCH($B256,Options!$A$6:$A$85,0)),""))</f>
        <v>Seasonal</v>
      </c>
      <c r="Q256" s="24" t="n">
        <f aca="false">IF(B256="",0,N(IFERROR(INDEX(Options!$J$6:$J$85,MATCH($B256,Options!$A$6:$A$85,0)),"")))</f>
        <v>55</v>
      </c>
      <c r="R256" s="25" t="n">
        <f aca="false">K256*Settings!$B$10+J256*Settings!$B$11+I256*Settings!$B$12+H256*Settings!$B$13</f>
        <v>1.7</v>
      </c>
      <c r="S256" s="25" t="n">
        <f aca="false">IFERROR(L256/Settings!$B$8,0)</f>
        <v>2</v>
      </c>
      <c r="T256" s="26" t="n">
        <f aca="false">IF(OR(B256="",P256="End of life"),0,W256*MIN(4,N256))</f>
        <v>0</v>
      </c>
      <c r="U256" s="27" t="n">
        <f aca="false">T256*Q256</f>
        <v>0</v>
      </c>
      <c r="V256" s="14" t="n">
        <f aca="false">IF(B256="",0,G256*N(IFERROR(INDEX(Options!$K$6:$K$85,MATCH($B256,Options!$A$6:$A$85,0)),"")))</f>
        <v>292.6</v>
      </c>
      <c r="W256" s="26" t="n">
        <f aca="false">IF(B256="",0,IF(N256&gt;=4,S256,(H256+I256+J256+K256)/(4-N256)))</f>
        <v>1.5</v>
      </c>
    </row>
    <row r="257" customFormat="false" ht="15" hidden="false" customHeight="false" outlineLevel="0" collapsed="false">
      <c r="A257" s="16" t="s">
        <v>587</v>
      </c>
      <c r="B257" s="16" t="s">
        <v>277</v>
      </c>
      <c r="C257" s="16" t="s">
        <v>341</v>
      </c>
      <c r="D257" s="16"/>
      <c r="E257" s="16" t="n">
        <v>34</v>
      </c>
      <c r="F257" s="16" t="n">
        <v>0</v>
      </c>
      <c r="G257" s="16" t="n">
        <v>16</v>
      </c>
      <c r="H257" s="16" t="n">
        <v>1</v>
      </c>
      <c r="I257" s="16" t="n">
        <v>1</v>
      </c>
      <c r="J257" s="16" t="n">
        <v>1</v>
      </c>
      <c r="K257" s="16" t="n">
        <v>1</v>
      </c>
      <c r="L257" s="16" t="n">
        <v>18</v>
      </c>
      <c r="M257" s="16" t="n">
        <v>16</v>
      </c>
      <c r="N257" s="16" t="n">
        <v>0</v>
      </c>
      <c r="O257" s="9" t="str">
        <f aca="false">IF(B257="","",IFERROR(INDEX(Options!$G$6:$G$85,MATCH($B257,Options!$A$6:$A$85,0)),""))</f>
        <v>Letter</v>
      </c>
      <c r="P257" s="9" t="str">
        <f aca="false">IF(B257="","",IFERROR(INDEX(Options!$H$6:$H$85,MATCH($B257,Options!$A$6:$A$85,0)),""))</f>
        <v>Seasonal</v>
      </c>
      <c r="Q257" s="24" t="n">
        <f aca="false">IF(B257="",0,N(IFERROR(INDEX(Options!$J$6:$J$85,MATCH($B257,Options!$A$6:$A$85,0)),"")))</f>
        <v>55</v>
      </c>
      <c r="R257" s="25" t="n">
        <f aca="false">K257*Settings!$B$10+J257*Settings!$B$11+I257*Settings!$B$12+H257*Settings!$B$13</f>
        <v>1</v>
      </c>
      <c r="S257" s="25" t="n">
        <f aca="false">IFERROR(L257/Settings!$B$8,0)</f>
        <v>0.818181818181818</v>
      </c>
      <c r="T257" s="26" t="n">
        <f aca="false">IF(OR(B257="",P257="End of life"),0,W257*MIN(4,N257))</f>
        <v>0</v>
      </c>
      <c r="U257" s="27" t="n">
        <f aca="false">T257*Q257</f>
        <v>0</v>
      </c>
      <c r="V257" s="14" t="n">
        <f aca="false">IF(B257="",0,G257*N(IFERROR(INDEX(Options!$K$6:$K$85,MATCH($B257,Options!$A$6:$A$85,0)),"")))</f>
        <v>334.4</v>
      </c>
      <c r="W257" s="26" t="n">
        <f aca="false">IF(B257="",0,IF(N257&gt;=4,S257,(H257+I257+J257+K257)/(4-N257)))</f>
        <v>1</v>
      </c>
    </row>
    <row r="258" customFormat="false" ht="15" hidden="false" customHeight="false" outlineLevel="0" collapsed="false">
      <c r="A258" s="16" t="s">
        <v>588</v>
      </c>
      <c r="B258" s="16" t="s">
        <v>278</v>
      </c>
      <c r="C258" s="16" t="s">
        <v>331</v>
      </c>
      <c r="D258" s="16"/>
      <c r="E258" s="16" t="n">
        <v>29</v>
      </c>
      <c r="F258" s="16" t="n">
        <v>0</v>
      </c>
      <c r="G258" s="16" t="n">
        <v>11</v>
      </c>
      <c r="H258" s="16" t="n">
        <v>2</v>
      </c>
      <c r="I258" s="16" t="n">
        <v>1</v>
      </c>
      <c r="J258" s="16" t="n">
        <v>2</v>
      </c>
      <c r="K258" s="16" t="n">
        <v>2</v>
      </c>
      <c r="L258" s="16" t="n">
        <v>18</v>
      </c>
      <c r="M258" s="16" t="n">
        <v>14</v>
      </c>
      <c r="N258" s="16" t="n">
        <v>0</v>
      </c>
      <c r="O258" s="9" t="str">
        <f aca="false">IF(B258="","",IFERROR(INDEX(Options!$G$6:$G$85,MATCH($B258,Options!$A$6:$A$85,0)),""))</f>
        <v>Letter</v>
      </c>
      <c r="P258" s="9" t="str">
        <f aca="false">IF(B258="","",IFERROR(INDEX(Options!$H$6:$H$85,MATCH($B258,Options!$A$6:$A$85,0)),""))</f>
        <v>Seasonal</v>
      </c>
      <c r="Q258" s="24" t="n">
        <f aca="false">IF(B258="",0,N(IFERROR(INDEX(Options!$J$6:$J$85,MATCH($B258,Options!$A$6:$A$85,0)),"")))</f>
        <v>60</v>
      </c>
      <c r="R258" s="25" t="n">
        <f aca="false">K258*Settings!$B$10+J258*Settings!$B$11+I258*Settings!$B$12+H258*Settings!$B$13</f>
        <v>1.8</v>
      </c>
      <c r="S258" s="25" t="n">
        <f aca="false">IFERROR(L258/Settings!$B$8,0)</f>
        <v>0.818181818181818</v>
      </c>
      <c r="T258" s="26" t="n">
        <f aca="false">IF(OR(B258="",P258="End of life"),0,W258*MIN(4,N258))</f>
        <v>0</v>
      </c>
      <c r="U258" s="27" t="n">
        <f aca="false">T258*Q258</f>
        <v>0</v>
      </c>
      <c r="V258" s="14" t="n">
        <f aca="false">IF(B258="",0,G258*N(IFERROR(INDEX(Options!$K$6:$K$85,MATCH($B258,Options!$A$6:$A$85,0)),"")))</f>
        <v>250.8</v>
      </c>
      <c r="W258" s="26" t="n">
        <f aca="false">IF(B258="",0,IF(N258&gt;=4,S258,(H258+I258+J258+K258)/(4-N258)))</f>
        <v>1.75</v>
      </c>
    </row>
    <row r="259" customFormat="false" ht="15" hidden="false" customHeight="false" outlineLevel="0" collapsed="false">
      <c r="A259" s="16" t="s">
        <v>589</v>
      </c>
      <c r="B259" s="16" t="s">
        <v>278</v>
      </c>
      <c r="C259" s="16" t="s">
        <v>333</v>
      </c>
      <c r="D259" s="16" t="s">
        <v>183</v>
      </c>
      <c r="E259" s="16" t="n">
        <v>64</v>
      </c>
      <c r="F259" s="16" t="n">
        <v>0</v>
      </c>
      <c r="G259" s="16" t="n">
        <v>4</v>
      </c>
      <c r="H259" s="16" t="n">
        <v>4</v>
      </c>
      <c r="I259" s="16" t="n">
        <v>4</v>
      </c>
      <c r="J259" s="16" t="n">
        <v>5</v>
      </c>
      <c r="K259" s="16" t="n">
        <v>5</v>
      </c>
      <c r="L259" s="16" t="n">
        <v>60</v>
      </c>
      <c r="M259" s="16" t="n">
        <v>45</v>
      </c>
      <c r="N259" s="16" t="n">
        <v>0</v>
      </c>
      <c r="O259" s="9" t="str">
        <f aca="false">IF(B259="","",IFERROR(INDEX(Options!$G$6:$G$85,MATCH($B259,Options!$A$6:$A$85,0)),""))</f>
        <v>Letter</v>
      </c>
      <c r="P259" s="9" t="str">
        <f aca="false">IF(B259="","",IFERROR(INDEX(Options!$H$6:$H$85,MATCH($B259,Options!$A$6:$A$85,0)),""))</f>
        <v>Seasonal</v>
      </c>
      <c r="Q259" s="24" t="n">
        <f aca="false">IF(B259="",0,N(IFERROR(INDEX(Options!$J$6:$J$85,MATCH($B259,Options!$A$6:$A$85,0)),"")))</f>
        <v>60</v>
      </c>
      <c r="R259" s="25" t="n">
        <f aca="false">K259*Settings!$B$10+J259*Settings!$B$11+I259*Settings!$B$12+H259*Settings!$B$13</f>
        <v>4.7</v>
      </c>
      <c r="S259" s="25" t="n">
        <f aca="false">IFERROR(L259/Settings!$B$8,0)</f>
        <v>2.72727272727273</v>
      </c>
      <c r="T259" s="26" t="n">
        <f aca="false">IF(OR(B259="",P259="End of life"),0,W259*MIN(4,N259))</f>
        <v>0</v>
      </c>
      <c r="U259" s="27" t="n">
        <f aca="false">T259*Q259</f>
        <v>0</v>
      </c>
      <c r="V259" s="14" t="n">
        <f aca="false">IF(B259="",0,G259*N(IFERROR(INDEX(Options!$K$6:$K$85,MATCH($B259,Options!$A$6:$A$85,0)),"")))</f>
        <v>91.2</v>
      </c>
      <c r="W259" s="26" t="n">
        <f aca="false">IF(B259="",0,IF(N259&gt;=4,S259,(H259+I259+J259+K259)/(4-N259)))</f>
        <v>4.5</v>
      </c>
    </row>
    <row r="260" customFormat="false" ht="15" hidden="false" customHeight="false" outlineLevel="0" collapsed="false">
      <c r="A260" s="16" t="s">
        <v>590</v>
      </c>
      <c r="B260" s="16" t="s">
        <v>278</v>
      </c>
      <c r="C260" s="16" t="s">
        <v>335</v>
      </c>
      <c r="D260" s="16" t="s">
        <v>183</v>
      </c>
      <c r="E260" s="16" t="n">
        <v>106</v>
      </c>
      <c r="F260" s="16" t="n">
        <v>0</v>
      </c>
      <c r="G260" s="16" t="n">
        <v>13</v>
      </c>
      <c r="H260" s="16" t="n">
        <v>5</v>
      </c>
      <c r="I260" s="16" t="n">
        <v>6</v>
      </c>
      <c r="J260" s="16" t="n">
        <v>7</v>
      </c>
      <c r="K260" s="16" t="n">
        <v>8</v>
      </c>
      <c r="L260" s="16" t="n">
        <v>93</v>
      </c>
      <c r="M260" s="16" t="n">
        <v>70</v>
      </c>
      <c r="N260" s="16" t="n">
        <v>0</v>
      </c>
      <c r="O260" s="9" t="str">
        <f aca="false">IF(B260="","",IFERROR(INDEX(Options!$G$6:$G$85,MATCH($B260,Options!$A$6:$A$85,0)),""))</f>
        <v>Letter</v>
      </c>
      <c r="P260" s="9" t="str">
        <f aca="false">IF(B260="","",IFERROR(INDEX(Options!$H$6:$H$85,MATCH($B260,Options!$A$6:$A$85,0)),""))</f>
        <v>Seasonal</v>
      </c>
      <c r="Q260" s="24" t="n">
        <f aca="false">IF(B260="",0,N(IFERROR(INDEX(Options!$J$6:$J$85,MATCH($B260,Options!$A$6:$A$85,0)),"")))</f>
        <v>60</v>
      </c>
      <c r="R260" s="25" t="n">
        <f aca="false">K260*Settings!$B$10+J260*Settings!$B$11+I260*Settings!$B$12+H260*Settings!$B$13</f>
        <v>7</v>
      </c>
      <c r="S260" s="25" t="n">
        <f aca="false">IFERROR(L260/Settings!$B$8,0)</f>
        <v>4.22727272727273</v>
      </c>
      <c r="T260" s="26" t="n">
        <f aca="false">IF(OR(B260="",P260="End of life"),0,W260*MIN(4,N260))</f>
        <v>0</v>
      </c>
      <c r="U260" s="27" t="n">
        <f aca="false">T260*Q260</f>
        <v>0</v>
      </c>
      <c r="V260" s="14" t="n">
        <f aca="false">IF(B260="",0,G260*N(IFERROR(INDEX(Options!$K$6:$K$85,MATCH($B260,Options!$A$6:$A$85,0)),"")))</f>
        <v>296.4</v>
      </c>
      <c r="W260" s="26" t="n">
        <f aca="false">IF(B260="",0,IF(N260&gt;=4,S260,(H260+I260+J260+K260)/(4-N260)))</f>
        <v>6.5</v>
      </c>
    </row>
    <row r="261" customFormat="false" ht="15" hidden="false" customHeight="false" outlineLevel="0" collapsed="false">
      <c r="A261" s="16" t="s">
        <v>591</v>
      </c>
      <c r="B261" s="16" t="s">
        <v>278</v>
      </c>
      <c r="C261" s="16" t="s">
        <v>337</v>
      </c>
      <c r="D261" s="16" t="s">
        <v>183</v>
      </c>
      <c r="E261" s="16" t="n">
        <v>92</v>
      </c>
      <c r="F261" s="16" t="n">
        <v>0</v>
      </c>
      <c r="G261" s="16" t="n">
        <v>13</v>
      </c>
      <c r="H261" s="16" t="n">
        <v>5</v>
      </c>
      <c r="I261" s="16" t="n">
        <v>7</v>
      </c>
      <c r="J261" s="16" t="n">
        <v>8</v>
      </c>
      <c r="K261" s="16" t="n">
        <v>7</v>
      </c>
      <c r="L261" s="16" t="n">
        <v>79</v>
      </c>
      <c r="M261" s="16" t="n">
        <v>59</v>
      </c>
      <c r="N261" s="16" t="n">
        <v>0</v>
      </c>
      <c r="O261" s="9" t="str">
        <f aca="false">IF(B261="","",IFERROR(INDEX(Options!$G$6:$G$85,MATCH($B261,Options!$A$6:$A$85,0)),""))</f>
        <v>Letter</v>
      </c>
      <c r="P261" s="9" t="str">
        <f aca="false">IF(B261="","",IFERROR(INDEX(Options!$H$6:$H$85,MATCH($B261,Options!$A$6:$A$85,0)),""))</f>
        <v>Seasonal</v>
      </c>
      <c r="Q261" s="24" t="n">
        <f aca="false">IF(B261="",0,N(IFERROR(INDEX(Options!$J$6:$J$85,MATCH($B261,Options!$A$6:$A$85,0)),"")))</f>
        <v>60</v>
      </c>
      <c r="R261" s="25" t="n">
        <f aca="false">K261*Settings!$B$10+J261*Settings!$B$11+I261*Settings!$B$12+H261*Settings!$B$13</f>
        <v>7.1</v>
      </c>
      <c r="S261" s="25" t="n">
        <f aca="false">IFERROR(L261/Settings!$B$8,0)</f>
        <v>3.59090909090909</v>
      </c>
      <c r="T261" s="26" t="n">
        <f aca="false">IF(OR(B261="",P261="End of life"),0,W261*MIN(4,N261))</f>
        <v>0</v>
      </c>
      <c r="U261" s="27" t="n">
        <f aca="false">T261*Q261</f>
        <v>0</v>
      </c>
      <c r="V261" s="14" t="n">
        <f aca="false">IF(B261="",0,G261*N(IFERROR(INDEX(Options!$K$6:$K$85,MATCH($B261,Options!$A$6:$A$85,0)),"")))</f>
        <v>296.4</v>
      </c>
      <c r="W261" s="26" t="n">
        <f aca="false">IF(B261="",0,IF(N261&gt;=4,S261,(H261+I261+J261+K261)/(4-N261)))</f>
        <v>6.75</v>
      </c>
    </row>
    <row r="262" customFormat="false" ht="15" hidden="false" customHeight="false" outlineLevel="0" collapsed="false">
      <c r="A262" s="16" t="s">
        <v>592</v>
      </c>
      <c r="B262" s="16" t="s">
        <v>278</v>
      </c>
      <c r="C262" s="16" t="s">
        <v>339</v>
      </c>
      <c r="D262" s="16"/>
      <c r="E262" s="16" t="n">
        <v>50</v>
      </c>
      <c r="F262" s="16" t="n">
        <v>0</v>
      </c>
      <c r="G262" s="16" t="n">
        <v>1</v>
      </c>
      <c r="H262" s="16" t="n">
        <v>3</v>
      </c>
      <c r="I262" s="16" t="n">
        <v>3</v>
      </c>
      <c r="J262" s="16" t="n">
        <v>4</v>
      </c>
      <c r="K262" s="16" t="n">
        <v>4</v>
      </c>
      <c r="L262" s="16" t="n">
        <v>49</v>
      </c>
      <c r="M262" s="16" t="n">
        <v>37</v>
      </c>
      <c r="N262" s="16" t="n">
        <v>0</v>
      </c>
      <c r="O262" s="9" t="str">
        <f aca="false">IF(B262="","",IFERROR(INDEX(Options!$G$6:$G$85,MATCH($B262,Options!$A$6:$A$85,0)),""))</f>
        <v>Letter</v>
      </c>
      <c r="P262" s="9" t="str">
        <f aca="false">IF(B262="","",IFERROR(INDEX(Options!$H$6:$H$85,MATCH($B262,Options!$A$6:$A$85,0)),""))</f>
        <v>Seasonal</v>
      </c>
      <c r="Q262" s="24" t="n">
        <f aca="false">IF(B262="",0,N(IFERROR(INDEX(Options!$J$6:$J$85,MATCH($B262,Options!$A$6:$A$85,0)),"")))</f>
        <v>60</v>
      </c>
      <c r="R262" s="25" t="n">
        <f aca="false">K262*Settings!$B$10+J262*Settings!$B$11+I262*Settings!$B$12+H262*Settings!$B$13</f>
        <v>3.7</v>
      </c>
      <c r="S262" s="25" t="n">
        <f aca="false">IFERROR(L262/Settings!$B$8,0)</f>
        <v>2.22727272727273</v>
      </c>
      <c r="T262" s="26" t="n">
        <f aca="false">IF(OR(B262="",P262="End of life"),0,W262*MIN(4,N262))</f>
        <v>0</v>
      </c>
      <c r="U262" s="27" t="n">
        <f aca="false">T262*Q262</f>
        <v>0</v>
      </c>
      <c r="V262" s="14" t="n">
        <f aca="false">IF(B262="",0,G262*N(IFERROR(INDEX(Options!$K$6:$K$85,MATCH($B262,Options!$A$6:$A$85,0)),"")))</f>
        <v>22.8</v>
      </c>
      <c r="W262" s="26" t="n">
        <f aca="false">IF(B262="",0,IF(N262&gt;=4,S262,(H262+I262+J262+K262)/(4-N262)))</f>
        <v>3.5</v>
      </c>
    </row>
    <row r="263" customFormat="false" ht="15" hidden="false" customHeight="false" outlineLevel="0" collapsed="false">
      <c r="A263" s="16" t="s">
        <v>593</v>
      </c>
      <c r="B263" s="16" t="s">
        <v>278</v>
      </c>
      <c r="C263" s="16" t="s">
        <v>341</v>
      </c>
      <c r="D263" s="16"/>
      <c r="E263" s="16" t="n">
        <v>29</v>
      </c>
      <c r="F263" s="16" t="n">
        <v>0</v>
      </c>
      <c r="G263" s="16" t="n">
        <v>10</v>
      </c>
      <c r="H263" s="16" t="n">
        <v>1</v>
      </c>
      <c r="I263" s="16" t="n">
        <v>1</v>
      </c>
      <c r="J263" s="16" t="n">
        <v>2</v>
      </c>
      <c r="K263" s="16" t="n">
        <v>2</v>
      </c>
      <c r="L263" s="16" t="n">
        <v>19</v>
      </c>
      <c r="M263" s="16" t="n">
        <v>14</v>
      </c>
      <c r="N263" s="16" t="n">
        <v>0</v>
      </c>
      <c r="O263" s="9" t="str">
        <f aca="false">IF(B263="","",IFERROR(INDEX(Options!$G$6:$G$85,MATCH($B263,Options!$A$6:$A$85,0)),""))</f>
        <v>Letter</v>
      </c>
      <c r="P263" s="9" t="str">
        <f aca="false">IF(B263="","",IFERROR(INDEX(Options!$H$6:$H$85,MATCH($B263,Options!$A$6:$A$85,0)),""))</f>
        <v>Seasonal</v>
      </c>
      <c r="Q263" s="24" t="n">
        <f aca="false">IF(B263="",0,N(IFERROR(INDEX(Options!$J$6:$J$85,MATCH($B263,Options!$A$6:$A$85,0)),"")))</f>
        <v>60</v>
      </c>
      <c r="R263" s="25" t="n">
        <f aca="false">K263*Settings!$B$10+J263*Settings!$B$11+I263*Settings!$B$12+H263*Settings!$B$13</f>
        <v>1.7</v>
      </c>
      <c r="S263" s="25" t="n">
        <f aca="false">IFERROR(L263/Settings!$B$8,0)</f>
        <v>0.863636363636364</v>
      </c>
      <c r="T263" s="26" t="n">
        <f aca="false">IF(OR(B263="",P263="End of life"),0,W263*MIN(4,N263))</f>
        <v>0</v>
      </c>
      <c r="U263" s="27" t="n">
        <f aca="false">T263*Q263</f>
        <v>0</v>
      </c>
      <c r="V263" s="14" t="n">
        <f aca="false">IF(B263="",0,G263*N(IFERROR(INDEX(Options!$K$6:$K$85,MATCH($B263,Options!$A$6:$A$85,0)),"")))</f>
        <v>228</v>
      </c>
      <c r="W263" s="26" t="n">
        <f aca="false">IF(B263="",0,IF(N263&gt;=4,S263,(H263+I263+J263+K263)/(4-N263)))</f>
        <v>1.5</v>
      </c>
    </row>
    <row r="264" customFormat="false" ht="15" hidden="false" customHeight="false" outlineLevel="0" collapsed="false">
      <c r="A264" s="16" t="s">
        <v>594</v>
      </c>
      <c r="B264" s="16" t="s">
        <v>280</v>
      </c>
      <c r="C264" s="16" t="s">
        <v>331</v>
      </c>
      <c r="D264" s="16"/>
      <c r="E264" s="16" t="n">
        <v>167</v>
      </c>
      <c r="F264" s="16" t="n">
        <v>0</v>
      </c>
      <c r="G264" s="16" t="n">
        <v>136</v>
      </c>
      <c r="H264" s="16" t="n">
        <v>1</v>
      </c>
      <c r="I264" s="16" t="n">
        <v>1</v>
      </c>
      <c r="J264" s="16" t="n">
        <v>1</v>
      </c>
      <c r="K264" s="16" t="n">
        <v>1</v>
      </c>
      <c r="L264" s="16" t="n">
        <v>31</v>
      </c>
      <c r="M264" s="16" t="n">
        <v>19</v>
      </c>
      <c r="N264" s="16" t="n">
        <v>0</v>
      </c>
      <c r="O264" s="9" t="str">
        <f aca="false">IF(B264="","",IFERROR(INDEX(Options!$G$6:$G$85,MATCH($B264,Options!$A$6:$A$85,0)),""))</f>
        <v>Letter</v>
      </c>
      <c r="P264" s="9" t="str">
        <f aca="false">IF(B264="","",IFERROR(INDEX(Options!$H$6:$H$85,MATCH($B264,Options!$A$6:$A$85,0)),""))</f>
        <v>Seasonal</v>
      </c>
      <c r="Q264" s="24" t="n">
        <f aca="false">IF(B264="",0,N(IFERROR(INDEX(Options!$J$6:$J$85,MATCH($B264,Options!$A$6:$A$85,0)),"")))</f>
        <v>60</v>
      </c>
      <c r="R264" s="25" t="n">
        <f aca="false">K264*Settings!$B$10+J264*Settings!$B$11+I264*Settings!$B$12+H264*Settings!$B$13</f>
        <v>1</v>
      </c>
      <c r="S264" s="25" t="n">
        <f aca="false">IFERROR(L264/Settings!$B$8,0)</f>
        <v>1.40909090909091</v>
      </c>
      <c r="T264" s="26" t="n">
        <f aca="false">IF(OR(B264="",P264="End of life"),0,W264*MIN(4,N264))</f>
        <v>0</v>
      </c>
      <c r="U264" s="27" t="n">
        <f aca="false">T264*Q264</f>
        <v>0</v>
      </c>
      <c r="V264" s="14" t="n">
        <f aca="false">IF(B264="",0,G264*N(IFERROR(INDEX(Options!$K$6:$K$85,MATCH($B264,Options!$A$6:$A$85,0)),"")))</f>
        <v>3100.8</v>
      </c>
      <c r="W264" s="26" t="n">
        <f aca="false">IF(B264="",0,IF(N264&gt;=4,S264,(H264+I264+J264+K264)/(4-N264)))</f>
        <v>1</v>
      </c>
    </row>
    <row r="265" customFormat="false" ht="15" hidden="false" customHeight="false" outlineLevel="0" collapsed="false">
      <c r="A265" s="16" t="s">
        <v>595</v>
      </c>
      <c r="B265" s="16" t="s">
        <v>280</v>
      </c>
      <c r="C265" s="16" t="s">
        <v>333</v>
      </c>
      <c r="D265" s="16" t="s">
        <v>183</v>
      </c>
      <c r="E265" s="16" t="n">
        <v>371</v>
      </c>
      <c r="F265" s="16" t="n">
        <v>0</v>
      </c>
      <c r="G265" s="16" t="n">
        <v>280</v>
      </c>
      <c r="H265" s="16" t="n">
        <v>2</v>
      </c>
      <c r="I265" s="16" t="n">
        <v>3</v>
      </c>
      <c r="J265" s="16" t="n">
        <v>4</v>
      </c>
      <c r="K265" s="16" t="n">
        <v>3</v>
      </c>
      <c r="L265" s="16" t="n">
        <v>91</v>
      </c>
      <c r="M265" s="16" t="n">
        <v>55</v>
      </c>
      <c r="N265" s="16" t="n">
        <v>0</v>
      </c>
      <c r="O265" s="9" t="str">
        <f aca="false">IF(B265="","",IFERROR(INDEX(Options!$G$6:$G$85,MATCH($B265,Options!$A$6:$A$85,0)),""))</f>
        <v>Letter</v>
      </c>
      <c r="P265" s="9" t="str">
        <f aca="false">IF(B265="","",IFERROR(INDEX(Options!$H$6:$H$85,MATCH($B265,Options!$A$6:$A$85,0)),""))</f>
        <v>Seasonal</v>
      </c>
      <c r="Q265" s="24" t="n">
        <f aca="false">IF(B265="",0,N(IFERROR(INDEX(Options!$J$6:$J$85,MATCH($B265,Options!$A$6:$A$85,0)),"")))</f>
        <v>60</v>
      </c>
      <c r="R265" s="25" t="n">
        <f aca="false">K265*Settings!$B$10+J265*Settings!$B$11+I265*Settings!$B$12+H265*Settings!$B$13</f>
        <v>3.2</v>
      </c>
      <c r="S265" s="25" t="n">
        <f aca="false">IFERROR(L265/Settings!$B$8,0)</f>
        <v>4.13636363636364</v>
      </c>
      <c r="T265" s="26" t="n">
        <f aca="false">IF(OR(B265="",P265="End of life"),0,W265*MIN(4,N265))</f>
        <v>0</v>
      </c>
      <c r="U265" s="27" t="n">
        <f aca="false">T265*Q265</f>
        <v>0</v>
      </c>
      <c r="V265" s="14" t="n">
        <f aca="false">IF(B265="",0,G265*N(IFERROR(INDEX(Options!$K$6:$K$85,MATCH($B265,Options!$A$6:$A$85,0)),"")))</f>
        <v>6384</v>
      </c>
      <c r="W265" s="26" t="n">
        <f aca="false">IF(B265="",0,IF(N265&gt;=4,S265,(H265+I265+J265+K265)/(4-N265)))</f>
        <v>3</v>
      </c>
    </row>
    <row r="266" customFormat="false" ht="15" hidden="false" customHeight="false" outlineLevel="0" collapsed="false">
      <c r="A266" s="16" t="s">
        <v>596</v>
      </c>
      <c r="B266" s="16" t="s">
        <v>280</v>
      </c>
      <c r="C266" s="16" t="s">
        <v>335</v>
      </c>
      <c r="D266" s="16" t="s">
        <v>183</v>
      </c>
      <c r="E266" s="16" t="n">
        <v>619</v>
      </c>
      <c r="F266" s="16" t="n">
        <v>0</v>
      </c>
      <c r="G266" s="16" t="n">
        <v>468</v>
      </c>
      <c r="H266" s="16" t="n">
        <v>6</v>
      </c>
      <c r="I266" s="16" t="n">
        <v>6</v>
      </c>
      <c r="J266" s="16" t="n">
        <v>4</v>
      </c>
      <c r="K266" s="16" t="n">
        <v>5</v>
      </c>
      <c r="L266" s="16" t="n">
        <v>151</v>
      </c>
      <c r="M266" s="16" t="n">
        <v>91</v>
      </c>
      <c r="N266" s="16" t="n">
        <v>0</v>
      </c>
      <c r="O266" s="9" t="str">
        <f aca="false">IF(B266="","",IFERROR(INDEX(Options!$G$6:$G$85,MATCH($B266,Options!$A$6:$A$85,0)),""))</f>
        <v>Letter</v>
      </c>
      <c r="P266" s="9" t="str">
        <f aca="false">IF(B266="","",IFERROR(INDEX(Options!$H$6:$H$85,MATCH($B266,Options!$A$6:$A$85,0)),""))</f>
        <v>Seasonal</v>
      </c>
      <c r="Q266" s="24" t="n">
        <f aca="false">IF(B266="",0,N(IFERROR(INDEX(Options!$J$6:$J$85,MATCH($B266,Options!$A$6:$A$85,0)),"")))</f>
        <v>60</v>
      </c>
      <c r="R266" s="25" t="n">
        <f aca="false">K266*Settings!$B$10+J266*Settings!$B$11+I266*Settings!$B$12+H266*Settings!$B$13</f>
        <v>5</v>
      </c>
      <c r="S266" s="25" t="n">
        <f aca="false">IFERROR(L266/Settings!$B$8,0)</f>
        <v>6.86363636363636</v>
      </c>
      <c r="T266" s="26" t="n">
        <f aca="false">IF(OR(B266="",P266="End of life"),0,W266*MIN(4,N266))</f>
        <v>0</v>
      </c>
      <c r="U266" s="27" t="n">
        <f aca="false">T266*Q266</f>
        <v>0</v>
      </c>
      <c r="V266" s="14" t="n">
        <f aca="false">IF(B266="",0,G266*N(IFERROR(INDEX(Options!$K$6:$K$85,MATCH($B266,Options!$A$6:$A$85,0)),"")))</f>
        <v>10670.4</v>
      </c>
      <c r="W266" s="26" t="n">
        <f aca="false">IF(B266="",0,IF(N266&gt;=4,S266,(H266+I266+J266+K266)/(4-N266)))</f>
        <v>5.25</v>
      </c>
    </row>
    <row r="267" customFormat="false" ht="15" hidden="false" customHeight="false" outlineLevel="0" collapsed="false">
      <c r="A267" s="16" t="s">
        <v>597</v>
      </c>
      <c r="B267" s="16" t="s">
        <v>280</v>
      </c>
      <c r="C267" s="16" t="s">
        <v>337</v>
      </c>
      <c r="D267" s="16" t="s">
        <v>183</v>
      </c>
      <c r="E267" s="16" t="n">
        <v>537</v>
      </c>
      <c r="F267" s="16" t="n">
        <v>0</v>
      </c>
      <c r="G267" s="16" t="n">
        <v>413</v>
      </c>
      <c r="H267" s="16" t="n">
        <v>4</v>
      </c>
      <c r="I267" s="16" t="n">
        <v>3</v>
      </c>
      <c r="J267" s="16" t="n">
        <v>5</v>
      </c>
      <c r="K267" s="16" t="n">
        <v>6</v>
      </c>
      <c r="L267" s="16" t="n">
        <v>124</v>
      </c>
      <c r="M267" s="16" t="n">
        <v>74</v>
      </c>
      <c r="N267" s="16" t="n">
        <v>0</v>
      </c>
      <c r="O267" s="9" t="str">
        <f aca="false">IF(B267="","",IFERROR(INDEX(Options!$G$6:$G$85,MATCH($B267,Options!$A$6:$A$85,0)),""))</f>
        <v>Letter</v>
      </c>
      <c r="P267" s="9" t="str">
        <f aca="false">IF(B267="","",IFERROR(INDEX(Options!$H$6:$H$85,MATCH($B267,Options!$A$6:$A$85,0)),""))</f>
        <v>Seasonal</v>
      </c>
      <c r="Q267" s="24" t="n">
        <f aca="false">IF(B267="",0,N(IFERROR(INDEX(Options!$J$6:$J$85,MATCH($B267,Options!$A$6:$A$85,0)),"")))</f>
        <v>60</v>
      </c>
      <c r="R267" s="25" t="n">
        <f aca="false">K267*Settings!$B$10+J267*Settings!$B$11+I267*Settings!$B$12+H267*Settings!$B$13</f>
        <v>4.9</v>
      </c>
      <c r="S267" s="25" t="n">
        <f aca="false">IFERROR(L267/Settings!$B$8,0)</f>
        <v>5.63636363636364</v>
      </c>
      <c r="T267" s="26" t="n">
        <f aca="false">IF(OR(B267="",P267="End of life"),0,W267*MIN(4,N267))</f>
        <v>0</v>
      </c>
      <c r="U267" s="27" t="n">
        <f aca="false">T267*Q267</f>
        <v>0</v>
      </c>
      <c r="V267" s="14" t="n">
        <f aca="false">IF(B267="",0,G267*N(IFERROR(INDEX(Options!$K$6:$K$85,MATCH($B267,Options!$A$6:$A$85,0)),"")))</f>
        <v>9416.4</v>
      </c>
      <c r="W267" s="26" t="n">
        <f aca="false">IF(B267="",0,IF(N267&gt;=4,S267,(H267+I267+J267+K267)/(4-N267)))</f>
        <v>4.5</v>
      </c>
    </row>
    <row r="268" customFormat="false" ht="15" hidden="false" customHeight="false" outlineLevel="0" collapsed="false">
      <c r="A268" s="16" t="s">
        <v>598</v>
      </c>
      <c r="B268" s="16" t="s">
        <v>280</v>
      </c>
      <c r="C268" s="16" t="s">
        <v>339</v>
      </c>
      <c r="D268" s="16"/>
      <c r="E268" s="16" t="n">
        <v>289</v>
      </c>
      <c r="F268" s="16" t="n">
        <v>0</v>
      </c>
      <c r="G268" s="16" t="n">
        <v>224</v>
      </c>
      <c r="H268" s="16" t="n">
        <v>2</v>
      </c>
      <c r="I268" s="16" t="n">
        <v>2</v>
      </c>
      <c r="J268" s="16" t="n">
        <v>3</v>
      </c>
      <c r="K268" s="16" t="n">
        <v>3</v>
      </c>
      <c r="L268" s="16" t="n">
        <v>65</v>
      </c>
      <c r="M268" s="16" t="n">
        <v>39</v>
      </c>
      <c r="N268" s="16" t="n">
        <v>0</v>
      </c>
      <c r="O268" s="9" t="str">
        <f aca="false">IF(B268="","",IFERROR(INDEX(Options!$G$6:$G$85,MATCH($B268,Options!$A$6:$A$85,0)),""))</f>
        <v>Letter</v>
      </c>
      <c r="P268" s="9" t="str">
        <f aca="false">IF(B268="","",IFERROR(INDEX(Options!$H$6:$H$85,MATCH($B268,Options!$A$6:$A$85,0)),""))</f>
        <v>Seasonal</v>
      </c>
      <c r="Q268" s="24" t="n">
        <f aca="false">IF(B268="",0,N(IFERROR(INDEX(Options!$J$6:$J$85,MATCH($B268,Options!$A$6:$A$85,0)),"")))</f>
        <v>60</v>
      </c>
      <c r="R268" s="25" t="n">
        <f aca="false">K268*Settings!$B$10+J268*Settings!$B$11+I268*Settings!$B$12+H268*Settings!$B$13</f>
        <v>2.7</v>
      </c>
      <c r="S268" s="25" t="n">
        <f aca="false">IFERROR(L268/Settings!$B$8,0)</f>
        <v>2.95454545454545</v>
      </c>
      <c r="T268" s="26" t="n">
        <f aca="false">IF(OR(B268="",P268="End of life"),0,W268*MIN(4,N268))</f>
        <v>0</v>
      </c>
      <c r="U268" s="27" t="n">
        <f aca="false">T268*Q268</f>
        <v>0</v>
      </c>
      <c r="V268" s="14" t="n">
        <f aca="false">IF(B268="",0,G268*N(IFERROR(INDEX(Options!$K$6:$K$85,MATCH($B268,Options!$A$6:$A$85,0)),"")))</f>
        <v>5107.2</v>
      </c>
      <c r="W268" s="26" t="n">
        <f aca="false">IF(B268="",0,IF(N268&gt;=4,S268,(H268+I268+J268+K268)/(4-N268)))</f>
        <v>2.5</v>
      </c>
    </row>
    <row r="269" customFormat="false" ht="15" hidden="false" customHeight="false" outlineLevel="0" collapsed="false">
      <c r="A269" s="16" t="s">
        <v>599</v>
      </c>
      <c r="B269" s="16" t="s">
        <v>280</v>
      </c>
      <c r="C269" s="16" t="s">
        <v>341</v>
      </c>
      <c r="D269" s="16"/>
      <c r="E269" s="16" t="n">
        <v>167</v>
      </c>
      <c r="F269" s="16" t="n">
        <v>0</v>
      </c>
      <c r="G269" s="16" t="n">
        <v>137</v>
      </c>
      <c r="H269" s="16" t="n">
        <v>1</v>
      </c>
      <c r="I269" s="16" t="n">
        <v>1</v>
      </c>
      <c r="J269" s="16" t="n">
        <v>1</v>
      </c>
      <c r="K269" s="16" t="n">
        <v>1</v>
      </c>
      <c r="L269" s="16" t="n">
        <v>30</v>
      </c>
      <c r="M269" s="16" t="n">
        <v>18</v>
      </c>
      <c r="N269" s="16" t="n">
        <v>0</v>
      </c>
      <c r="O269" s="9" t="str">
        <f aca="false">IF(B269="","",IFERROR(INDEX(Options!$G$6:$G$85,MATCH($B269,Options!$A$6:$A$85,0)),""))</f>
        <v>Letter</v>
      </c>
      <c r="P269" s="9" t="str">
        <f aca="false">IF(B269="","",IFERROR(INDEX(Options!$H$6:$H$85,MATCH($B269,Options!$A$6:$A$85,0)),""))</f>
        <v>Seasonal</v>
      </c>
      <c r="Q269" s="24" t="n">
        <f aca="false">IF(B269="",0,N(IFERROR(INDEX(Options!$J$6:$J$85,MATCH($B269,Options!$A$6:$A$85,0)),"")))</f>
        <v>60</v>
      </c>
      <c r="R269" s="25" t="n">
        <f aca="false">K269*Settings!$B$10+J269*Settings!$B$11+I269*Settings!$B$12+H269*Settings!$B$13</f>
        <v>1</v>
      </c>
      <c r="S269" s="25" t="n">
        <f aca="false">IFERROR(L269/Settings!$B$8,0)</f>
        <v>1.36363636363636</v>
      </c>
      <c r="T269" s="26" t="n">
        <f aca="false">IF(OR(B269="",P269="End of life"),0,W269*MIN(4,N269))</f>
        <v>0</v>
      </c>
      <c r="U269" s="27" t="n">
        <f aca="false">T269*Q269</f>
        <v>0</v>
      </c>
      <c r="V269" s="14" t="n">
        <f aca="false">IF(B269="",0,G269*N(IFERROR(INDEX(Options!$K$6:$K$85,MATCH($B269,Options!$A$6:$A$85,0)),"")))</f>
        <v>3123.6</v>
      </c>
      <c r="W269" s="26" t="n">
        <f aca="false">IF(B269="",0,IF(N269&gt;=4,S269,(H269+I269+J269+K269)/(4-N269)))</f>
        <v>1</v>
      </c>
    </row>
    <row r="270" customFormat="false" ht="15" hidden="false" customHeight="false" outlineLevel="0" collapsed="false">
      <c r="A270" s="16" t="s">
        <v>600</v>
      </c>
      <c r="B270" s="16" t="s">
        <v>281</v>
      </c>
      <c r="C270" s="16" t="s">
        <v>331</v>
      </c>
      <c r="D270" s="16"/>
      <c r="E270" s="16" t="n">
        <v>40</v>
      </c>
      <c r="F270" s="16" t="n">
        <v>0</v>
      </c>
      <c r="G270" s="16" t="n">
        <v>11</v>
      </c>
      <c r="H270" s="16" t="n">
        <v>1</v>
      </c>
      <c r="I270" s="16" t="n">
        <v>2</v>
      </c>
      <c r="J270" s="16" t="n">
        <v>2</v>
      </c>
      <c r="K270" s="16" t="n">
        <v>2</v>
      </c>
      <c r="L270" s="16" t="n">
        <v>29</v>
      </c>
      <c r="M270" s="16" t="n">
        <v>26</v>
      </c>
      <c r="N270" s="16" t="n">
        <v>0</v>
      </c>
      <c r="O270" s="9" t="str">
        <f aca="false">IF(B270="","",IFERROR(INDEX(Options!$G$6:$G$85,MATCH($B270,Options!$A$6:$A$85,0)),""))</f>
        <v>Letter</v>
      </c>
      <c r="P270" s="9" t="str">
        <f aca="false">IF(B270="","",IFERROR(INDEX(Options!$H$6:$H$85,MATCH($B270,Options!$A$6:$A$85,0)),""))</f>
        <v>Core</v>
      </c>
      <c r="Q270" s="24" t="n">
        <f aca="false">IF(B270="",0,N(IFERROR(INDEX(Options!$J$6:$J$85,MATCH($B270,Options!$A$6:$A$85,0)),"")))</f>
        <v>55</v>
      </c>
      <c r="R270" s="25" t="n">
        <f aca="false">K270*Settings!$B$10+J270*Settings!$B$11+I270*Settings!$B$12+H270*Settings!$B$13</f>
        <v>1.9</v>
      </c>
      <c r="S270" s="25" t="n">
        <f aca="false">IFERROR(L270/Settings!$B$8,0)</f>
        <v>1.31818181818182</v>
      </c>
      <c r="T270" s="26" t="n">
        <f aca="false">IF(OR(B270="",P270="End of life"),0,W270*MIN(4,N270))</f>
        <v>0</v>
      </c>
      <c r="U270" s="27" t="n">
        <f aca="false">T270*Q270</f>
        <v>0</v>
      </c>
      <c r="V270" s="14" t="n">
        <f aca="false">IF(B270="",0,G270*N(IFERROR(INDEX(Options!$K$6:$K$85,MATCH($B270,Options!$A$6:$A$85,0)),"")))</f>
        <v>229.9</v>
      </c>
      <c r="W270" s="26" t="n">
        <f aca="false">IF(B270="",0,IF(N270&gt;=4,S270,(H270+I270+J270+K270)/(4-N270)))</f>
        <v>1.75</v>
      </c>
    </row>
    <row r="271" customFormat="false" ht="15" hidden="false" customHeight="false" outlineLevel="0" collapsed="false">
      <c r="A271" s="16" t="s">
        <v>601</v>
      </c>
      <c r="B271" s="16" t="s">
        <v>281</v>
      </c>
      <c r="C271" s="16" t="s">
        <v>333</v>
      </c>
      <c r="D271" s="16" t="s">
        <v>183</v>
      </c>
      <c r="E271" s="16" t="n">
        <v>88</v>
      </c>
      <c r="F271" s="16" t="n">
        <v>0</v>
      </c>
      <c r="G271" s="16" t="n">
        <v>13</v>
      </c>
      <c r="H271" s="16" t="n">
        <v>5</v>
      </c>
      <c r="I271" s="16" t="n">
        <v>3</v>
      </c>
      <c r="J271" s="16" t="n">
        <v>5</v>
      </c>
      <c r="K271" s="16" t="n">
        <v>4</v>
      </c>
      <c r="L271" s="16" t="n">
        <v>75</v>
      </c>
      <c r="M271" s="16" t="n">
        <v>66</v>
      </c>
      <c r="N271" s="16" t="n">
        <v>0</v>
      </c>
      <c r="O271" s="9" t="str">
        <f aca="false">IF(B271="","",IFERROR(INDEX(Options!$G$6:$G$85,MATCH($B271,Options!$A$6:$A$85,0)),""))</f>
        <v>Letter</v>
      </c>
      <c r="P271" s="9" t="str">
        <f aca="false">IF(B271="","",IFERROR(INDEX(Options!$H$6:$H$85,MATCH($B271,Options!$A$6:$A$85,0)),""))</f>
        <v>Core</v>
      </c>
      <c r="Q271" s="24" t="n">
        <f aca="false">IF(B271="",0,N(IFERROR(INDEX(Options!$J$6:$J$85,MATCH($B271,Options!$A$6:$A$85,0)),"")))</f>
        <v>55</v>
      </c>
      <c r="R271" s="25" t="n">
        <f aca="false">K271*Settings!$B$10+J271*Settings!$B$11+I271*Settings!$B$12+H271*Settings!$B$13</f>
        <v>4.2</v>
      </c>
      <c r="S271" s="25" t="n">
        <f aca="false">IFERROR(L271/Settings!$B$8,0)</f>
        <v>3.40909090909091</v>
      </c>
      <c r="T271" s="26" t="n">
        <f aca="false">IF(OR(B271="",P271="End of life"),0,W271*MIN(4,N271))</f>
        <v>0</v>
      </c>
      <c r="U271" s="27" t="n">
        <f aca="false">T271*Q271</f>
        <v>0</v>
      </c>
      <c r="V271" s="14" t="n">
        <f aca="false">IF(B271="",0,G271*N(IFERROR(INDEX(Options!$K$6:$K$85,MATCH($B271,Options!$A$6:$A$85,0)),"")))</f>
        <v>271.7</v>
      </c>
      <c r="W271" s="26" t="n">
        <f aca="false">IF(B271="",0,IF(N271&gt;=4,S271,(H271+I271+J271+K271)/(4-N271)))</f>
        <v>4.25</v>
      </c>
    </row>
    <row r="272" customFormat="false" ht="15" hidden="false" customHeight="false" outlineLevel="0" collapsed="false">
      <c r="A272" s="16" t="s">
        <v>602</v>
      </c>
      <c r="B272" s="16" t="s">
        <v>281</v>
      </c>
      <c r="C272" s="16" t="s">
        <v>335</v>
      </c>
      <c r="D272" s="16" t="s">
        <v>183</v>
      </c>
      <c r="E272" s="16" t="n">
        <v>147</v>
      </c>
      <c r="F272" s="16" t="n">
        <v>0</v>
      </c>
      <c r="G272" s="16" t="n">
        <v>3</v>
      </c>
      <c r="H272" s="16" t="n">
        <v>8</v>
      </c>
      <c r="I272" s="16" t="n">
        <v>6</v>
      </c>
      <c r="J272" s="16" t="n">
        <v>8</v>
      </c>
      <c r="K272" s="16" t="n">
        <v>10</v>
      </c>
      <c r="L272" s="16" t="n">
        <v>144</v>
      </c>
      <c r="M272" s="16" t="n">
        <v>127</v>
      </c>
      <c r="N272" s="16" t="n">
        <v>0</v>
      </c>
      <c r="O272" s="9" t="str">
        <f aca="false">IF(B272="","",IFERROR(INDEX(Options!$G$6:$G$85,MATCH($B272,Options!$A$6:$A$85,0)),""))</f>
        <v>Letter</v>
      </c>
      <c r="P272" s="9" t="str">
        <f aca="false">IF(B272="","",IFERROR(INDEX(Options!$H$6:$H$85,MATCH($B272,Options!$A$6:$A$85,0)),""))</f>
        <v>Core</v>
      </c>
      <c r="Q272" s="24" t="n">
        <f aca="false">IF(B272="",0,N(IFERROR(INDEX(Options!$J$6:$J$85,MATCH($B272,Options!$A$6:$A$85,0)),"")))</f>
        <v>55</v>
      </c>
      <c r="R272" s="25" t="n">
        <f aca="false">K272*Settings!$B$10+J272*Settings!$B$11+I272*Settings!$B$12+H272*Settings!$B$13</f>
        <v>8.4</v>
      </c>
      <c r="S272" s="25" t="n">
        <f aca="false">IFERROR(L272/Settings!$B$8,0)</f>
        <v>6.54545454545455</v>
      </c>
      <c r="T272" s="26" t="n">
        <f aca="false">IF(OR(B272="",P272="End of life"),0,W272*MIN(4,N272))</f>
        <v>0</v>
      </c>
      <c r="U272" s="27" t="n">
        <f aca="false">T272*Q272</f>
        <v>0</v>
      </c>
      <c r="V272" s="14" t="n">
        <f aca="false">IF(B272="",0,G272*N(IFERROR(INDEX(Options!$K$6:$K$85,MATCH($B272,Options!$A$6:$A$85,0)),"")))</f>
        <v>62.7</v>
      </c>
      <c r="W272" s="26" t="n">
        <f aca="false">IF(B272="",0,IF(N272&gt;=4,S272,(H272+I272+J272+K272)/(4-N272)))</f>
        <v>8</v>
      </c>
    </row>
    <row r="273" customFormat="false" ht="15" hidden="false" customHeight="false" outlineLevel="0" collapsed="false">
      <c r="A273" s="16" t="s">
        <v>603</v>
      </c>
      <c r="B273" s="16" t="s">
        <v>281</v>
      </c>
      <c r="C273" s="16" t="s">
        <v>337</v>
      </c>
      <c r="D273" s="16" t="s">
        <v>183</v>
      </c>
      <c r="E273" s="16" t="n">
        <v>128</v>
      </c>
      <c r="F273" s="16" t="n">
        <v>0</v>
      </c>
      <c r="G273" s="16" t="n">
        <v>0</v>
      </c>
      <c r="H273" s="16" t="n">
        <v>0</v>
      </c>
      <c r="I273" s="16" t="n">
        <v>0</v>
      </c>
      <c r="J273" s="16" t="n">
        <v>0</v>
      </c>
      <c r="K273" s="16" t="n">
        <v>0</v>
      </c>
      <c r="L273" s="16" t="n">
        <v>128</v>
      </c>
      <c r="M273" s="16" t="n">
        <v>113</v>
      </c>
      <c r="N273" s="16" t="n">
        <v>4</v>
      </c>
      <c r="O273" s="9" t="str">
        <f aca="false">IF(B273="","",IFERROR(INDEX(Options!$G$6:$G$85,MATCH($B273,Options!$A$6:$A$85,0)),""))</f>
        <v>Letter</v>
      </c>
      <c r="P273" s="9" t="str">
        <f aca="false">IF(B273="","",IFERROR(INDEX(Options!$H$6:$H$85,MATCH($B273,Options!$A$6:$A$85,0)),""))</f>
        <v>Core</v>
      </c>
      <c r="Q273" s="24" t="n">
        <f aca="false">IF(B273="",0,N(IFERROR(INDEX(Options!$J$6:$J$85,MATCH($B273,Options!$A$6:$A$85,0)),"")))</f>
        <v>55</v>
      </c>
      <c r="R273" s="25" t="n">
        <f aca="false">K273*Settings!$B$10+J273*Settings!$B$11+I273*Settings!$B$12+H273*Settings!$B$13</f>
        <v>0</v>
      </c>
      <c r="S273" s="25" t="n">
        <f aca="false">IFERROR(L273/Settings!$B$8,0)</f>
        <v>5.81818181818182</v>
      </c>
      <c r="T273" s="26" t="n">
        <f aca="false">IF(OR(B273="",P273="End of life"),0,W273*MIN(4,N273))</f>
        <v>23.2727272727273</v>
      </c>
      <c r="U273" s="27" t="n">
        <f aca="false">T273*Q273</f>
        <v>1280</v>
      </c>
      <c r="V273" s="14" t="n">
        <f aca="false">IF(B273="",0,G273*N(IFERROR(INDEX(Options!$K$6:$K$85,MATCH($B273,Options!$A$6:$A$85,0)),"")))</f>
        <v>0</v>
      </c>
      <c r="W273" s="26" t="n">
        <f aca="false">IF(B273="",0,IF(N273&gt;=4,S273,(H273+I273+J273+K273)/(4-N273)))</f>
        <v>5.81818181818182</v>
      </c>
    </row>
    <row r="274" customFormat="false" ht="15" hidden="false" customHeight="false" outlineLevel="0" collapsed="false">
      <c r="A274" s="16" t="s">
        <v>604</v>
      </c>
      <c r="B274" s="16" t="s">
        <v>281</v>
      </c>
      <c r="C274" s="16" t="s">
        <v>339</v>
      </c>
      <c r="D274" s="16"/>
      <c r="E274" s="16" t="n">
        <v>69</v>
      </c>
      <c r="F274" s="16" t="n">
        <v>0</v>
      </c>
      <c r="G274" s="16" t="n">
        <v>8</v>
      </c>
      <c r="H274" s="16" t="n">
        <v>4</v>
      </c>
      <c r="I274" s="16" t="n">
        <v>4</v>
      </c>
      <c r="J274" s="16" t="n">
        <v>5</v>
      </c>
      <c r="K274" s="16" t="n">
        <v>3</v>
      </c>
      <c r="L274" s="16" t="n">
        <v>61</v>
      </c>
      <c r="M274" s="16" t="n">
        <v>54</v>
      </c>
      <c r="N274" s="16" t="n">
        <v>0</v>
      </c>
      <c r="O274" s="9" t="str">
        <f aca="false">IF(B274="","",IFERROR(INDEX(Options!$G$6:$G$85,MATCH($B274,Options!$A$6:$A$85,0)),""))</f>
        <v>Letter</v>
      </c>
      <c r="P274" s="9" t="str">
        <f aca="false">IF(B274="","",IFERROR(INDEX(Options!$H$6:$H$85,MATCH($B274,Options!$A$6:$A$85,0)),""))</f>
        <v>Core</v>
      </c>
      <c r="Q274" s="24" t="n">
        <f aca="false">IF(B274="",0,N(IFERROR(INDEX(Options!$J$6:$J$85,MATCH($B274,Options!$A$6:$A$85,0)),"")))</f>
        <v>55</v>
      </c>
      <c r="R274" s="25" t="n">
        <f aca="false">K274*Settings!$B$10+J274*Settings!$B$11+I274*Settings!$B$12+H274*Settings!$B$13</f>
        <v>3.9</v>
      </c>
      <c r="S274" s="25" t="n">
        <f aca="false">IFERROR(L274/Settings!$B$8,0)</f>
        <v>2.77272727272727</v>
      </c>
      <c r="T274" s="26" t="n">
        <f aca="false">IF(OR(B274="",P274="End of life"),0,W274*MIN(4,N274))</f>
        <v>0</v>
      </c>
      <c r="U274" s="27" t="n">
        <f aca="false">T274*Q274</f>
        <v>0</v>
      </c>
      <c r="V274" s="14" t="n">
        <f aca="false">IF(B274="",0,G274*N(IFERROR(INDEX(Options!$K$6:$K$85,MATCH($B274,Options!$A$6:$A$85,0)),"")))</f>
        <v>167.2</v>
      </c>
      <c r="W274" s="26" t="n">
        <f aca="false">IF(B274="",0,IF(N274&gt;=4,S274,(H274+I274+J274+K274)/(4-N274)))</f>
        <v>4</v>
      </c>
    </row>
    <row r="275" customFormat="false" ht="15" hidden="false" customHeight="false" outlineLevel="0" collapsed="false">
      <c r="A275" s="16" t="s">
        <v>605</v>
      </c>
      <c r="B275" s="16" t="s">
        <v>281</v>
      </c>
      <c r="C275" s="16" t="s">
        <v>341</v>
      </c>
      <c r="D275" s="16"/>
      <c r="E275" s="16" t="n">
        <v>40</v>
      </c>
      <c r="F275" s="16" t="n">
        <v>0</v>
      </c>
      <c r="G275" s="16" t="n">
        <v>12</v>
      </c>
      <c r="H275" s="16" t="n">
        <v>2</v>
      </c>
      <c r="I275" s="16" t="n">
        <v>1</v>
      </c>
      <c r="J275" s="16" t="n">
        <v>2</v>
      </c>
      <c r="K275" s="16" t="n">
        <v>2</v>
      </c>
      <c r="L275" s="16" t="n">
        <v>28</v>
      </c>
      <c r="M275" s="16" t="n">
        <v>25</v>
      </c>
      <c r="N275" s="16" t="n">
        <v>0</v>
      </c>
      <c r="O275" s="9" t="str">
        <f aca="false">IF(B275="","",IFERROR(INDEX(Options!$G$6:$G$85,MATCH($B275,Options!$A$6:$A$85,0)),""))</f>
        <v>Letter</v>
      </c>
      <c r="P275" s="9" t="str">
        <f aca="false">IF(B275="","",IFERROR(INDEX(Options!$H$6:$H$85,MATCH($B275,Options!$A$6:$A$85,0)),""))</f>
        <v>Core</v>
      </c>
      <c r="Q275" s="24" t="n">
        <f aca="false">IF(B275="",0,N(IFERROR(INDEX(Options!$J$6:$J$85,MATCH($B275,Options!$A$6:$A$85,0)),"")))</f>
        <v>55</v>
      </c>
      <c r="R275" s="25" t="n">
        <f aca="false">K275*Settings!$B$10+J275*Settings!$B$11+I275*Settings!$B$12+H275*Settings!$B$13</f>
        <v>1.8</v>
      </c>
      <c r="S275" s="25" t="n">
        <f aca="false">IFERROR(L275/Settings!$B$8,0)</f>
        <v>1.27272727272727</v>
      </c>
      <c r="T275" s="26" t="n">
        <f aca="false">IF(OR(B275="",P275="End of life"),0,W275*MIN(4,N275))</f>
        <v>0</v>
      </c>
      <c r="U275" s="27" t="n">
        <f aca="false">T275*Q275</f>
        <v>0</v>
      </c>
      <c r="V275" s="14" t="n">
        <f aca="false">IF(B275="",0,G275*N(IFERROR(INDEX(Options!$K$6:$K$85,MATCH($B275,Options!$A$6:$A$85,0)),"")))</f>
        <v>250.8</v>
      </c>
      <c r="W275" s="26" t="n">
        <f aca="false">IF(B275="",0,IF(N275&gt;=4,S275,(H275+I275+J275+K275)/(4-N275)))</f>
        <v>1.75</v>
      </c>
    </row>
    <row r="276" customFormat="false" ht="15" hidden="false" customHeight="false" outlineLevel="0" collapsed="false">
      <c r="A276" s="16" t="s">
        <v>606</v>
      </c>
      <c r="B276" s="16" t="s">
        <v>283</v>
      </c>
      <c r="C276" s="16" t="s">
        <v>607</v>
      </c>
      <c r="D276" s="16"/>
      <c r="E276" s="16" t="n">
        <v>23</v>
      </c>
      <c r="F276" s="16" t="n">
        <v>0</v>
      </c>
      <c r="G276" s="16" t="n">
        <v>8</v>
      </c>
      <c r="H276" s="16" t="n">
        <v>1</v>
      </c>
      <c r="I276" s="16" t="n">
        <v>1</v>
      </c>
      <c r="J276" s="16" t="n">
        <v>1</v>
      </c>
      <c r="K276" s="16" t="n">
        <v>1</v>
      </c>
      <c r="L276" s="16" t="n">
        <v>15</v>
      </c>
      <c r="M276" s="16" t="n">
        <v>13</v>
      </c>
      <c r="N276" s="16" t="n">
        <v>0</v>
      </c>
      <c r="O276" s="9" t="str">
        <f aca="false">IF(B276="","",IFERROR(INDEX(Options!$G$6:$G$85,MATCH($B276,Options!$A$6:$A$85,0)),""))</f>
        <v>Waist</v>
      </c>
      <c r="P276" s="9" t="str">
        <f aca="false">IF(B276="","",IFERROR(INDEX(Options!$H$6:$H$85,MATCH($B276,Options!$A$6:$A$85,0)),""))</f>
        <v>Seasonal</v>
      </c>
      <c r="Q276" s="24" t="n">
        <f aca="false">IF(B276="",0,N(IFERROR(INDEX(Options!$J$6:$J$85,MATCH($B276,Options!$A$6:$A$85,0)),"")))</f>
        <v>70</v>
      </c>
      <c r="R276" s="25" t="n">
        <f aca="false">K276*Settings!$B$10+J276*Settings!$B$11+I276*Settings!$B$12+H276*Settings!$B$13</f>
        <v>1</v>
      </c>
      <c r="S276" s="25" t="n">
        <f aca="false">IFERROR(L276/Settings!$B$8,0)</f>
        <v>0.681818181818182</v>
      </c>
      <c r="T276" s="26" t="n">
        <f aca="false">IF(OR(B276="",P276="End of life"),0,W276*MIN(4,N276))</f>
        <v>0</v>
      </c>
      <c r="U276" s="27" t="n">
        <f aca="false">T276*Q276</f>
        <v>0</v>
      </c>
      <c r="V276" s="14" t="n">
        <f aca="false">IF(B276="",0,G276*N(IFERROR(INDEX(Options!$K$6:$K$85,MATCH($B276,Options!$A$6:$A$85,0)),"")))</f>
        <v>212.8</v>
      </c>
      <c r="W276" s="26" t="n">
        <f aca="false">IF(B276="",0,IF(N276&gt;=4,S276,(H276+I276+J276+K276)/(4-N276)))</f>
        <v>1</v>
      </c>
    </row>
    <row r="277" customFormat="false" ht="15" hidden="false" customHeight="false" outlineLevel="0" collapsed="false">
      <c r="A277" s="16" t="s">
        <v>608</v>
      </c>
      <c r="B277" s="16" t="s">
        <v>283</v>
      </c>
      <c r="C277" s="16" t="s">
        <v>609</v>
      </c>
      <c r="D277" s="16"/>
      <c r="E277" s="16" t="n">
        <v>40</v>
      </c>
      <c r="F277" s="16" t="n">
        <v>0</v>
      </c>
      <c r="G277" s="16" t="n">
        <v>5</v>
      </c>
      <c r="H277" s="16" t="n">
        <v>1</v>
      </c>
      <c r="I277" s="16" t="n">
        <v>2</v>
      </c>
      <c r="J277" s="16" t="n">
        <v>2</v>
      </c>
      <c r="K277" s="16" t="n">
        <v>1</v>
      </c>
      <c r="L277" s="16" t="n">
        <v>35</v>
      </c>
      <c r="M277" s="16" t="n">
        <v>31</v>
      </c>
      <c r="N277" s="16" t="n">
        <v>0</v>
      </c>
      <c r="O277" s="9" t="str">
        <f aca="false">IF(B277="","",IFERROR(INDEX(Options!$G$6:$G$85,MATCH($B277,Options!$A$6:$A$85,0)),""))</f>
        <v>Waist</v>
      </c>
      <c r="P277" s="9" t="str">
        <f aca="false">IF(B277="","",IFERROR(INDEX(Options!$H$6:$H$85,MATCH($B277,Options!$A$6:$A$85,0)),""))</f>
        <v>Seasonal</v>
      </c>
      <c r="Q277" s="24" t="n">
        <f aca="false">IF(B277="",0,N(IFERROR(INDEX(Options!$J$6:$J$85,MATCH($B277,Options!$A$6:$A$85,0)),"")))</f>
        <v>70</v>
      </c>
      <c r="R277" s="25" t="n">
        <f aca="false">K277*Settings!$B$10+J277*Settings!$B$11+I277*Settings!$B$12+H277*Settings!$B$13</f>
        <v>1.5</v>
      </c>
      <c r="S277" s="25" t="n">
        <f aca="false">IFERROR(L277/Settings!$B$8,0)</f>
        <v>1.59090909090909</v>
      </c>
      <c r="T277" s="26" t="n">
        <f aca="false">IF(OR(B277="",P277="End of life"),0,W277*MIN(4,N277))</f>
        <v>0</v>
      </c>
      <c r="U277" s="27" t="n">
        <f aca="false">T277*Q277</f>
        <v>0</v>
      </c>
      <c r="V277" s="14" t="n">
        <f aca="false">IF(B277="",0,G277*N(IFERROR(INDEX(Options!$K$6:$K$85,MATCH($B277,Options!$A$6:$A$85,0)),"")))</f>
        <v>133</v>
      </c>
      <c r="W277" s="26" t="n">
        <f aca="false">IF(B277="",0,IF(N277&gt;=4,S277,(H277+I277+J277+K277)/(4-N277)))</f>
        <v>1.5</v>
      </c>
    </row>
    <row r="278" customFormat="false" ht="15" hidden="false" customHeight="false" outlineLevel="0" collapsed="false">
      <c r="A278" s="16" t="s">
        <v>610</v>
      </c>
      <c r="B278" s="16" t="s">
        <v>283</v>
      </c>
      <c r="C278" s="16" t="s">
        <v>611</v>
      </c>
      <c r="D278" s="16" t="s">
        <v>183</v>
      </c>
      <c r="E278" s="16" t="n">
        <v>74</v>
      </c>
      <c r="F278" s="16" t="n">
        <v>0</v>
      </c>
      <c r="G278" s="16" t="n">
        <v>14</v>
      </c>
      <c r="H278" s="16" t="n">
        <v>3</v>
      </c>
      <c r="I278" s="16" t="n">
        <v>2</v>
      </c>
      <c r="J278" s="16" t="n">
        <v>3</v>
      </c>
      <c r="K278" s="16" t="n">
        <v>3</v>
      </c>
      <c r="L278" s="16" t="n">
        <v>60</v>
      </c>
      <c r="M278" s="16" t="n">
        <v>53</v>
      </c>
      <c r="N278" s="16" t="n">
        <v>0</v>
      </c>
      <c r="O278" s="9" t="str">
        <f aca="false">IF(B278="","",IFERROR(INDEX(Options!$G$6:$G$85,MATCH($B278,Options!$A$6:$A$85,0)),""))</f>
        <v>Waist</v>
      </c>
      <c r="P278" s="9" t="str">
        <f aca="false">IF(B278="","",IFERROR(INDEX(Options!$H$6:$H$85,MATCH($B278,Options!$A$6:$A$85,0)),""))</f>
        <v>Seasonal</v>
      </c>
      <c r="Q278" s="24" t="n">
        <f aca="false">IF(B278="",0,N(IFERROR(INDEX(Options!$J$6:$J$85,MATCH($B278,Options!$A$6:$A$85,0)),"")))</f>
        <v>70</v>
      </c>
      <c r="R278" s="25" t="n">
        <f aca="false">K278*Settings!$B$10+J278*Settings!$B$11+I278*Settings!$B$12+H278*Settings!$B$13</f>
        <v>2.8</v>
      </c>
      <c r="S278" s="25" t="n">
        <f aca="false">IFERROR(L278/Settings!$B$8,0)</f>
        <v>2.72727272727273</v>
      </c>
      <c r="T278" s="26" t="n">
        <f aca="false">IF(OR(B278="",P278="End of life"),0,W278*MIN(4,N278))</f>
        <v>0</v>
      </c>
      <c r="U278" s="27" t="n">
        <f aca="false">T278*Q278</f>
        <v>0</v>
      </c>
      <c r="V278" s="14" t="n">
        <f aca="false">IF(B278="",0,G278*N(IFERROR(INDEX(Options!$K$6:$K$85,MATCH($B278,Options!$A$6:$A$85,0)),"")))</f>
        <v>372.4</v>
      </c>
      <c r="W278" s="26" t="n">
        <f aca="false">IF(B278="",0,IF(N278&gt;=4,S278,(H278+I278+J278+K278)/(4-N278)))</f>
        <v>2.75</v>
      </c>
    </row>
    <row r="279" customFormat="false" ht="15" hidden="false" customHeight="false" outlineLevel="0" collapsed="false">
      <c r="A279" s="16" t="s">
        <v>612</v>
      </c>
      <c r="B279" s="16" t="s">
        <v>283</v>
      </c>
      <c r="C279" s="16" t="s">
        <v>613</v>
      </c>
      <c r="D279" s="16" t="s">
        <v>183</v>
      </c>
      <c r="E279" s="16" t="n">
        <v>74</v>
      </c>
      <c r="F279" s="16" t="n">
        <v>0</v>
      </c>
      <c r="G279" s="16" t="n">
        <v>10</v>
      </c>
      <c r="H279" s="16" t="n">
        <v>2</v>
      </c>
      <c r="I279" s="16" t="n">
        <v>3</v>
      </c>
      <c r="J279" s="16" t="n">
        <v>3</v>
      </c>
      <c r="K279" s="16" t="n">
        <v>2</v>
      </c>
      <c r="L279" s="16" t="n">
        <v>64</v>
      </c>
      <c r="M279" s="16" t="n">
        <v>56</v>
      </c>
      <c r="N279" s="16" t="n">
        <v>0</v>
      </c>
      <c r="O279" s="9" t="str">
        <f aca="false">IF(B279="","",IFERROR(INDEX(Options!$G$6:$G$85,MATCH($B279,Options!$A$6:$A$85,0)),""))</f>
        <v>Waist</v>
      </c>
      <c r="P279" s="9" t="str">
        <f aca="false">IF(B279="","",IFERROR(INDEX(Options!$H$6:$H$85,MATCH($B279,Options!$A$6:$A$85,0)),""))</f>
        <v>Seasonal</v>
      </c>
      <c r="Q279" s="24" t="n">
        <f aca="false">IF(B279="",0,N(IFERROR(INDEX(Options!$J$6:$J$85,MATCH($B279,Options!$A$6:$A$85,0)),"")))</f>
        <v>70</v>
      </c>
      <c r="R279" s="25" t="n">
        <f aca="false">K279*Settings!$B$10+J279*Settings!$B$11+I279*Settings!$B$12+H279*Settings!$B$13</f>
        <v>2.5</v>
      </c>
      <c r="S279" s="25" t="n">
        <f aca="false">IFERROR(L279/Settings!$B$8,0)</f>
        <v>2.90909090909091</v>
      </c>
      <c r="T279" s="26" t="n">
        <f aca="false">IF(OR(B279="",P279="End of life"),0,W279*MIN(4,N279))</f>
        <v>0</v>
      </c>
      <c r="U279" s="27" t="n">
        <f aca="false">T279*Q279</f>
        <v>0</v>
      </c>
      <c r="V279" s="14" t="n">
        <f aca="false">IF(B279="",0,G279*N(IFERROR(INDEX(Options!$K$6:$K$85,MATCH($B279,Options!$A$6:$A$85,0)),"")))</f>
        <v>266</v>
      </c>
      <c r="W279" s="26" t="n">
        <f aca="false">IF(B279="",0,IF(N279&gt;=4,S279,(H279+I279+J279+K279)/(4-N279)))</f>
        <v>2.5</v>
      </c>
    </row>
    <row r="280" customFormat="false" ht="15" hidden="false" customHeight="false" outlineLevel="0" collapsed="false">
      <c r="A280" s="16" t="s">
        <v>614</v>
      </c>
      <c r="B280" s="16" t="s">
        <v>283</v>
      </c>
      <c r="C280" s="16" t="s">
        <v>615</v>
      </c>
      <c r="D280" s="16" t="s">
        <v>183</v>
      </c>
      <c r="E280" s="16" t="n">
        <v>51</v>
      </c>
      <c r="F280" s="16" t="n">
        <v>0</v>
      </c>
      <c r="G280" s="16" t="n">
        <v>12</v>
      </c>
      <c r="H280" s="16" t="n">
        <v>2</v>
      </c>
      <c r="I280" s="16" t="n">
        <v>1</v>
      </c>
      <c r="J280" s="16" t="n">
        <v>2</v>
      </c>
      <c r="K280" s="16" t="n">
        <v>2</v>
      </c>
      <c r="L280" s="16" t="n">
        <v>39</v>
      </c>
      <c r="M280" s="16" t="n">
        <v>34</v>
      </c>
      <c r="N280" s="16" t="n">
        <v>0</v>
      </c>
      <c r="O280" s="9" t="str">
        <f aca="false">IF(B280="","",IFERROR(INDEX(Options!$G$6:$G$85,MATCH($B280,Options!$A$6:$A$85,0)),""))</f>
        <v>Waist</v>
      </c>
      <c r="P280" s="9" t="str">
        <f aca="false">IF(B280="","",IFERROR(INDEX(Options!$H$6:$H$85,MATCH($B280,Options!$A$6:$A$85,0)),""))</f>
        <v>Seasonal</v>
      </c>
      <c r="Q280" s="24" t="n">
        <f aca="false">IF(B280="",0,N(IFERROR(INDEX(Options!$J$6:$J$85,MATCH($B280,Options!$A$6:$A$85,0)),"")))</f>
        <v>70</v>
      </c>
      <c r="R280" s="25" t="n">
        <f aca="false">K280*Settings!$B$10+J280*Settings!$B$11+I280*Settings!$B$12+H280*Settings!$B$13</f>
        <v>1.8</v>
      </c>
      <c r="S280" s="25" t="n">
        <f aca="false">IFERROR(L280/Settings!$B$8,0)</f>
        <v>1.77272727272727</v>
      </c>
      <c r="T280" s="26" t="n">
        <f aca="false">IF(OR(B280="",P280="End of life"),0,W280*MIN(4,N280))</f>
        <v>0</v>
      </c>
      <c r="U280" s="27" t="n">
        <f aca="false">T280*Q280</f>
        <v>0</v>
      </c>
      <c r="V280" s="14" t="n">
        <f aca="false">IF(B280="",0,G280*N(IFERROR(INDEX(Options!$K$6:$K$85,MATCH($B280,Options!$A$6:$A$85,0)),"")))</f>
        <v>319.2</v>
      </c>
      <c r="W280" s="26" t="n">
        <f aca="false">IF(B280="",0,IF(N280&gt;=4,S280,(H280+I280+J280+K280)/(4-N280)))</f>
        <v>1.75</v>
      </c>
    </row>
    <row r="281" customFormat="false" ht="15" hidden="false" customHeight="false" outlineLevel="0" collapsed="false">
      <c r="A281" s="16" t="s">
        <v>616</v>
      </c>
      <c r="B281" s="16" t="s">
        <v>283</v>
      </c>
      <c r="C281" s="16" t="s">
        <v>617</v>
      </c>
      <c r="D281" s="16"/>
      <c r="E281" s="16" t="n">
        <v>38</v>
      </c>
      <c r="F281" s="16" t="n">
        <v>0</v>
      </c>
      <c r="G281" s="16" t="n">
        <v>14</v>
      </c>
      <c r="H281" s="16" t="n">
        <v>1</v>
      </c>
      <c r="I281" s="16" t="n">
        <v>1</v>
      </c>
      <c r="J281" s="16" t="n">
        <v>1</v>
      </c>
      <c r="K281" s="16" t="n">
        <v>1</v>
      </c>
      <c r="L281" s="16" t="n">
        <v>24</v>
      </c>
      <c r="M281" s="16" t="n">
        <v>21</v>
      </c>
      <c r="N281" s="16" t="n">
        <v>0</v>
      </c>
      <c r="O281" s="9" t="str">
        <f aca="false">IF(B281="","",IFERROR(INDEX(Options!$G$6:$G$85,MATCH($B281,Options!$A$6:$A$85,0)),""))</f>
        <v>Waist</v>
      </c>
      <c r="P281" s="9" t="str">
        <f aca="false">IF(B281="","",IFERROR(INDEX(Options!$H$6:$H$85,MATCH($B281,Options!$A$6:$A$85,0)),""))</f>
        <v>Seasonal</v>
      </c>
      <c r="Q281" s="24" t="n">
        <f aca="false">IF(B281="",0,N(IFERROR(INDEX(Options!$J$6:$J$85,MATCH($B281,Options!$A$6:$A$85,0)),"")))</f>
        <v>70</v>
      </c>
      <c r="R281" s="25" t="n">
        <f aca="false">K281*Settings!$B$10+J281*Settings!$B$11+I281*Settings!$B$12+H281*Settings!$B$13</f>
        <v>1</v>
      </c>
      <c r="S281" s="25" t="n">
        <f aca="false">IFERROR(L281/Settings!$B$8,0)</f>
        <v>1.09090909090909</v>
      </c>
      <c r="T281" s="26" t="n">
        <f aca="false">IF(OR(B281="",P281="End of life"),0,W281*MIN(4,N281))</f>
        <v>0</v>
      </c>
      <c r="U281" s="27" t="n">
        <f aca="false">T281*Q281</f>
        <v>0</v>
      </c>
      <c r="V281" s="14" t="n">
        <f aca="false">IF(B281="",0,G281*N(IFERROR(INDEX(Options!$K$6:$K$85,MATCH($B281,Options!$A$6:$A$85,0)),"")))</f>
        <v>372.4</v>
      </c>
      <c r="W281" s="26" t="n">
        <f aca="false">IF(B281="",0,IF(N281&gt;=4,S281,(H281+I281+J281+K281)/(4-N281)))</f>
        <v>1</v>
      </c>
    </row>
    <row r="282" customFormat="false" ht="15" hidden="false" customHeight="false" outlineLevel="0" collapsed="false">
      <c r="A282" s="16" t="s">
        <v>618</v>
      </c>
      <c r="B282" s="16" t="s">
        <v>288</v>
      </c>
      <c r="C282" s="16" t="s">
        <v>607</v>
      </c>
      <c r="D282" s="16"/>
      <c r="E282" s="16" t="n">
        <v>28</v>
      </c>
      <c r="F282" s="16" t="n">
        <v>0</v>
      </c>
      <c r="G282" s="16" t="n">
        <v>12</v>
      </c>
      <c r="H282" s="16" t="n">
        <v>1</v>
      </c>
      <c r="I282" s="16" t="n">
        <v>1</v>
      </c>
      <c r="J282" s="16" t="n">
        <v>1</v>
      </c>
      <c r="K282" s="16" t="n">
        <v>1</v>
      </c>
      <c r="L282" s="16" t="n">
        <v>16</v>
      </c>
      <c r="M282" s="16" t="n">
        <v>14</v>
      </c>
      <c r="N282" s="16" t="n">
        <v>0</v>
      </c>
      <c r="O282" s="9" t="str">
        <f aca="false">IF(B282="","",IFERROR(INDEX(Options!$G$6:$G$85,MATCH($B282,Options!$A$6:$A$85,0)),""))</f>
        <v>Waist</v>
      </c>
      <c r="P282" s="9" t="str">
        <f aca="false">IF(B282="","",IFERROR(INDEX(Options!$H$6:$H$85,MATCH($B282,Options!$A$6:$A$85,0)),""))</f>
        <v>Seasonal</v>
      </c>
      <c r="Q282" s="24" t="n">
        <f aca="false">IF(B282="",0,N(IFERROR(INDEX(Options!$J$6:$J$85,MATCH($B282,Options!$A$6:$A$85,0)),"")))</f>
        <v>65</v>
      </c>
      <c r="R282" s="25" t="n">
        <f aca="false">K282*Settings!$B$10+J282*Settings!$B$11+I282*Settings!$B$12+H282*Settings!$B$13</f>
        <v>1</v>
      </c>
      <c r="S282" s="25" t="n">
        <f aca="false">IFERROR(L282/Settings!$B$8,0)</f>
        <v>0.727272727272727</v>
      </c>
      <c r="T282" s="26" t="n">
        <f aca="false">IF(OR(B282="",P282="End of life"),0,W282*MIN(4,N282))</f>
        <v>0</v>
      </c>
      <c r="U282" s="27" t="n">
        <f aca="false">T282*Q282</f>
        <v>0</v>
      </c>
      <c r="V282" s="14" t="n">
        <f aca="false">IF(B282="",0,G282*N(IFERROR(INDEX(Options!$K$6:$K$85,MATCH($B282,Options!$A$6:$A$85,0)),"")))</f>
        <v>296.4</v>
      </c>
      <c r="W282" s="26" t="n">
        <f aca="false">IF(B282="",0,IF(N282&gt;=4,S282,(H282+I282+J282+K282)/(4-N282)))</f>
        <v>1</v>
      </c>
    </row>
    <row r="283" customFormat="false" ht="15" hidden="false" customHeight="false" outlineLevel="0" collapsed="false">
      <c r="A283" s="16" t="s">
        <v>619</v>
      </c>
      <c r="B283" s="16" t="s">
        <v>288</v>
      </c>
      <c r="C283" s="16" t="s">
        <v>609</v>
      </c>
      <c r="D283" s="16"/>
      <c r="E283" s="16" t="n">
        <v>48</v>
      </c>
      <c r="F283" s="16" t="n">
        <v>0</v>
      </c>
      <c r="G283" s="16" t="n">
        <v>12</v>
      </c>
      <c r="H283" s="16" t="n">
        <v>2</v>
      </c>
      <c r="I283" s="16" t="n">
        <v>1</v>
      </c>
      <c r="J283" s="16" t="n">
        <v>1</v>
      </c>
      <c r="K283" s="16" t="n">
        <v>2</v>
      </c>
      <c r="L283" s="16" t="n">
        <v>36</v>
      </c>
      <c r="M283" s="16" t="n">
        <v>32</v>
      </c>
      <c r="N283" s="16" t="n">
        <v>0</v>
      </c>
      <c r="O283" s="9" t="str">
        <f aca="false">IF(B283="","",IFERROR(INDEX(Options!$G$6:$G$85,MATCH($B283,Options!$A$6:$A$85,0)),""))</f>
        <v>Waist</v>
      </c>
      <c r="P283" s="9" t="str">
        <f aca="false">IF(B283="","",IFERROR(INDEX(Options!$H$6:$H$85,MATCH($B283,Options!$A$6:$A$85,0)),""))</f>
        <v>Seasonal</v>
      </c>
      <c r="Q283" s="24" t="n">
        <f aca="false">IF(B283="",0,N(IFERROR(INDEX(Options!$J$6:$J$85,MATCH($B283,Options!$A$6:$A$85,0)),"")))</f>
        <v>65</v>
      </c>
      <c r="R283" s="25" t="n">
        <f aca="false">K283*Settings!$B$10+J283*Settings!$B$11+I283*Settings!$B$12+H283*Settings!$B$13</f>
        <v>1.5</v>
      </c>
      <c r="S283" s="25" t="n">
        <f aca="false">IFERROR(L283/Settings!$B$8,0)</f>
        <v>1.63636363636364</v>
      </c>
      <c r="T283" s="26" t="n">
        <f aca="false">IF(OR(B283="",P283="End of life"),0,W283*MIN(4,N283))</f>
        <v>0</v>
      </c>
      <c r="U283" s="27" t="n">
        <f aca="false">T283*Q283</f>
        <v>0</v>
      </c>
      <c r="V283" s="14" t="n">
        <f aca="false">IF(B283="",0,G283*N(IFERROR(INDEX(Options!$K$6:$K$85,MATCH($B283,Options!$A$6:$A$85,0)),"")))</f>
        <v>296.4</v>
      </c>
      <c r="W283" s="26" t="n">
        <f aca="false">IF(B283="",0,IF(N283&gt;=4,S283,(H283+I283+J283+K283)/(4-N283)))</f>
        <v>1.5</v>
      </c>
    </row>
    <row r="284" customFormat="false" ht="15" hidden="false" customHeight="false" outlineLevel="0" collapsed="false">
      <c r="A284" s="16" t="s">
        <v>620</v>
      </c>
      <c r="B284" s="16" t="s">
        <v>288</v>
      </c>
      <c r="C284" s="16" t="s">
        <v>611</v>
      </c>
      <c r="D284" s="16" t="s">
        <v>183</v>
      </c>
      <c r="E284" s="16" t="n">
        <v>90</v>
      </c>
      <c r="F284" s="16" t="n">
        <v>0</v>
      </c>
      <c r="G284" s="16" t="n">
        <v>25</v>
      </c>
      <c r="H284" s="16" t="n">
        <v>2</v>
      </c>
      <c r="I284" s="16" t="n">
        <v>2</v>
      </c>
      <c r="J284" s="16" t="n">
        <v>4</v>
      </c>
      <c r="K284" s="16" t="n">
        <v>3</v>
      </c>
      <c r="L284" s="16" t="n">
        <v>65</v>
      </c>
      <c r="M284" s="16" t="n">
        <v>57</v>
      </c>
      <c r="N284" s="16" t="n">
        <v>0</v>
      </c>
      <c r="O284" s="9" t="str">
        <f aca="false">IF(B284="","",IFERROR(INDEX(Options!$G$6:$G$85,MATCH($B284,Options!$A$6:$A$85,0)),""))</f>
        <v>Waist</v>
      </c>
      <c r="P284" s="9" t="str">
        <f aca="false">IF(B284="","",IFERROR(INDEX(Options!$H$6:$H$85,MATCH($B284,Options!$A$6:$A$85,0)),""))</f>
        <v>Seasonal</v>
      </c>
      <c r="Q284" s="24" t="n">
        <f aca="false">IF(B284="",0,N(IFERROR(INDEX(Options!$J$6:$J$85,MATCH($B284,Options!$A$6:$A$85,0)),"")))</f>
        <v>65</v>
      </c>
      <c r="R284" s="25" t="n">
        <f aca="false">K284*Settings!$B$10+J284*Settings!$B$11+I284*Settings!$B$12+H284*Settings!$B$13</f>
        <v>3</v>
      </c>
      <c r="S284" s="25" t="n">
        <f aca="false">IFERROR(L284/Settings!$B$8,0)</f>
        <v>2.95454545454545</v>
      </c>
      <c r="T284" s="26" t="n">
        <f aca="false">IF(OR(B284="",P284="End of life"),0,W284*MIN(4,N284))</f>
        <v>0</v>
      </c>
      <c r="U284" s="27" t="n">
        <f aca="false">T284*Q284</f>
        <v>0</v>
      </c>
      <c r="V284" s="14" t="n">
        <f aca="false">IF(B284="",0,G284*N(IFERROR(INDEX(Options!$K$6:$K$85,MATCH($B284,Options!$A$6:$A$85,0)),"")))</f>
        <v>617.5</v>
      </c>
      <c r="W284" s="26" t="n">
        <f aca="false">IF(B284="",0,IF(N284&gt;=4,S284,(H284+I284+J284+K284)/(4-N284)))</f>
        <v>2.75</v>
      </c>
    </row>
    <row r="285" customFormat="false" ht="15" hidden="false" customHeight="false" outlineLevel="0" collapsed="false">
      <c r="A285" s="16" t="s">
        <v>621</v>
      </c>
      <c r="B285" s="16" t="s">
        <v>288</v>
      </c>
      <c r="C285" s="16" t="s">
        <v>613</v>
      </c>
      <c r="D285" s="16" t="s">
        <v>183</v>
      </c>
      <c r="E285" s="16" t="n">
        <v>90</v>
      </c>
      <c r="F285" s="16" t="n">
        <v>0</v>
      </c>
      <c r="G285" s="16" t="n">
        <v>24</v>
      </c>
      <c r="H285" s="16" t="n">
        <v>2</v>
      </c>
      <c r="I285" s="16" t="n">
        <v>3</v>
      </c>
      <c r="J285" s="16" t="n">
        <v>3</v>
      </c>
      <c r="K285" s="16" t="n">
        <v>3</v>
      </c>
      <c r="L285" s="16" t="n">
        <v>66</v>
      </c>
      <c r="M285" s="16" t="n">
        <v>58</v>
      </c>
      <c r="N285" s="16" t="n">
        <v>0</v>
      </c>
      <c r="O285" s="9" t="str">
        <f aca="false">IF(B285="","",IFERROR(INDEX(Options!$G$6:$G$85,MATCH($B285,Options!$A$6:$A$85,0)),""))</f>
        <v>Waist</v>
      </c>
      <c r="P285" s="9" t="str">
        <f aca="false">IF(B285="","",IFERROR(INDEX(Options!$H$6:$H$85,MATCH($B285,Options!$A$6:$A$85,0)),""))</f>
        <v>Seasonal</v>
      </c>
      <c r="Q285" s="24" t="n">
        <f aca="false">IF(B285="",0,N(IFERROR(INDEX(Options!$J$6:$J$85,MATCH($B285,Options!$A$6:$A$85,0)),"")))</f>
        <v>65</v>
      </c>
      <c r="R285" s="25" t="n">
        <f aca="false">K285*Settings!$B$10+J285*Settings!$B$11+I285*Settings!$B$12+H285*Settings!$B$13</f>
        <v>2.9</v>
      </c>
      <c r="S285" s="25" t="n">
        <f aca="false">IFERROR(L285/Settings!$B$8,0)</f>
        <v>3</v>
      </c>
      <c r="T285" s="26" t="n">
        <f aca="false">IF(OR(B285="",P285="End of life"),0,W285*MIN(4,N285))</f>
        <v>0</v>
      </c>
      <c r="U285" s="27" t="n">
        <f aca="false">T285*Q285</f>
        <v>0</v>
      </c>
      <c r="V285" s="14" t="n">
        <f aca="false">IF(B285="",0,G285*N(IFERROR(INDEX(Options!$K$6:$K$85,MATCH($B285,Options!$A$6:$A$85,0)),"")))</f>
        <v>592.8</v>
      </c>
      <c r="W285" s="26" t="n">
        <f aca="false">IF(B285="",0,IF(N285&gt;=4,S285,(H285+I285+J285+K285)/(4-N285)))</f>
        <v>2.75</v>
      </c>
    </row>
    <row r="286" customFormat="false" ht="15" hidden="false" customHeight="false" outlineLevel="0" collapsed="false">
      <c r="A286" s="16" t="s">
        <v>622</v>
      </c>
      <c r="B286" s="16" t="s">
        <v>288</v>
      </c>
      <c r="C286" s="16" t="s">
        <v>615</v>
      </c>
      <c r="D286" s="16" t="s">
        <v>183</v>
      </c>
      <c r="E286" s="16" t="n">
        <v>62</v>
      </c>
      <c r="F286" s="16" t="n">
        <v>0</v>
      </c>
      <c r="G286" s="16" t="n">
        <v>13</v>
      </c>
      <c r="H286" s="16" t="n">
        <v>2</v>
      </c>
      <c r="I286" s="16" t="n">
        <v>2</v>
      </c>
      <c r="J286" s="16" t="n">
        <v>2</v>
      </c>
      <c r="K286" s="16" t="n">
        <v>2</v>
      </c>
      <c r="L286" s="16" t="n">
        <v>49</v>
      </c>
      <c r="M286" s="16" t="n">
        <v>43</v>
      </c>
      <c r="N286" s="16" t="n">
        <v>0</v>
      </c>
      <c r="O286" s="9" t="str">
        <f aca="false">IF(B286="","",IFERROR(INDEX(Options!$G$6:$G$85,MATCH($B286,Options!$A$6:$A$85,0)),""))</f>
        <v>Waist</v>
      </c>
      <c r="P286" s="9" t="str">
        <f aca="false">IF(B286="","",IFERROR(INDEX(Options!$H$6:$H$85,MATCH($B286,Options!$A$6:$A$85,0)),""))</f>
        <v>Seasonal</v>
      </c>
      <c r="Q286" s="24" t="n">
        <f aca="false">IF(B286="",0,N(IFERROR(INDEX(Options!$J$6:$J$85,MATCH($B286,Options!$A$6:$A$85,0)),"")))</f>
        <v>65</v>
      </c>
      <c r="R286" s="25" t="n">
        <f aca="false">K286*Settings!$B$10+J286*Settings!$B$11+I286*Settings!$B$12+H286*Settings!$B$13</f>
        <v>2</v>
      </c>
      <c r="S286" s="25" t="n">
        <f aca="false">IFERROR(L286/Settings!$B$8,0)</f>
        <v>2.22727272727273</v>
      </c>
      <c r="T286" s="26" t="n">
        <f aca="false">IF(OR(B286="",P286="End of life"),0,W286*MIN(4,N286))</f>
        <v>0</v>
      </c>
      <c r="U286" s="27" t="n">
        <f aca="false">T286*Q286</f>
        <v>0</v>
      </c>
      <c r="V286" s="14" t="n">
        <f aca="false">IF(B286="",0,G286*N(IFERROR(INDEX(Options!$K$6:$K$85,MATCH($B286,Options!$A$6:$A$85,0)),"")))</f>
        <v>321.1</v>
      </c>
      <c r="W286" s="26" t="n">
        <f aca="false">IF(B286="",0,IF(N286&gt;=4,S286,(H286+I286+J286+K286)/(4-N286)))</f>
        <v>2</v>
      </c>
    </row>
    <row r="287" customFormat="false" ht="15" hidden="false" customHeight="false" outlineLevel="0" collapsed="false">
      <c r="A287" s="16" t="s">
        <v>623</v>
      </c>
      <c r="B287" s="16" t="s">
        <v>288</v>
      </c>
      <c r="C287" s="16" t="s">
        <v>617</v>
      </c>
      <c r="D287" s="16"/>
      <c r="E287" s="16" t="n">
        <v>47</v>
      </c>
      <c r="F287" s="16" t="n">
        <v>0</v>
      </c>
      <c r="G287" s="16" t="n">
        <v>21</v>
      </c>
      <c r="H287" s="16" t="n">
        <v>1</v>
      </c>
      <c r="I287" s="16" t="n">
        <v>1</v>
      </c>
      <c r="J287" s="16" t="n">
        <v>1</v>
      </c>
      <c r="K287" s="16" t="n">
        <v>1</v>
      </c>
      <c r="L287" s="16" t="n">
        <v>26</v>
      </c>
      <c r="M287" s="16" t="n">
        <v>23</v>
      </c>
      <c r="N287" s="16" t="n">
        <v>0</v>
      </c>
      <c r="O287" s="9" t="str">
        <f aca="false">IF(B287="","",IFERROR(INDEX(Options!$G$6:$G$85,MATCH($B287,Options!$A$6:$A$85,0)),""))</f>
        <v>Waist</v>
      </c>
      <c r="P287" s="9" t="str">
        <f aca="false">IF(B287="","",IFERROR(INDEX(Options!$H$6:$H$85,MATCH($B287,Options!$A$6:$A$85,0)),""))</f>
        <v>Seasonal</v>
      </c>
      <c r="Q287" s="24" t="n">
        <f aca="false">IF(B287="",0,N(IFERROR(INDEX(Options!$J$6:$J$85,MATCH($B287,Options!$A$6:$A$85,0)),"")))</f>
        <v>65</v>
      </c>
      <c r="R287" s="25" t="n">
        <f aca="false">K287*Settings!$B$10+J287*Settings!$B$11+I287*Settings!$B$12+H287*Settings!$B$13</f>
        <v>1</v>
      </c>
      <c r="S287" s="25" t="n">
        <f aca="false">IFERROR(L287/Settings!$B$8,0)</f>
        <v>1.18181818181818</v>
      </c>
      <c r="T287" s="26" t="n">
        <f aca="false">IF(OR(B287="",P287="End of life"),0,W287*MIN(4,N287))</f>
        <v>0</v>
      </c>
      <c r="U287" s="27" t="n">
        <f aca="false">T287*Q287</f>
        <v>0</v>
      </c>
      <c r="V287" s="14" t="n">
        <f aca="false">IF(B287="",0,G287*N(IFERROR(INDEX(Options!$K$6:$K$85,MATCH($B287,Options!$A$6:$A$85,0)),"")))</f>
        <v>518.7</v>
      </c>
      <c r="W287" s="26" t="n">
        <f aca="false">IF(B287="",0,IF(N287&gt;=4,S287,(H287+I287+J287+K287)/(4-N287)))</f>
        <v>1</v>
      </c>
    </row>
    <row r="288" customFormat="false" ht="15" hidden="false" customHeight="false" outlineLevel="0" collapsed="false">
      <c r="A288" s="16" t="s">
        <v>624</v>
      </c>
      <c r="B288" s="16" t="s">
        <v>291</v>
      </c>
      <c r="C288" s="16" t="s">
        <v>607</v>
      </c>
      <c r="D288" s="16"/>
      <c r="E288" s="16" t="n">
        <v>20</v>
      </c>
      <c r="F288" s="16" t="n">
        <v>0</v>
      </c>
      <c r="G288" s="16" t="n">
        <v>9</v>
      </c>
      <c r="H288" s="16" t="n">
        <v>0</v>
      </c>
      <c r="I288" s="16" t="n">
        <v>1</v>
      </c>
      <c r="J288" s="16" t="n">
        <v>1</v>
      </c>
      <c r="K288" s="16" t="n">
        <v>1</v>
      </c>
      <c r="L288" s="16" t="n">
        <v>11</v>
      </c>
      <c r="M288" s="16" t="n">
        <v>10</v>
      </c>
      <c r="N288" s="16" t="n">
        <v>0</v>
      </c>
      <c r="O288" s="9" t="str">
        <f aca="false">IF(B288="","",IFERROR(INDEX(Options!$G$6:$G$85,MATCH($B288,Options!$A$6:$A$85,0)),""))</f>
        <v>Waist</v>
      </c>
      <c r="P288" s="9" t="str">
        <f aca="false">IF(B288="","",IFERROR(INDEX(Options!$H$6:$H$85,MATCH($B288,Options!$A$6:$A$85,0)),""))</f>
        <v>Seasonal</v>
      </c>
      <c r="Q288" s="24" t="n">
        <f aca="false">IF(B288="",0,N(IFERROR(INDEX(Options!$J$6:$J$85,MATCH($B288,Options!$A$6:$A$85,0)),"")))</f>
        <v>65</v>
      </c>
      <c r="R288" s="25" t="n">
        <f aca="false">K288*Settings!$B$10+J288*Settings!$B$11+I288*Settings!$B$12+H288*Settings!$B$13</f>
        <v>0.9</v>
      </c>
      <c r="S288" s="25" t="n">
        <f aca="false">IFERROR(L288/Settings!$B$8,0)</f>
        <v>0.5</v>
      </c>
      <c r="T288" s="26" t="n">
        <f aca="false">IF(OR(B288="",P288="End of life"),0,W288*MIN(4,N288))</f>
        <v>0</v>
      </c>
      <c r="U288" s="27" t="n">
        <f aca="false">T288*Q288</f>
        <v>0</v>
      </c>
      <c r="V288" s="14" t="n">
        <f aca="false">IF(B288="",0,G288*N(IFERROR(INDEX(Options!$K$6:$K$85,MATCH($B288,Options!$A$6:$A$85,0)),"")))</f>
        <v>222.3</v>
      </c>
      <c r="W288" s="26" t="n">
        <f aca="false">IF(B288="",0,IF(N288&gt;=4,S288,(H288+I288+J288+K288)/(4-N288)))</f>
        <v>0.75</v>
      </c>
    </row>
    <row r="289" customFormat="false" ht="15" hidden="false" customHeight="false" outlineLevel="0" collapsed="false">
      <c r="A289" s="16" t="s">
        <v>625</v>
      </c>
      <c r="B289" s="16" t="s">
        <v>291</v>
      </c>
      <c r="C289" s="16" t="s">
        <v>609</v>
      </c>
      <c r="D289" s="16"/>
      <c r="E289" s="16" t="n">
        <v>34</v>
      </c>
      <c r="F289" s="16" t="n">
        <v>0</v>
      </c>
      <c r="G289" s="16" t="n">
        <v>8</v>
      </c>
      <c r="H289" s="16" t="n">
        <v>1</v>
      </c>
      <c r="I289" s="16" t="n">
        <v>1</v>
      </c>
      <c r="J289" s="16" t="n">
        <v>1</v>
      </c>
      <c r="K289" s="16" t="n">
        <v>2</v>
      </c>
      <c r="L289" s="16" t="n">
        <v>26</v>
      </c>
      <c r="M289" s="16" t="n">
        <v>23</v>
      </c>
      <c r="N289" s="16" t="n">
        <v>0</v>
      </c>
      <c r="O289" s="9" t="str">
        <f aca="false">IF(B289="","",IFERROR(INDEX(Options!$G$6:$G$85,MATCH($B289,Options!$A$6:$A$85,0)),""))</f>
        <v>Waist</v>
      </c>
      <c r="P289" s="9" t="str">
        <f aca="false">IF(B289="","",IFERROR(INDEX(Options!$H$6:$H$85,MATCH($B289,Options!$A$6:$A$85,0)),""))</f>
        <v>Seasonal</v>
      </c>
      <c r="Q289" s="24" t="n">
        <f aca="false">IF(B289="",0,N(IFERROR(INDEX(Options!$J$6:$J$85,MATCH($B289,Options!$A$6:$A$85,0)),"")))</f>
        <v>65</v>
      </c>
      <c r="R289" s="25" t="n">
        <f aca="false">K289*Settings!$B$10+J289*Settings!$B$11+I289*Settings!$B$12+H289*Settings!$B$13</f>
        <v>1.4</v>
      </c>
      <c r="S289" s="25" t="n">
        <f aca="false">IFERROR(L289/Settings!$B$8,0)</f>
        <v>1.18181818181818</v>
      </c>
      <c r="T289" s="26" t="n">
        <f aca="false">IF(OR(B289="",P289="End of life"),0,W289*MIN(4,N289))</f>
        <v>0</v>
      </c>
      <c r="U289" s="27" t="n">
        <f aca="false">T289*Q289</f>
        <v>0</v>
      </c>
      <c r="V289" s="14" t="n">
        <f aca="false">IF(B289="",0,G289*N(IFERROR(INDEX(Options!$K$6:$K$85,MATCH($B289,Options!$A$6:$A$85,0)),"")))</f>
        <v>197.6</v>
      </c>
      <c r="W289" s="26" t="n">
        <f aca="false">IF(B289="",0,IF(N289&gt;=4,S289,(H289+I289+J289+K289)/(4-N289)))</f>
        <v>1.25</v>
      </c>
    </row>
    <row r="290" customFormat="false" ht="15" hidden="false" customHeight="false" outlineLevel="0" collapsed="false">
      <c r="A290" s="16" t="s">
        <v>626</v>
      </c>
      <c r="B290" s="16" t="s">
        <v>291</v>
      </c>
      <c r="C290" s="16" t="s">
        <v>611</v>
      </c>
      <c r="D290" s="16" t="s">
        <v>183</v>
      </c>
      <c r="E290" s="16" t="n">
        <v>63</v>
      </c>
      <c r="F290" s="16" t="n">
        <v>0</v>
      </c>
      <c r="G290" s="16" t="n">
        <v>18</v>
      </c>
      <c r="H290" s="16" t="n">
        <v>2</v>
      </c>
      <c r="I290" s="16" t="n">
        <v>2</v>
      </c>
      <c r="J290" s="16" t="n">
        <v>3</v>
      </c>
      <c r="K290" s="16" t="n">
        <v>3</v>
      </c>
      <c r="L290" s="16" t="n">
        <v>45</v>
      </c>
      <c r="M290" s="16" t="n">
        <v>40</v>
      </c>
      <c r="N290" s="16" t="n">
        <v>0</v>
      </c>
      <c r="O290" s="9" t="str">
        <f aca="false">IF(B290="","",IFERROR(INDEX(Options!$G$6:$G$85,MATCH($B290,Options!$A$6:$A$85,0)),""))</f>
        <v>Waist</v>
      </c>
      <c r="P290" s="9" t="str">
        <f aca="false">IF(B290="","",IFERROR(INDEX(Options!$H$6:$H$85,MATCH($B290,Options!$A$6:$A$85,0)),""))</f>
        <v>Seasonal</v>
      </c>
      <c r="Q290" s="24" t="n">
        <f aca="false">IF(B290="",0,N(IFERROR(INDEX(Options!$J$6:$J$85,MATCH($B290,Options!$A$6:$A$85,0)),"")))</f>
        <v>65</v>
      </c>
      <c r="R290" s="25" t="n">
        <f aca="false">K290*Settings!$B$10+J290*Settings!$B$11+I290*Settings!$B$12+H290*Settings!$B$13</f>
        <v>2.7</v>
      </c>
      <c r="S290" s="25" t="n">
        <f aca="false">IFERROR(L290/Settings!$B$8,0)</f>
        <v>2.04545454545455</v>
      </c>
      <c r="T290" s="26" t="n">
        <f aca="false">IF(OR(B290="",P290="End of life"),0,W290*MIN(4,N290))</f>
        <v>0</v>
      </c>
      <c r="U290" s="27" t="n">
        <f aca="false">T290*Q290</f>
        <v>0</v>
      </c>
      <c r="V290" s="14" t="n">
        <f aca="false">IF(B290="",0,G290*N(IFERROR(INDEX(Options!$K$6:$K$85,MATCH($B290,Options!$A$6:$A$85,0)),"")))</f>
        <v>444.6</v>
      </c>
      <c r="W290" s="26" t="n">
        <f aca="false">IF(B290="",0,IF(N290&gt;=4,S290,(H290+I290+J290+K290)/(4-N290)))</f>
        <v>2.5</v>
      </c>
    </row>
    <row r="291" customFormat="false" ht="15" hidden="false" customHeight="false" outlineLevel="0" collapsed="false">
      <c r="A291" s="16" t="s">
        <v>627</v>
      </c>
      <c r="B291" s="16" t="s">
        <v>291</v>
      </c>
      <c r="C291" s="16" t="s">
        <v>613</v>
      </c>
      <c r="D291" s="16" t="s">
        <v>183</v>
      </c>
      <c r="E291" s="16" t="n">
        <v>63</v>
      </c>
      <c r="F291" s="16" t="n">
        <v>0</v>
      </c>
      <c r="G291" s="16" t="n">
        <v>11</v>
      </c>
      <c r="H291" s="16" t="n">
        <v>2</v>
      </c>
      <c r="I291" s="16" t="n">
        <v>2</v>
      </c>
      <c r="J291" s="16" t="n">
        <v>2</v>
      </c>
      <c r="K291" s="16" t="n">
        <v>2</v>
      </c>
      <c r="L291" s="16" t="n">
        <v>52</v>
      </c>
      <c r="M291" s="16" t="n">
        <v>46</v>
      </c>
      <c r="N291" s="16" t="n">
        <v>0</v>
      </c>
      <c r="O291" s="9" t="str">
        <f aca="false">IF(B291="","",IFERROR(INDEX(Options!$G$6:$G$85,MATCH($B291,Options!$A$6:$A$85,0)),""))</f>
        <v>Waist</v>
      </c>
      <c r="P291" s="9" t="str">
        <f aca="false">IF(B291="","",IFERROR(INDEX(Options!$H$6:$H$85,MATCH($B291,Options!$A$6:$A$85,0)),""))</f>
        <v>Seasonal</v>
      </c>
      <c r="Q291" s="24" t="n">
        <f aca="false">IF(B291="",0,N(IFERROR(INDEX(Options!$J$6:$J$85,MATCH($B291,Options!$A$6:$A$85,0)),"")))</f>
        <v>65</v>
      </c>
      <c r="R291" s="25" t="n">
        <f aca="false">K291*Settings!$B$10+J291*Settings!$B$11+I291*Settings!$B$12+H291*Settings!$B$13</f>
        <v>2</v>
      </c>
      <c r="S291" s="25" t="n">
        <f aca="false">IFERROR(L291/Settings!$B$8,0)</f>
        <v>2.36363636363636</v>
      </c>
      <c r="T291" s="26" t="n">
        <f aca="false">IF(OR(B291="",P291="End of life"),0,W291*MIN(4,N291))</f>
        <v>0</v>
      </c>
      <c r="U291" s="27" t="n">
        <f aca="false">T291*Q291</f>
        <v>0</v>
      </c>
      <c r="V291" s="14" t="n">
        <f aca="false">IF(B291="",0,G291*N(IFERROR(INDEX(Options!$K$6:$K$85,MATCH($B291,Options!$A$6:$A$85,0)),"")))</f>
        <v>271.7</v>
      </c>
      <c r="W291" s="26" t="n">
        <f aca="false">IF(B291="",0,IF(N291&gt;=4,S291,(H291+I291+J291+K291)/(4-N291)))</f>
        <v>2</v>
      </c>
    </row>
    <row r="292" customFormat="false" ht="15" hidden="false" customHeight="false" outlineLevel="0" collapsed="false">
      <c r="A292" s="16" t="s">
        <v>628</v>
      </c>
      <c r="B292" s="16" t="s">
        <v>291</v>
      </c>
      <c r="C292" s="16" t="s">
        <v>615</v>
      </c>
      <c r="D292" s="16" t="s">
        <v>183</v>
      </c>
      <c r="E292" s="16" t="n">
        <v>44</v>
      </c>
      <c r="F292" s="16" t="n">
        <v>0</v>
      </c>
      <c r="G292" s="16" t="n">
        <v>8</v>
      </c>
      <c r="H292" s="16" t="n">
        <v>1</v>
      </c>
      <c r="I292" s="16" t="n">
        <v>2</v>
      </c>
      <c r="J292" s="16" t="n">
        <v>1</v>
      </c>
      <c r="K292" s="16" t="n">
        <v>2</v>
      </c>
      <c r="L292" s="16" t="n">
        <v>36</v>
      </c>
      <c r="M292" s="16" t="n">
        <v>32</v>
      </c>
      <c r="N292" s="16" t="n">
        <v>0</v>
      </c>
      <c r="O292" s="9" t="str">
        <f aca="false">IF(B292="","",IFERROR(INDEX(Options!$G$6:$G$85,MATCH($B292,Options!$A$6:$A$85,0)),""))</f>
        <v>Waist</v>
      </c>
      <c r="P292" s="9" t="str">
        <f aca="false">IF(B292="","",IFERROR(INDEX(Options!$H$6:$H$85,MATCH($B292,Options!$A$6:$A$85,0)),""))</f>
        <v>Seasonal</v>
      </c>
      <c r="Q292" s="24" t="n">
        <f aca="false">IF(B292="",0,N(IFERROR(INDEX(Options!$J$6:$J$85,MATCH($B292,Options!$A$6:$A$85,0)),"")))</f>
        <v>65</v>
      </c>
      <c r="R292" s="25" t="n">
        <f aca="false">K292*Settings!$B$10+J292*Settings!$B$11+I292*Settings!$B$12+H292*Settings!$B$13</f>
        <v>1.6</v>
      </c>
      <c r="S292" s="25" t="n">
        <f aca="false">IFERROR(L292/Settings!$B$8,0)</f>
        <v>1.63636363636364</v>
      </c>
      <c r="T292" s="26" t="n">
        <f aca="false">IF(OR(B292="",P292="End of life"),0,W292*MIN(4,N292))</f>
        <v>0</v>
      </c>
      <c r="U292" s="27" t="n">
        <f aca="false">T292*Q292</f>
        <v>0</v>
      </c>
      <c r="V292" s="14" t="n">
        <f aca="false">IF(B292="",0,G292*N(IFERROR(INDEX(Options!$K$6:$K$85,MATCH($B292,Options!$A$6:$A$85,0)),"")))</f>
        <v>197.6</v>
      </c>
      <c r="W292" s="26" t="n">
        <f aca="false">IF(B292="",0,IF(N292&gt;=4,S292,(H292+I292+J292+K292)/(4-N292)))</f>
        <v>1.5</v>
      </c>
    </row>
    <row r="293" customFormat="false" ht="15" hidden="false" customHeight="false" outlineLevel="0" collapsed="false">
      <c r="A293" s="16" t="s">
        <v>629</v>
      </c>
      <c r="B293" s="16" t="s">
        <v>291</v>
      </c>
      <c r="C293" s="16" t="s">
        <v>617</v>
      </c>
      <c r="D293" s="16"/>
      <c r="E293" s="16" t="n">
        <v>33</v>
      </c>
      <c r="F293" s="16" t="n">
        <v>0</v>
      </c>
      <c r="G293" s="16" t="n">
        <v>15</v>
      </c>
      <c r="H293" s="16" t="n">
        <v>1</v>
      </c>
      <c r="I293" s="16" t="n">
        <v>1</v>
      </c>
      <c r="J293" s="16" t="n">
        <v>1</v>
      </c>
      <c r="K293" s="16" t="n">
        <v>1</v>
      </c>
      <c r="L293" s="16" t="n">
        <v>18</v>
      </c>
      <c r="M293" s="16" t="n">
        <v>16</v>
      </c>
      <c r="N293" s="16" t="n">
        <v>0</v>
      </c>
      <c r="O293" s="9" t="str">
        <f aca="false">IF(B293="","",IFERROR(INDEX(Options!$G$6:$G$85,MATCH($B293,Options!$A$6:$A$85,0)),""))</f>
        <v>Waist</v>
      </c>
      <c r="P293" s="9" t="str">
        <f aca="false">IF(B293="","",IFERROR(INDEX(Options!$H$6:$H$85,MATCH($B293,Options!$A$6:$A$85,0)),""))</f>
        <v>Seasonal</v>
      </c>
      <c r="Q293" s="24" t="n">
        <f aca="false">IF(B293="",0,N(IFERROR(INDEX(Options!$J$6:$J$85,MATCH($B293,Options!$A$6:$A$85,0)),"")))</f>
        <v>65</v>
      </c>
      <c r="R293" s="25" t="n">
        <f aca="false">K293*Settings!$B$10+J293*Settings!$B$11+I293*Settings!$B$12+H293*Settings!$B$13</f>
        <v>1</v>
      </c>
      <c r="S293" s="25" t="n">
        <f aca="false">IFERROR(L293/Settings!$B$8,0)</f>
        <v>0.818181818181818</v>
      </c>
      <c r="T293" s="26" t="n">
        <f aca="false">IF(OR(B293="",P293="End of life"),0,W293*MIN(4,N293))</f>
        <v>0</v>
      </c>
      <c r="U293" s="27" t="n">
        <f aca="false">T293*Q293</f>
        <v>0</v>
      </c>
      <c r="V293" s="14" t="n">
        <f aca="false">IF(B293="",0,G293*N(IFERROR(INDEX(Options!$K$6:$K$85,MATCH($B293,Options!$A$6:$A$85,0)),"")))</f>
        <v>370.5</v>
      </c>
      <c r="W293" s="26" t="n">
        <f aca="false">IF(B293="",0,IF(N293&gt;=4,S293,(H293+I293+J293+K293)/(4-N293)))</f>
        <v>1</v>
      </c>
    </row>
    <row r="294" customFormat="false" ht="15" hidden="false" customHeight="false" outlineLevel="0" collapsed="false">
      <c r="A294" s="16" t="s">
        <v>630</v>
      </c>
      <c r="B294" s="16" t="s">
        <v>293</v>
      </c>
      <c r="C294" s="16" t="s">
        <v>607</v>
      </c>
      <c r="D294" s="16"/>
      <c r="E294" s="16" t="n">
        <v>44</v>
      </c>
      <c r="F294" s="16" t="n">
        <v>0</v>
      </c>
      <c r="G294" s="16" t="n">
        <v>24</v>
      </c>
      <c r="H294" s="16" t="n">
        <v>0</v>
      </c>
      <c r="I294" s="16" t="n">
        <v>0</v>
      </c>
      <c r="J294" s="16" t="n">
        <v>0</v>
      </c>
      <c r="K294" s="16" t="n">
        <v>1</v>
      </c>
      <c r="L294" s="16" t="n">
        <v>20</v>
      </c>
      <c r="M294" s="16" t="n">
        <v>18</v>
      </c>
      <c r="N294" s="16" t="n">
        <v>0</v>
      </c>
      <c r="O294" s="9" t="str">
        <f aca="false">IF(B294="","",IFERROR(INDEX(Options!$G$6:$G$85,MATCH($B294,Options!$A$6:$A$85,0)),""))</f>
        <v>Waist</v>
      </c>
      <c r="P294" s="9" t="str">
        <f aca="false">IF(B294="","",IFERROR(INDEX(Options!$H$6:$H$85,MATCH($B294,Options!$A$6:$A$85,0)),""))</f>
        <v>End of life</v>
      </c>
      <c r="Q294" s="24" t="n">
        <f aca="false">IF(B294="",0,N(IFERROR(INDEX(Options!$J$6:$J$85,MATCH($B294,Options!$A$6:$A$85,0)),"")))</f>
        <v>70</v>
      </c>
      <c r="R294" s="25" t="n">
        <f aca="false">K294*Settings!$B$10+J294*Settings!$B$11+I294*Settings!$B$12+H294*Settings!$B$13</f>
        <v>0.4</v>
      </c>
      <c r="S294" s="25" t="n">
        <f aca="false">IFERROR(L294/Settings!$B$8,0)</f>
        <v>0.909090909090909</v>
      </c>
      <c r="T294" s="26" t="n">
        <f aca="false">IF(OR(B294="",P294="End of life"),0,W294*MIN(4,N294))</f>
        <v>0</v>
      </c>
      <c r="U294" s="27" t="n">
        <f aca="false">T294*Q294</f>
        <v>0</v>
      </c>
      <c r="V294" s="14" t="n">
        <f aca="false">IF(B294="",0,G294*N(IFERROR(INDEX(Options!$K$6:$K$85,MATCH($B294,Options!$A$6:$A$85,0)),"")))</f>
        <v>638.4</v>
      </c>
      <c r="W294" s="26" t="n">
        <f aca="false">IF(B294="",0,IF(N294&gt;=4,S294,(H294+I294+J294+K294)/(4-N294)))</f>
        <v>0.25</v>
      </c>
    </row>
    <row r="295" customFormat="false" ht="15" hidden="false" customHeight="false" outlineLevel="0" collapsed="false">
      <c r="A295" s="16" t="s">
        <v>631</v>
      </c>
      <c r="B295" s="16" t="s">
        <v>293</v>
      </c>
      <c r="C295" s="16" t="s">
        <v>609</v>
      </c>
      <c r="D295" s="16"/>
      <c r="E295" s="16" t="n">
        <v>103</v>
      </c>
      <c r="F295" s="16" t="n">
        <v>0</v>
      </c>
      <c r="G295" s="16" t="n">
        <v>61</v>
      </c>
      <c r="H295" s="16" t="n">
        <v>1</v>
      </c>
      <c r="I295" s="16" t="n">
        <v>1</v>
      </c>
      <c r="J295" s="16" t="n">
        <v>1</v>
      </c>
      <c r="K295" s="16" t="n">
        <v>1</v>
      </c>
      <c r="L295" s="16" t="n">
        <v>42</v>
      </c>
      <c r="M295" s="16" t="n">
        <v>37</v>
      </c>
      <c r="N295" s="16" t="n">
        <v>0</v>
      </c>
      <c r="O295" s="9" t="str">
        <f aca="false">IF(B295="","",IFERROR(INDEX(Options!$G$6:$G$85,MATCH($B295,Options!$A$6:$A$85,0)),""))</f>
        <v>Waist</v>
      </c>
      <c r="P295" s="9" t="str">
        <f aca="false">IF(B295="","",IFERROR(INDEX(Options!$H$6:$H$85,MATCH($B295,Options!$A$6:$A$85,0)),""))</f>
        <v>End of life</v>
      </c>
      <c r="Q295" s="24" t="n">
        <f aca="false">IF(B295="",0,N(IFERROR(INDEX(Options!$J$6:$J$85,MATCH($B295,Options!$A$6:$A$85,0)),"")))</f>
        <v>70</v>
      </c>
      <c r="R295" s="25" t="n">
        <f aca="false">K295*Settings!$B$10+J295*Settings!$B$11+I295*Settings!$B$12+H295*Settings!$B$13</f>
        <v>1</v>
      </c>
      <c r="S295" s="25" t="n">
        <f aca="false">IFERROR(L295/Settings!$B$8,0)</f>
        <v>1.90909090909091</v>
      </c>
      <c r="T295" s="26" t="n">
        <f aca="false">IF(OR(B295="",P295="End of life"),0,W295*MIN(4,N295))</f>
        <v>0</v>
      </c>
      <c r="U295" s="27" t="n">
        <f aca="false">T295*Q295</f>
        <v>0</v>
      </c>
      <c r="V295" s="14" t="n">
        <f aca="false">IF(B295="",0,G295*N(IFERROR(INDEX(Options!$K$6:$K$85,MATCH($B295,Options!$A$6:$A$85,0)),"")))</f>
        <v>1622.6</v>
      </c>
      <c r="W295" s="26" t="n">
        <f aca="false">IF(B295="",0,IF(N295&gt;=4,S295,(H295+I295+J295+K295)/(4-N295)))</f>
        <v>1</v>
      </c>
    </row>
    <row r="296" customFormat="false" ht="15" hidden="false" customHeight="false" outlineLevel="0" collapsed="false">
      <c r="A296" s="16" t="s">
        <v>632</v>
      </c>
      <c r="B296" s="16" t="s">
        <v>293</v>
      </c>
      <c r="C296" s="16" t="s">
        <v>611</v>
      </c>
      <c r="D296" s="16" t="s">
        <v>183</v>
      </c>
      <c r="E296" s="16" t="n">
        <v>80</v>
      </c>
      <c r="F296" s="16" t="n">
        <v>0</v>
      </c>
      <c r="G296" s="16" t="n">
        <v>0</v>
      </c>
      <c r="H296" s="16" t="n">
        <v>2</v>
      </c>
      <c r="I296" s="16" t="n">
        <v>2</v>
      </c>
      <c r="J296" s="16" t="n">
        <v>0</v>
      </c>
      <c r="K296" s="16" t="n">
        <v>0</v>
      </c>
      <c r="L296" s="16" t="n">
        <v>80</v>
      </c>
      <c r="M296" s="16" t="n">
        <v>70</v>
      </c>
      <c r="N296" s="16" t="n">
        <v>2</v>
      </c>
      <c r="O296" s="9" t="str">
        <f aca="false">IF(B296="","",IFERROR(INDEX(Options!$G$6:$G$85,MATCH($B296,Options!$A$6:$A$85,0)),""))</f>
        <v>Waist</v>
      </c>
      <c r="P296" s="9" t="str">
        <f aca="false">IF(B296="","",IFERROR(INDEX(Options!$H$6:$H$85,MATCH($B296,Options!$A$6:$A$85,0)),""))</f>
        <v>End of life</v>
      </c>
      <c r="Q296" s="24" t="n">
        <f aca="false">IF(B296="",0,N(IFERROR(INDEX(Options!$J$6:$J$85,MATCH($B296,Options!$A$6:$A$85,0)),"")))</f>
        <v>70</v>
      </c>
      <c r="R296" s="25" t="n">
        <f aca="false">K296*Settings!$B$10+J296*Settings!$B$11+I296*Settings!$B$12+H296*Settings!$B$13</f>
        <v>0.6</v>
      </c>
      <c r="S296" s="25" t="n">
        <f aca="false">IFERROR(L296/Settings!$B$8,0)</f>
        <v>3.63636363636364</v>
      </c>
      <c r="T296" s="26" t="n">
        <f aca="false">IF(OR(B296="",P296="End of life"),0,W296*MIN(4,N296))</f>
        <v>0</v>
      </c>
      <c r="U296" s="27" t="n">
        <f aca="false">T296*Q296</f>
        <v>0</v>
      </c>
      <c r="V296" s="14" t="n">
        <f aca="false">IF(B296="",0,G296*N(IFERROR(INDEX(Options!$K$6:$K$85,MATCH($B296,Options!$A$6:$A$85,0)),"")))</f>
        <v>0</v>
      </c>
      <c r="W296" s="26" t="n">
        <f aca="false">IF(B296="",0,IF(N296&gt;=4,S296,(H296+I296+J296+K296)/(4-N296)))</f>
        <v>2</v>
      </c>
    </row>
    <row r="297" customFormat="false" ht="15" hidden="false" customHeight="false" outlineLevel="0" collapsed="false">
      <c r="A297" s="16" t="s">
        <v>633</v>
      </c>
      <c r="B297" s="16" t="s">
        <v>293</v>
      </c>
      <c r="C297" s="16" t="s">
        <v>613</v>
      </c>
      <c r="D297" s="16" t="s">
        <v>183</v>
      </c>
      <c r="E297" s="16" t="n">
        <v>80</v>
      </c>
      <c r="F297" s="16" t="n">
        <v>0</v>
      </c>
      <c r="G297" s="16" t="n">
        <v>0</v>
      </c>
      <c r="H297" s="16" t="n">
        <v>0</v>
      </c>
      <c r="I297" s="16" t="n">
        <v>0</v>
      </c>
      <c r="J297" s="16" t="n">
        <v>0</v>
      </c>
      <c r="K297" s="16" t="n">
        <v>0</v>
      </c>
      <c r="L297" s="16" t="n">
        <v>80</v>
      </c>
      <c r="M297" s="16" t="n">
        <v>70</v>
      </c>
      <c r="N297" s="16" t="n">
        <v>4</v>
      </c>
      <c r="O297" s="9" t="str">
        <f aca="false">IF(B297="","",IFERROR(INDEX(Options!$G$6:$G$85,MATCH($B297,Options!$A$6:$A$85,0)),""))</f>
        <v>Waist</v>
      </c>
      <c r="P297" s="9" t="str">
        <f aca="false">IF(B297="","",IFERROR(INDEX(Options!$H$6:$H$85,MATCH($B297,Options!$A$6:$A$85,0)),""))</f>
        <v>End of life</v>
      </c>
      <c r="Q297" s="24" t="n">
        <f aca="false">IF(B297="",0,N(IFERROR(INDEX(Options!$J$6:$J$85,MATCH($B297,Options!$A$6:$A$85,0)),"")))</f>
        <v>70</v>
      </c>
      <c r="R297" s="25" t="n">
        <f aca="false">K297*Settings!$B$10+J297*Settings!$B$11+I297*Settings!$B$12+H297*Settings!$B$13</f>
        <v>0</v>
      </c>
      <c r="S297" s="25" t="n">
        <f aca="false">IFERROR(L297/Settings!$B$8,0)</f>
        <v>3.63636363636364</v>
      </c>
      <c r="T297" s="26" t="n">
        <f aca="false">IF(OR(B297="",P297="End of life"),0,W297*MIN(4,N297))</f>
        <v>0</v>
      </c>
      <c r="U297" s="27" t="n">
        <f aca="false">T297*Q297</f>
        <v>0</v>
      </c>
      <c r="V297" s="14" t="n">
        <f aca="false">IF(B297="",0,G297*N(IFERROR(INDEX(Options!$K$6:$K$85,MATCH($B297,Options!$A$6:$A$85,0)),"")))</f>
        <v>0</v>
      </c>
      <c r="W297" s="26" t="n">
        <f aca="false">IF(B297="",0,IF(N297&gt;=4,S297,(H297+I297+J297+K297)/(4-N297)))</f>
        <v>3.63636363636364</v>
      </c>
    </row>
    <row r="298" customFormat="false" ht="15" hidden="false" customHeight="false" outlineLevel="0" collapsed="false">
      <c r="A298" s="16" t="s">
        <v>634</v>
      </c>
      <c r="B298" s="16" t="s">
        <v>293</v>
      </c>
      <c r="C298" s="16" t="s">
        <v>615</v>
      </c>
      <c r="D298" s="16" t="s">
        <v>183</v>
      </c>
      <c r="E298" s="16" t="n">
        <v>55</v>
      </c>
      <c r="F298" s="16" t="n">
        <v>0</v>
      </c>
      <c r="G298" s="16" t="n">
        <v>0</v>
      </c>
      <c r="H298" s="16" t="n">
        <v>1</v>
      </c>
      <c r="I298" s="16" t="n">
        <v>1</v>
      </c>
      <c r="J298" s="16" t="n">
        <v>1</v>
      </c>
      <c r="K298" s="16" t="n">
        <v>0</v>
      </c>
      <c r="L298" s="16" t="n">
        <v>55</v>
      </c>
      <c r="M298" s="16" t="n">
        <v>48</v>
      </c>
      <c r="N298" s="16" t="n">
        <v>1</v>
      </c>
      <c r="O298" s="9" t="str">
        <f aca="false">IF(B298="","",IFERROR(INDEX(Options!$G$6:$G$85,MATCH($B298,Options!$A$6:$A$85,0)),""))</f>
        <v>Waist</v>
      </c>
      <c r="P298" s="9" t="str">
        <f aca="false">IF(B298="","",IFERROR(INDEX(Options!$H$6:$H$85,MATCH($B298,Options!$A$6:$A$85,0)),""))</f>
        <v>End of life</v>
      </c>
      <c r="Q298" s="24" t="n">
        <f aca="false">IF(B298="",0,N(IFERROR(INDEX(Options!$J$6:$J$85,MATCH($B298,Options!$A$6:$A$85,0)),"")))</f>
        <v>70</v>
      </c>
      <c r="R298" s="25" t="n">
        <f aca="false">K298*Settings!$B$10+J298*Settings!$B$11+I298*Settings!$B$12+H298*Settings!$B$13</f>
        <v>0.6</v>
      </c>
      <c r="S298" s="25" t="n">
        <f aca="false">IFERROR(L298/Settings!$B$8,0)</f>
        <v>2.5</v>
      </c>
      <c r="T298" s="26" t="n">
        <f aca="false">IF(OR(B298="",P298="End of life"),0,W298*MIN(4,N298))</f>
        <v>0</v>
      </c>
      <c r="U298" s="27" t="n">
        <f aca="false">T298*Q298</f>
        <v>0</v>
      </c>
      <c r="V298" s="14" t="n">
        <f aca="false">IF(B298="",0,G298*N(IFERROR(INDEX(Options!$K$6:$K$85,MATCH($B298,Options!$A$6:$A$85,0)),"")))</f>
        <v>0</v>
      </c>
      <c r="W298" s="26" t="n">
        <f aca="false">IF(B298="",0,IF(N298&gt;=4,S298,(H298+I298+J298+K298)/(4-N298)))</f>
        <v>1</v>
      </c>
    </row>
    <row r="299" customFormat="false" ht="15" hidden="false" customHeight="false" outlineLevel="0" collapsed="false">
      <c r="A299" s="16" t="s">
        <v>635</v>
      </c>
      <c r="B299" s="16" t="s">
        <v>293</v>
      </c>
      <c r="C299" s="16" t="s">
        <v>617</v>
      </c>
      <c r="D299" s="16"/>
      <c r="E299" s="16" t="n">
        <v>74</v>
      </c>
      <c r="F299" s="16" t="n">
        <v>0</v>
      </c>
      <c r="G299" s="16" t="n">
        <v>44</v>
      </c>
      <c r="H299" s="16" t="n">
        <v>0</v>
      </c>
      <c r="I299" s="16" t="n">
        <v>1</v>
      </c>
      <c r="J299" s="16" t="n">
        <v>1</v>
      </c>
      <c r="K299" s="16" t="n">
        <v>1</v>
      </c>
      <c r="L299" s="16" t="n">
        <v>30</v>
      </c>
      <c r="M299" s="16" t="n">
        <v>26</v>
      </c>
      <c r="N299" s="16" t="n">
        <v>0</v>
      </c>
      <c r="O299" s="9" t="str">
        <f aca="false">IF(B299="","",IFERROR(INDEX(Options!$G$6:$G$85,MATCH($B299,Options!$A$6:$A$85,0)),""))</f>
        <v>Waist</v>
      </c>
      <c r="P299" s="9" t="str">
        <f aca="false">IF(B299="","",IFERROR(INDEX(Options!$H$6:$H$85,MATCH($B299,Options!$A$6:$A$85,0)),""))</f>
        <v>End of life</v>
      </c>
      <c r="Q299" s="24" t="n">
        <f aca="false">IF(B299="",0,N(IFERROR(INDEX(Options!$J$6:$J$85,MATCH($B299,Options!$A$6:$A$85,0)),"")))</f>
        <v>70</v>
      </c>
      <c r="R299" s="25" t="n">
        <f aca="false">K299*Settings!$B$10+J299*Settings!$B$11+I299*Settings!$B$12+H299*Settings!$B$13</f>
        <v>0.9</v>
      </c>
      <c r="S299" s="25" t="n">
        <f aca="false">IFERROR(L299/Settings!$B$8,0)</f>
        <v>1.36363636363636</v>
      </c>
      <c r="T299" s="26" t="n">
        <f aca="false">IF(OR(B299="",P299="End of life"),0,W299*MIN(4,N299))</f>
        <v>0</v>
      </c>
      <c r="U299" s="27" t="n">
        <f aca="false">T299*Q299</f>
        <v>0</v>
      </c>
      <c r="V299" s="14" t="n">
        <f aca="false">IF(B299="",0,G299*N(IFERROR(INDEX(Options!$K$6:$K$85,MATCH($B299,Options!$A$6:$A$85,0)),"")))</f>
        <v>1170.4</v>
      </c>
      <c r="W299" s="26" t="n">
        <f aca="false">IF(B299="",0,IF(N299&gt;=4,S299,(H299+I299+J299+K299)/(4-N299)))</f>
        <v>0.75</v>
      </c>
    </row>
    <row r="300" customFormat="false" ht="15" hidden="false" customHeight="false" outlineLevel="0" collapsed="false">
      <c r="A300" s="16" t="s">
        <v>636</v>
      </c>
      <c r="B300" s="16" t="s">
        <v>295</v>
      </c>
      <c r="C300" s="16" t="s">
        <v>607</v>
      </c>
      <c r="D300" s="16"/>
      <c r="E300" s="16" t="n">
        <v>87</v>
      </c>
      <c r="F300" s="16" t="n">
        <v>0</v>
      </c>
      <c r="G300" s="16" t="n">
        <v>61</v>
      </c>
      <c r="H300" s="16" t="n">
        <v>1</v>
      </c>
      <c r="I300" s="16" t="n">
        <v>1</v>
      </c>
      <c r="J300" s="16" t="n">
        <v>1</v>
      </c>
      <c r="K300" s="16" t="n">
        <v>1</v>
      </c>
      <c r="L300" s="16" t="n">
        <v>26</v>
      </c>
      <c r="M300" s="16" t="n">
        <v>16</v>
      </c>
      <c r="N300" s="16" t="n">
        <v>0</v>
      </c>
      <c r="O300" s="9" t="str">
        <f aca="false">IF(B300="","",IFERROR(INDEX(Options!$G$6:$G$85,MATCH($B300,Options!$A$6:$A$85,0)),""))</f>
        <v>Waist</v>
      </c>
      <c r="P300" s="9" t="str">
        <f aca="false">IF(B300="","",IFERROR(INDEX(Options!$H$6:$H$85,MATCH($B300,Options!$A$6:$A$85,0)),""))</f>
        <v>Seasonal</v>
      </c>
      <c r="Q300" s="24" t="n">
        <f aca="false">IF(B300="",0,N(IFERROR(INDEX(Options!$J$6:$J$85,MATCH($B300,Options!$A$6:$A$85,0)),"")))</f>
        <v>70</v>
      </c>
      <c r="R300" s="25" t="n">
        <f aca="false">K300*Settings!$B$10+J300*Settings!$B$11+I300*Settings!$B$12+H300*Settings!$B$13</f>
        <v>1</v>
      </c>
      <c r="S300" s="25" t="n">
        <f aca="false">IFERROR(L300/Settings!$B$8,0)</f>
        <v>1.18181818181818</v>
      </c>
      <c r="T300" s="26" t="n">
        <f aca="false">IF(OR(B300="",P300="End of life"),0,W300*MIN(4,N300))</f>
        <v>0</v>
      </c>
      <c r="U300" s="27" t="n">
        <f aca="false">T300*Q300</f>
        <v>0</v>
      </c>
      <c r="V300" s="14" t="n">
        <f aca="false">IF(B300="",0,G300*N(IFERROR(INDEX(Options!$K$6:$K$85,MATCH($B300,Options!$A$6:$A$85,0)),"")))</f>
        <v>1622.6</v>
      </c>
      <c r="W300" s="26" t="n">
        <f aca="false">IF(B300="",0,IF(N300&gt;=4,S300,(H300+I300+J300+K300)/(4-N300)))</f>
        <v>1</v>
      </c>
    </row>
    <row r="301" customFormat="false" ht="15" hidden="false" customHeight="false" outlineLevel="0" collapsed="false">
      <c r="A301" s="16" t="s">
        <v>637</v>
      </c>
      <c r="B301" s="16" t="s">
        <v>295</v>
      </c>
      <c r="C301" s="16" t="s">
        <v>609</v>
      </c>
      <c r="D301" s="16"/>
      <c r="E301" s="16" t="n">
        <v>150</v>
      </c>
      <c r="F301" s="16" t="n">
        <v>0</v>
      </c>
      <c r="G301" s="16" t="n">
        <v>96</v>
      </c>
      <c r="H301" s="16" t="n">
        <v>2</v>
      </c>
      <c r="I301" s="16" t="n">
        <v>1</v>
      </c>
      <c r="J301" s="16" t="n">
        <v>2</v>
      </c>
      <c r="K301" s="16" t="n">
        <v>2</v>
      </c>
      <c r="L301" s="16" t="n">
        <v>54</v>
      </c>
      <c r="M301" s="16" t="n">
        <v>32</v>
      </c>
      <c r="N301" s="16" t="n">
        <v>0</v>
      </c>
      <c r="O301" s="9" t="str">
        <f aca="false">IF(B301="","",IFERROR(INDEX(Options!$G$6:$G$85,MATCH($B301,Options!$A$6:$A$85,0)),""))</f>
        <v>Waist</v>
      </c>
      <c r="P301" s="9" t="str">
        <f aca="false">IF(B301="","",IFERROR(INDEX(Options!$H$6:$H$85,MATCH($B301,Options!$A$6:$A$85,0)),""))</f>
        <v>Seasonal</v>
      </c>
      <c r="Q301" s="24" t="n">
        <f aca="false">IF(B301="",0,N(IFERROR(INDEX(Options!$J$6:$J$85,MATCH($B301,Options!$A$6:$A$85,0)),"")))</f>
        <v>70</v>
      </c>
      <c r="R301" s="25" t="n">
        <f aca="false">K301*Settings!$B$10+J301*Settings!$B$11+I301*Settings!$B$12+H301*Settings!$B$13</f>
        <v>1.8</v>
      </c>
      <c r="S301" s="25" t="n">
        <f aca="false">IFERROR(L301/Settings!$B$8,0)</f>
        <v>2.45454545454545</v>
      </c>
      <c r="T301" s="26" t="n">
        <f aca="false">IF(OR(B301="",P301="End of life"),0,W301*MIN(4,N301))</f>
        <v>0</v>
      </c>
      <c r="U301" s="27" t="n">
        <f aca="false">T301*Q301</f>
        <v>0</v>
      </c>
      <c r="V301" s="14" t="n">
        <f aca="false">IF(B301="",0,G301*N(IFERROR(INDEX(Options!$K$6:$K$85,MATCH($B301,Options!$A$6:$A$85,0)),"")))</f>
        <v>2553.6</v>
      </c>
      <c r="W301" s="26" t="n">
        <f aca="false">IF(B301="",0,IF(N301&gt;=4,S301,(H301+I301+J301+K301)/(4-N301)))</f>
        <v>1.75</v>
      </c>
    </row>
    <row r="302" customFormat="false" ht="15" hidden="false" customHeight="false" outlineLevel="0" collapsed="false">
      <c r="A302" s="16" t="s">
        <v>638</v>
      </c>
      <c r="B302" s="16" t="s">
        <v>295</v>
      </c>
      <c r="C302" s="16" t="s">
        <v>611</v>
      </c>
      <c r="D302" s="16" t="s">
        <v>183</v>
      </c>
      <c r="E302" s="16" t="n">
        <v>279</v>
      </c>
      <c r="F302" s="16" t="n">
        <v>0</v>
      </c>
      <c r="G302" s="16" t="n">
        <v>180</v>
      </c>
      <c r="H302" s="16" t="n">
        <v>3</v>
      </c>
      <c r="I302" s="16" t="n">
        <v>3</v>
      </c>
      <c r="J302" s="16" t="n">
        <v>3</v>
      </c>
      <c r="K302" s="16" t="n">
        <v>4</v>
      </c>
      <c r="L302" s="16" t="n">
        <v>99</v>
      </c>
      <c r="M302" s="16" t="n">
        <v>59</v>
      </c>
      <c r="N302" s="16" t="n">
        <v>0</v>
      </c>
      <c r="O302" s="9" t="str">
        <f aca="false">IF(B302="","",IFERROR(INDEX(Options!$G$6:$G$85,MATCH($B302,Options!$A$6:$A$85,0)),""))</f>
        <v>Waist</v>
      </c>
      <c r="P302" s="9" t="str">
        <f aca="false">IF(B302="","",IFERROR(INDEX(Options!$H$6:$H$85,MATCH($B302,Options!$A$6:$A$85,0)),""))</f>
        <v>Seasonal</v>
      </c>
      <c r="Q302" s="24" t="n">
        <f aca="false">IF(B302="",0,N(IFERROR(INDEX(Options!$J$6:$J$85,MATCH($B302,Options!$A$6:$A$85,0)),"")))</f>
        <v>70</v>
      </c>
      <c r="R302" s="25" t="n">
        <f aca="false">K302*Settings!$B$10+J302*Settings!$B$11+I302*Settings!$B$12+H302*Settings!$B$13</f>
        <v>3.4</v>
      </c>
      <c r="S302" s="25" t="n">
        <f aca="false">IFERROR(L302/Settings!$B$8,0)</f>
        <v>4.5</v>
      </c>
      <c r="T302" s="26" t="n">
        <f aca="false">IF(OR(B302="",P302="End of life"),0,W302*MIN(4,N302))</f>
        <v>0</v>
      </c>
      <c r="U302" s="27" t="n">
        <f aca="false">T302*Q302</f>
        <v>0</v>
      </c>
      <c r="V302" s="14" t="n">
        <f aca="false">IF(B302="",0,G302*N(IFERROR(INDEX(Options!$K$6:$K$85,MATCH($B302,Options!$A$6:$A$85,0)),"")))</f>
        <v>4788</v>
      </c>
      <c r="W302" s="26" t="n">
        <f aca="false">IF(B302="",0,IF(N302&gt;=4,S302,(H302+I302+J302+K302)/(4-N302)))</f>
        <v>3.25</v>
      </c>
    </row>
    <row r="303" customFormat="false" ht="15" hidden="false" customHeight="false" outlineLevel="0" collapsed="false">
      <c r="A303" s="16" t="s">
        <v>639</v>
      </c>
      <c r="B303" s="16" t="s">
        <v>295</v>
      </c>
      <c r="C303" s="16" t="s">
        <v>613</v>
      </c>
      <c r="D303" s="16" t="s">
        <v>183</v>
      </c>
      <c r="E303" s="16" t="n">
        <v>279</v>
      </c>
      <c r="F303" s="16" t="n">
        <v>0</v>
      </c>
      <c r="G303" s="16" t="n">
        <v>176</v>
      </c>
      <c r="H303" s="16" t="n">
        <v>3</v>
      </c>
      <c r="I303" s="16" t="n">
        <v>3</v>
      </c>
      <c r="J303" s="16" t="n">
        <v>4</v>
      </c>
      <c r="K303" s="16" t="n">
        <v>4</v>
      </c>
      <c r="L303" s="16" t="n">
        <v>103</v>
      </c>
      <c r="M303" s="16" t="n">
        <v>62</v>
      </c>
      <c r="N303" s="16" t="n">
        <v>0</v>
      </c>
      <c r="O303" s="9" t="str">
        <f aca="false">IF(B303="","",IFERROR(INDEX(Options!$G$6:$G$85,MATCH($B303,Options!$A$6:$A$85,0)),""))</f>
        <v>Waist</v>
      </c>
      <c r="P303" s="9" t="str">
        <f aca="false">IF(B303="","",IFERROR(INDEX(Options!$H$6:$H$85,MATCH($B303,Options!$A$6:$A$85,0)),""))</f>
        <v>Seasonal</v>
      </c>
      <c r="Q303" s="24" t="n">
        <f aca="false">IF(B303="",0,N(IFERROR(INDEX(Options!$J$6:$J$85,MATCH($B303,Options!$A$6:$A$85,0)),"")))</f>
        <v>70</v>
      </c>
      <c r="R303" s="25" t="n">
        <f aca="false">K303*Settings!$B$10+J303*Settings!$B$11+I303*Settings!$B$12+H303*Settings!$B$13</f>
        <v>3.7</v>
      </c>
      <c r="S303" s="25" t="n">
        <f aca="false">IFERROR(L303/Settings!$B$8,0)</f>
        <v>4.68181818181818</v>
      </c>
      <c r="T303" s="26" t="n">
        <f aca="false">IF(OR(B303="",P303="End of life"),0,W303*MIN(4,N303))</f>
        <v>0</v>
      </c>
      <c r="U303" s="27" t="n">
        <f aca="false">T303*Q303</f>
        <v>0</v>
      </c>
      <c r="V303" s="14" t="n">
        <f aca="false">IF(B303="",0,G303*N(IFERROR(INDEX(Options!$K$6:$K$85,MATCH($B303,Options!$A$6:$A$85,0)),"")))</f>
        <v>4681.6</v>
      </c>
      <c r="W303" s="26" t="n">
        <f aca="false">IF(B303="",0,IF(N303&gt;=4,S303,(H303+I303+J303+K303)/(4-N303)))</f>
        <v>3.5</v>
      </c>
    </row>
    <row r="304" customFormat="false" ht="15" hidden="false" customHeight="false" outlineLevel="0" collapsed="false">
      <c r="A304" s="16" t="s">
        <v>640</v>
      </c>
      <c r="B304" s="16" t="s">
        <v>295</v>
      </c>
      <c r="C304" s="16" t="s">
        <v>615</v>
      </c>
      <c r="D304" s="16" t="s">
        <v>183</v>
      </c>
      <c r="E304" s="16" t="n">
        <v>193</v>
      </c>
      <c r="F304" s="16" t="n">
        <v>0</v>
      </c>
      <c r="G304" s="16" t="n">
        <v>123</v>
      </c>
      <c r="H304" s="16" t="n">
        <v>2</v>
      </c>
      <c r="I304" s="16" t="n">
        <v>2</v>
      </c>
      <c r="J304" s="16" t="n">
        <v>3</v>
      </c>
      <c r="K304" s="16" t="n">
        <v>3</v>
      </c>
      <c r="L304" s="16" t="n">
        <v>70</v>
      </c>
      <c r="M304" s="16" t="n">
        <v>42</v>
      </c>
      <c r="N304" s="16" t="n">
        <v>0</v>
      </c>
      <c r="O304" s="9" t="str">
        <f aca="false">IF(B304="","",IFERROR(INDEX(Options!$G$6:$G$85,MATCH($B304,Options!$A$6:$A$85,0)),""))</f>
        <v>Waist</v>
      </c>
      <c r="P304" s="9" t="str">
        <f aca="false">IF(B304="","",IFERROR(INDEX(Options!$H$6:$H$85,MATCH($B304,Options!$A$6:$A$85,0)),""))</f>
        <v>Seasonal</v>
      </c>
      <c r="Q304" s="24" t="n">
        <f aca="false">IF(B304="",0,N(IFERROR(INDEX(Options!$J$6:$J$85,MATCH($B304,Options!$A$6:$A$85,0)),"")))</f>
        <v>70</v>
      </c>
      <c r="R304" s="25" t="n">
        <f aca="false">K304*Settings!$B$10+J304*Settings!$B$11+I304*Settings!$B$12+H304*Settings!$B$13</f>
        <v>2.7</v>
      </c>
      <c r="S304" s="25" t="n">
        <f aca="false">IFERROR(L304/Settings!$B$8,0)</f>
        <v>3.18181818181818</v>
      </c>
      <c r="T304" s="26" t="n">
        <f aca="false">IF(OR(B304="",P304="End of life"),0,W304*MIN(4,N304))</f>
        <v>0</v>
      </c>
      <c r="U304" s="27" t="n">
        <f aca="false">T304*Q304</f>
        <v>0</v>
      </c>
      <c r="V304" s="14" t="n">
        <f aca="false">IF(B304="",0,G304*N(IFERROR(INDEX(Options!$K$6:$K$85,MATCH($B304,Options!$A$6:$A$85,0)),"")))</f>
        <v>3271.8</v>
      </c>
      <c r="W304" s="26" t="n">
        <f aca="false">IF(B304="",0,IF(N304&gt;=4,S304,(H304+I304+J304+K304)/(4-N304)))</f>
        <v>2.5</v>
      </c>
    </row>
    <row r="305" customFormat="false" ht="15" hidden="false" customHeight="false" outlineLevel="0" collapsed="false">
      <c r="A305" s="16" t="s">
        <v>641</v>
      </c>
      <c r="B305" s="16" t="s">
        <v>295</v>
      </c>
      <c r="C305" s="16" t="s">
        <v>617</v>
      </c>
      <c r="D305" s="16"/>
      <c r="E305" s="16" t="n">
        <v>145</v>
      </c>
      <c r="F305" s="16" t="n">
        <v>0</v>
      </c>
      <c r="G305" s="16" t="n">
        <v>102</v>
      </c>
      <c r="H305" s="16" t="n">
        <v>1</v>
      </c>
      <c r="I305" s="16" t="n">
        <v>1</v>
      </c>
      <c r="J305" s="16" t="n">
        <v>1</v>
      </c>
      <c r="K305" s="16" t="n">
        <v>1</v>
      </c>
      <c r="L305" s="16" t="n">
        <v>43</v>
      </c>
      <c r="M305" s="16" t="n">
        <v>26</v>
      </c>
      <c r="N305" s="16" t="n">
        <v>0</v>
      </c>
      <c r="O305" s="9" t="str">
        <f aca="false">IF(B305="","",IFERROR(INDEX(Options!$G$6:$G$85,MATCH($B305,Options!$A$6:$A$85,0)),""))</f>
        <v>Waist</v>
      </c>
      <c r="P305" s="9" t="str">
        <f aca="false">IF(B305="","",IFERROR(INDEX(Options!$H$6:$H$85,MATCH($B305,Options!$A$6:$A$85,0)),""))</f>
        <v>Seasonal</v>
      </c>
      <c r="Q305" s="24" t="n">
        <f aca="false">IF(B305="",0,N(IFERROR(INDEX(Options!$J$6:$J$85,MATCH($B305,Options!$A$6:$A$85,0)),"")))</f>
        <v>70</v>
      </c>
      <c r="R305" s="25" t="n">
        <f aca="false">K305*Settings!$B$10+J305*Settings!$B$11+I305*Settings!$B$12+H305*Settings!$B$13</f>
        <v>1</v>
      </c>
      <c r="S305" s="25" t="n">
        <f aca="false">IFERROR(L305/Settings!$B$8,0)</f>
        <v>1.95454545454545</v>
      </c>
      <c r="T305" s="26" t="n">
        <f aca="false">IF(OR(B305="",P305="End of life"),0,W305*MIN(4,N305))</f>
        <v>0</v>
      </c>
      <c r="U305" s="27" t="n">
        <f aca="false">T305*Q305</f>
        <v>0</v>
      </c>
      <c r="V305" s="14" t="n">
        <f aca="false">IF(B305="",0,G305*N(IFERROR(INDEX(Options!$K$6:$K$85,MATCH($B305,Options!$A$6:$A$85,0)),"")))</f>
        <v>2713.2</v>
      </c>
      <c r="W305" s="26" t="n">
        <f aca="false">IF(B305="",0,IF(N305&gt;=4,S305,(H305+I305+J305+K305)/(4-N305)))</f>
        <v>1</v>
      </c>
    </row>
    <row r="306" customFormat="false" ht="15" hidden="false" customHeight="false" outlineLevel="0" collapsed="false">
      <c r="A306" s="16" t="s">
        <v>642</v>
      </c>
      <c r="B306" s="16" t="s">
        <v>296</v>
      </c>
      <c r="C306" s="16" t="s">
        <v>607</v>
      </c>
      <c r="D306" s="16"/>
      <c r="E306" s="16" t="n">
        <v>61</v>
      </c>
      <c r="F306" s="16" t="n">
        <v>0</v>
      </c>
      <c r="G306" s="16" t="n">
        <v>28</v>
      </c>
      <c r="H306" s="16" t="n">
        <v>1</v>
      </c>
      <c r="I306" s="16" t="n">
        <v>1</v>
      </c>
      <c r="J306" s="16" t="n">
        <v>1</v>
      </c>
      <c r="K306" s="16" t="n">
        <v>2</v>
      </c>
      <c r="L306" s="16" t="n">
        <v>33</v>
      </c>
      <c r="M306" s="16" t="n">
        <v>29</v>
      </c>
      <c r="N306" s="16" t="n">
        <v>0</v>
      </c>
      <c r="O306" s="9" t="str">
        <f aca="false">IF(B306="","",IFERROR(INDEX(Options!$G$6:$G$85,MATCH($B306,Options!$A$6:$A$85,0)),""))</f>
        <v>Waist</v>
      </c>
      <c r="P306" s="9" t="str">
        <f aca="false">IF(B306="","",IFERROR(INDEX(Options!$H$6:$H$85,MATCH($B306,Options!$A$6:$A$85,0)),""))</f>
        <v>Seasonal</v>
      </c>
      <c r="Q306" s="24" t="n">
        <f aca="false">IF(B306="",0,N(IFERROR(INDEX(Options!$J$6:$J$85,MATCH($B306,Options!$A$6:$A$85,0)),"")))</f>
        <v>65</v>
      </c>
      <c r="R306" s="25" t="n">
        <f aca="false">K306*Settings!$B$10+J306*Settings!$B$11+I306*Settings!$B$12+H306*Settings!$B$13</f>
        <v>1.4</v>
      </c>
      <c r="S306" s="25" t="n">
        <f aca="false">IFERROR(L306/Settings!$B$8,0)</f>
        <v>1.5</v>
      </c>
      <c r="T306" s="26" t="n">
        <f aca="false">IF(OR(B306="",P306="End of life"),0,W306*MIN(4,N306))</f>
        <v>0</v>
      </c>
      <c r="U306" s="27" t="n">
        <f aca="false">T306*Q306</f>
        <v>0</v>
      </c>
      <c r="V306" s="14" t="n">
        <f aca="false">IF(B306="",0,G306*N(IFERROR(INDEX(Options!$K$6:$K$85,MATCH($B306,Options!$A$6:$A$85,0)),"")))</f>
        <v>691.6</v>
      </c>
      <c r="W306" s="26" t="n">
        <f aca="false">IF(B306="",0,IF(N306&gt;=4,S306,(H306+I306+J306+K306)/(4-N306)))</f>
        <v>1.25</v>
      </c>
    </row>
    <row r="307" customFormat="false" ht="15" hidden="false" customHeight="false" outlineLevel="0" collapsed="false">
      <c r="A307" s="16" t="s">
        <v>643</v>
      </c>
      <c r="B307" s="16" t="s">
        <v>296</v>
      </c>
      <c r="C307" s="16" t="s">
        <v>609</v>
      </c>
      <c r="D307" s="16"/>
      <c r="E307" s="16" t="n">
        <v>105</v>
      </c>
      <c r="F307" s="16" t="n">
        <v>0</v>
      </c>
      <c r="G307" s="16" t="n">
        <v>28</v>
      </c>
      <c r="H307" s="16" t="n">
        <v>3</v>
      </c>
      <c r="I307" s="16" t="n">
        <v>3</v>
      </c>
      <c r="J307" s="16" t="n">
        <v>3</v>
      </c>
      <c r="K307" s="16" t="n">
        <v>4</v>
      </c>
      <c r="L307" s="16" t="n">
        <v>77</v>
      </c>
      <c r="M307" s="16" t="n">
        <v>68</v>
      </c>
      <c r="N307" s="16" t="n">
        <v>0</v>
      </c>
      <c r="O307" s="9" t="str">
        <f aca="false">IF(B307="","",IFERROR(INDEX(Options!$G$6:$G$85,MATCH($B307,Options!$A$6:$A$85,0)),""))</f>
        <v>Waist</v>
      </c>
      <c r="P307" s="9" t="str">
        <f aca="false">IF(B307="","",IFERROR(INDEX(Options!$H$6:$H$85,MATCH($B307,Options!$A$6:$A$85,0)),""))</f>
        <v>Seasonal</v>
      </c>
      <c r="Q307" s="24" t="n">
        <f aca="false">IF(B307="",0,N(IFERROR(INDEX(Options!$J$6:$J$85,MATCH($B307,Options!$A$6:$A$85,0)),"")))</f>
        <v>65</v>
      </c>
      <c r="R307" s="25" t="n">
        <f aca="false">K307*Settings!$B$10+J307*Settings!$B$11+I307*Settings!$B$12+H307*Settings!$B$13</f>
        <v>3.4</v>
      </c>
      <c r="S307" s="25" t="n">
        <f aca="false">IFERROR(L307/Settings!$B$8,0)</f>
        <v>3.5</v>
      </c>
      <c r="T307" s="26" t="n">
        <f aca="false">IF(OR(B307="",P307="End of life"),0,W307*MIN(4,N307))</f>
        <v>0</v>
      </c>
      <c r="U307" s="27" t="n">
        <f aca="false">T307*Q307</f>
        <v>0</v>
      </c>
      <c r="V307" s="14" t="n">
        <f aca="false">IF(B307="",0,G307*N(IFERROR(INDEX(Options!$K$6:$K$85,MATCH($B307,Options!$A$6:$A$85,0)),"")))</f>
        <v>691.6</v>
      </c>
      <c r="W307" s="26" t="n">
        <f aca="false">IF(B307="",0,IF(N307&gt;=4,S307,(H307+I307+J307+K307)/(4-N307)))</f>
        <v>3.25</v>
      </c>
    </row>
    <row r="308" customFormat="false" ht="15" hidden="false" customHeight="false" outlineLevel="0" collapsed="false">
      <c r="A308" s="16" t="s">
        <v>644</v>
      </c>
      <c r="B308" s="16" t="s">
        <v>296</v>
      </c>
      <c r="C308" s="16" t="s">
        <v>611</v>
      </c>
      <c r="D308" s="16" t="s">
        <v>183</v>
      </c>
      <c r="E308" s="16" t="n">
        <v>195</v>
      </c>
      <c r="F308" s="16" t="n">
        <v>0</v>
      </c>
      <c r="G308" s="16" t="n">
        <v>42</v>
      </c>
      <c r="H308" s="16" t="n">
        <v>6</v>
      </c>
      <c r="I308" s="16" t="n">
        <v>7</v>
      </c>
      <c r="J308" s="16" t="n">
        <v>6</v>
      </c>
      <c r="K308" s="16" t="n">
        <v>7</v>
      </c>
      <c r="L308" s="16" t="n">
        <v>153</v>
      </c>
      <c r="M308" s="16" t="n">
        <v>135</v>
      </c>
      <c r="N308" s="16" t="n">
        <v>0</v>
      </c>
      <c r="O308" s="9" t="str">
        <f aca="false">IF(B308="","",IFERROR(INDEX(Options!$G$6:$G$85,MATCH($B308,Options!$A$6:$A$85,0)),""))</f>
        <v>Waist</v>
      </c>
      <c r="P308" s="9" t="str">
        <f aca="false">IF(B308="","",IFERROR(INDEX(Options!$H$6:$H$85,MATCH($B308,Options!$A$6:$A$85,0)),""))</f>
        <v>Seasonal</v>
      </c>
      <c r="Q308" s="24" t="n">
        <f aca="false">IF(B308="",0,N(IFERROR(INDEX(Options!$J$6:$J$85,MATCH($B308,Options!$A$6:$A$85,0)),"")))</f>
        <v>65</v>
      </c>
      <c r="R308" s="25" t="n">
        <f aca="false">K308*Settings!$B$10+J308*Settings!$B$11+I308*Settings!$B$12+H308*Settings!$B$13</f>
        <v>6.6</v>
      </c>
      <c r="S308" s="25" t="n">
        <f aca="false">IFERROR(L308/Settings!$B$8,0)</f>
        <v>6.95454545454545</v>
      </c>
      <c r="T308" s="26" t="n">
        <f aca="false">IF(OR(B308="",P308="End of life"),0,W308*MIN(4,N308))</f>
        <v>0</v>
      </c>
      <c r="U308" s="27" t="n">
        <f aca="false">T308*Q308</f>
        <v>0</v>
      </c>
      <c r="V308" s="14" t="n">
        <f aca="false">IF(B308="",0,G308*N(IFERROR(INDEX(Options!$K$6:$K$85,MATCH($B308,Options!$A$6:$A$85,0)),"")))</f>
        <v>1037.4</v>
      </c>
      <c r="W308" s="26" t="n">
        <f aca="false">IF(B308="",0,IF(N308&gt;=4,S308,(H308+I308+J308+K308)/(4-N308)))</f>
        <v>6.5</v>
      </c>
    </row>
    <row r="309" customFormat="false" ht="15" hidden="false" customHeight="false" outlineLevel="0" collapsed="false">
      <c r="A309" s="16" t="s">
        <v>645</v>
      </c>
      <c r="B309" s="16" t="s">
        <v>296</v>
      </c>
      <c r="C309" s="16" t="s">
        <v>613</v>
      </c>
      <c r="D309" s="16" t="s">
        <v>183</v>
      </c>
      <c r="E309" s="16" t="n">
        <v>195</v>
      </c>
      <c r="F309" s="16" t="n">
        <v>0</v>
      </c>
      <c r="G309" s="16" t="n">
        <v>45</v>
      </c>
      <c r="H309" s="16" t="n">
        <v>6</v>
      </c>
      <c r="I309" s="16" t="n">
        <v>7</v>
      </c>
      <c r="J309" s="16" t="n">
        <v>8</v>
      </c>
      <c r="K309" s="16" t="n">
        <v>6</v>
      </c>
      <c r="L309" s="16" t="n">
        <v>150</v>
      </c>
      <c r="M309" s="16" t="n">
        <v>132</v>
      </c>
      <c r="N309" s="16" t="n">
        <v>0</v>
      </c>
      <c r="O309" s="9" t="str">
        <f aca="false">IF(B309="","",IFERROR(INDEX(Options!$G$6:$G$85,MATCH($B309,Options!$A$6:$A$85,0)),""))</f>
        <v>Waist</v>
      </c>
      <c r="P309" s="9" t="str">
        <f aca="false">IF(B309="","",IFERROR(INDEX(Options!$H$6:$H$85,MATCH($B309,Options!$A$6:$A$85,0)),""))</f>
        <v>Seasonal</v>
      </c>
      <c r="Q309" s="24" t="n">
        <f aca="false">IF(B309="",0,N(IFERROR(INDEX(Options!$J$6:$J$85,MATCH($B309,Options!$A$6:$A$85,0)),"")))</f>
        <v>65</v>
      </c>
      <c r="R309" s="25" t="n">
        <f aca="false">K309*Settings!$B$10+J309*Settings!$B$11+I309*Settings!$B$12+H309*Settings!$B$13</f>
        <v>6.8</v>
      </c>
      <c r="S309" s="25" t="n">
        <f aca="false">IFERROR(L309/Settings!$B$8,0)</f>
        <v>6.81818181818182</v>
      </c>
      <c r="T309" s="26" t="n">
        <f aca="false">IF(OR(B309="",P309="End of life"),0,W309*MIN(4,N309))</f>
        <v>0</v>
      </c>
      <c r="U309" s="27" t="n">
        <f aca="false">T309*Q309</f>
        <v>0</v>
      </c>
      <c r="V309" s="14" t="n">
        <f aca="false">IF(B309="",0,G309*N(IFERROR(INDEX(Options!$K$6:$K$85,MATCH($B309,Options!$A$6:$A$85,0)),"")))</f>
        <v>1111.5</v>
      </c>
      <c r="W309" s="26" t="n">
        <f aca="false">IF(B309="",0,IF(N309&gt;=4,S309,(H309+I309+J309+K309)/(4-N309)))</f>
        <v>6.75</v>
      </c>
    </row>
    <row r="310" customFormat="false" ht="15" hidden="false" customHeight="false" outlineLevel="0" collapsed="false">
      <c r="A310" s="16" t="s">
        <v>646</v>
      </c>
      <c r="B310" s="16" t="s">
        <v>296</v>
      </c>
      <c r="C310" s="16" t="s">
        <v>615</v>
      </c>
      <c r="D310" s="16" t="s">
        <v>183</v>
      </c>
      <c r="E310" s="16" t="n">
        <v>135</v>
      </c>
      <c r="F310" s="16" t="n">
        <v>0</v>
      </c>
      <c r="G310" s="16" t="n">
        <v>35</v>
      </c>
      <c r="H310" s="16" t="n">
        <v>4</v>
      </c>
      <c r="I310" s="16" t="n">
        <v>5</v>
      </c>
      <c r="J310" s="16" t="n">
        <v>4</v>
      </c>
      <c r="K310" s="16" t="n">
        <v>5</v>
      </c>
      <c r="L310" s="16" t="n">
        <v>100</v>
      </c>
      <c r="M310" s="16" t="n">
        <v>88</v>
      </c>
      <c r="N310" s="16" t="n">
        <v>0</v>
      </c>
      <c r="O310" s="9" t="str">
        <f aca="false">IF(B310="","",IFERROR(INDEX(Options!$G$6:$G$85,MATCH($B310,Options!$A$6:$A$85,0)),""))</f>
        <v>Waist</v>
      </c>
      <c r="P310" s="9" t="str">
        <f aca="false">IF(B310="","",IFERROR(INDEX(Options!$H$6:$H$85,MATCH($B310,Options!$A$6:$A$85,0)),""))</f>
        <v>Seasonal</v>
      </c>
      <c r="Q310" s="24" t="n">
        <f aca="false">IF(B310="",0,N(IFERROR(INDEX(Options!$J$6:$J$85,MATCH($B310,Options!$A$6:$A$85,0)),"")))</f>
        <v>65</v>
      </c>
      <c r="R310" s="25" t="n">
        <f aca="false">K310*Settings!$B$10+J310*Settings!$B$11+I310*Settings!$B$12+H310*Settings!$B$13</f>
        <v>4.6</v>
      </c>
      <c r="S310" s="25" t="n">
        <f aca="false">IFERROR(L310/Settings!$B$8,0)</f>
        <v>4.54545454545455</v>
      </c>
      <c r="T310" s="26" t="n">
        <f aca="false">IF(OR(B310="",P310="End of life"),0,W310*MIN(4,N310))</f>
        <v>0</v>
      </c>
      <c r="U310" s="27" t="n">
        <f aca="false">T310*Q310</f>
        <v>0</v>
      </c>
      <c r="V310" s="14" t="n">
        <f aca="false">IF(B310="",0,G310*N(IFERROR(INDEX(Options!$K$6:$K$85,MATCH($B310,Options!$A$6:$A$85,0)),"")))</f>
        <v>864.5</v>
      </c>
      <c r="W310" s="26" t="n">
        <f aca="false">IF(B310="",0,IF(N310&gt;=4,S310,(H310+I310+J310+K310)/(4-N310)))</f>
        <v>4.5</v>
      </c>
    </row>
    <row r="311" customFormat="false" ht="15" hidden="false" customHeight="false" outlineLevel="0" collapsed="false">
      <c r="A311" s="16" t="s">
        <v>647</v>
      </c>
      <c r="B311" s="16" t="s">
        <v>296</v>
      </c>
      <c r="C311" s="16" t="s">
        <v>617</v>
      </c>
      <c r="D311" s="16"/>
      <c r="E311" s="16" t="n">
        <v>101</v>
      </c>
      <c r="F311" s="16" t="n">
        <v>0</v>
      </c>
      <c r="G311" s="16" t="n">
        <v>47</v>
      </c>
      <c r="H311" s="16" t="n">
        <v>3</v>
      </c>
      <c r="I311" s="16" t="n">
        <v>2</v>
      </c>
      <c r="J311" s="16" t="n">
        <v>3</v>
      </c>
      <c r="K311" s="16" t="n">
        <v>3</v>
      </c>
      <c r="L311" s="16" t="n">
        <v>54</v>
      </c>
      <c r="M311" s="16" t="n">
        <v>48</v>
      </c>
      <c r="N311" s="16" t="n">
        <v>0</v>
      </c>
      <c r="O311" s="9" t="str">
        <f aca="false">IF(B311="","",IFERROR(INDEX(Options!$G$6:$G$85,MATCH($B311,Options!$A$6:$A$85,0)),""))</f>
        <v>Waist</v>
      </c>
      <c r="P311" s="9" t="str">
        <f aca="false">IF(B311="","",IFERROR(INDEX(Options!$H$6:$H$85,MATCH($B311,Options!$A$6:$A$85,0)),""))</f>
        <v>Seasonal</v>
      </c>
      <c r="Q311" s="24" t="n">
        <f aca="false">IF(B311="",0,N(IFERROR(INDEX(Options!$J$6:$J$85,MATCH($B311,Options!$A$6:$A$85,0)),"")))</f>
        <v>65</v>
      </c>
      <c r="R311" s="25" t="n">
        <f aca="false">K311*Settings!$B$10+J311*Settings!$B$11+I311*Settings!$B$12+H311*Settings!$B$13</f>
        <v>2.8</v>
      </c>
      <c r="S311" s="25" t="n">
        <f aca="false">IFERROR(L311/Settings!$B$8,0)</f>
        <v>2.45454545454545</v>
      </c>
      <c r="T311" s="26" t="n">
        <f aca="false">IF(OR(B311="",P311="End of life"),0,W311*MIN(4,N311))</f>
        <v>0</v>
      </c>
      <c r="U311" s="27" t="n">
        <f aca="false">T311*Q311</f>
        <v>0</v>
      </c>
      <c r="V311" s="14" t="n">
        <f aca="false">IF(B311="",0,G311*N(IFERROR(INDEX(Options!$K$6:$K$85,MATCH($B311,Options!$A$6:$A$85,0)),"")))</f>
        <v>1160.9</v>
      </c>
      <c r="W311" s="26" t="n">
        <f aca="false">IF(B311="",0,IF(N311&gt;=4,S311,(H311+I311+J311+K311)/(4-N311)))</f>
        <v>2.75</v>
      </c>
    </row>
    <row r="312" customFormat="false" ht="15" hidden="false" customHeight="false" outlineLevel="0" collapsed="false">
      <c r="A312" s="16" t="s">
        <v>648</v>
      </c>
      <c r="B312" s="16" t="s">
        <v>297</v>
      </c>
      <c r="C312" s="16" t="s">
        <v>607</v>
      </c>
      <c r="D312" s="16"/>
      <c r="E312" s="16" t="n">
        <v>48</v>
      </c>
      <c r="F312" s="16" t="n">
        <v>0</v>
      </c>
      <c r="G312" s="16" t="n">
        <v>19</v>
      </c>
      <c r="H312" s="16" t="n">
        <v>1</v>
      </c>
      <c r="I312" s="16" t="n">
        <v>2</v>
      </c>
      <c r="J312" s="16" t="n">
        <v>2</v>
      </c>
      <c r="K312" s="16" t="n">
        <v>1</v>
      </c>
      <c r="L312" s="16" t="n">
        <v>29</v>
      </c>
      <c r="M312" s="16" t="n">
        <v>26</v>
      </c>
      <c r="N312" s="16" t="n">
        <v>0</v>
      </c>
      <c r="O312" s="9" t="str">
        <f aca="false">IF(B312="","",IFERROR(INDEX(Options!$G$6:$G$85,MATCH($B312,Options!$A$6:$A$85,0)),""))</f>
        <v>Waist</v>
      </c>
      <c r="P312" s="9" t="str">
        <f aca="false">IF(B312="","",IFERROR(INDEX(Options!$H$6:$H$85,MATCH($B312,Options!$A$6:$A$85,0)),""))</f>
        <v>Seasonal</v>
      </c>
      <c r="Q312" s="24" t="n">
        <f aca="false">IF(B312="",0,N(IFERROR(INDEX(Options!$J$6:$J$85,MATCH($B312,Options!$A$6:$A$85,0)),"")))</f>
        <v>65</v>
      </c>
      <c r="R312" s="25" t="n">
        <f aca="false">K312*Settings!$B$10+J312*Settings!$B$11+I312*Settings!$B$12+H312*Settings!$B$13</f>
        <v>1.5</v>
      </c>
      <c r="S312" s="25" t="n">
        <f aca="false">IFERROR(L312/Settings!$B$8,0)</f>
        <v>1.31818181818182</v>
      </c>
      <c r="T312" s="26" t="n">
        <f aca="false">IF(OR(B312="",P312="End of life"),0,W312*MIN(4,N312))</f>
        <v>0</v>
      </c>
      <c r="U312" s="27" t="n">
        <f aca="false">T312*Q312</f>
        <v>0</v>
      </c>
      <c r="V312" s="14" t="n">
        <f aca="false">IF(B312="",0,G312*N(IFERROR(INDEX(Options!$K$6:$K$85,MATCH($B312,Options!$A$6:$A$85,0)),"")))</f>
        <v>469.3</v>
      </c>
      <c r="W312" s="26" t="n">
        <f aca="false">IF(B312="",0,IF(N312&gt;=4,S312,(H312+I312+J312+K312)/(4-N312)))</f>
        <v>1.5</v>
      </c>
    </row>
    <row r="313" customFormat="false" ht="15" hidden="false" customHeight="false" outlineLevel="0" collapsed="false">
      <c r="A313" s="16" t="s">
        <v>649</v>
      </c>
      <c r="B313" s="16" t="s">
        <v>297</v>
      </c>
      <c r="C313" s="16" t="s">
        <v>609</v>
      </c>
      <c r="D313" s="16"/>
      <c r="E313" s="16" t="n">
        <v>83</v>
      </c>
      <c r="F313" s="16" t="n">
        <v>0</v>
      </c>
      <c r="G313" s="16" t="n">
        <v>13</v>
      </c>
      <c r="H313" s="16" t="n">
        <v>3</v>
      </c>
      <c r="I313" s="16" t="n">
        <v>3</v>
      </c>
      <c r="J313" s="16" t="n">
        <v>3</v>
      </c>
      <c r="K313" s="16" t="n">
        <v>4</v>
      </c>
      <c r="L313" s="16" t="n">
        <v>70</v>
      </c>
      <c r="M313" s="16" t="n">
        <v>62</v>
      </c>
      <c r="N313" s="16" t="n">
        <v>0</v>
      </c>
      <c r="O313" s="9" t="str">
        <f aca="false">IF(B313="","",IFERROR(INDEX(Options!$G$6:$G$85,MATCH($B313,Options!$A$6:$A$85,0)),""))</f>
        <v>Waist</v>
      </c>
      <c r="P313" s="9" t="str">
        <f aca="false">IF(B313="","",IFERROR(INDEX(Options!$H$6:$H$85,MATCH($B313,Options!$A$6:$A$85,0)),""))</f>
        <v>Seasonal</v>
      </c>
      <c r="Q313" s="24" t="n">
        <f aca="false">IF(B313="",0,N(IFERROR(INDEX(Options!$J$6:$J$85,MATCH($B313,Options!$A$6:$A$85,0)),"")))</f>
        <v>65</v>
      </c>
      <c r="R313" s="25" t="n">
        <f aca="false">K313*Settings!$B$10+J313*Settings!$B$11+I313*Settings!$B$12+H313*Settings!$B$13</f>
        <v>3.4</v>
      </c>
      <c r="S313" s="25" t="n">
        <f aca="false">IFERROR(L313/Settings!$B$8,0)</f>
        <v>3.18181818181818</v>
      </c>
      <c r="T313" s="26" t="n">
        <f aca="false">IF(OR(B313="",P313="End of life"),0,W313*MIN(4,N313))</f>
        <v>0</v>
      </c>
      <c r="U313" s="27" t="n">
        <f aca="false">T313*Q313</f>
        <v>0</v>
      </c>
      <c r="V313" s="14" t="n">
        <f aca="false">IF(B313="",0,G313*N(IFERROR(INDEX(Options!$K$6:$K$85,MATCH($B313,Options!$A$6:$A$85,0)),"")))</f>
        <v>321.1</v>
      </c>
      <c r="W313" s="26" t="n">
        <f aca="false">IF(B313="",0,IF(N313&gt;=4,S313,(H313+I313+J313+K313)/(4-N313)))</f>
        <v>3.25</v>
      </c>
    </row>
    <row r="314" customFormat="false" ht="15" hidden="false" customHeight="false" outlineLevel="0" collapsed="false">
      <c r="A314" s="16" t="s">
        <v>650</v>
      </c>
      <c r="B314" s="16" t="s">
        <v>297</v>
      </c>
      <c r="C314" s="16" t="s">
        <v>611</v>
      </c>
      <c r="D314" s="16" t="s">
        <v>183</v>
      </c>
      <c r="E314" s="16" t="n">
        <v>154</v>
      </c>
      <c r="F314" s="16" t="n">
        <v>0</v>
      </c>
      <c r="G314" s="16" t="n">
        <v>22</v>
      </c>
      <c r="H314" s="16" t="n">
        <v>4</v>
      </c>
      <c r="I314" s="16" t="n">
        <v>5</v>
      </c>
      <c r="J314" s="16" t="n">
        <v>8</v>
      </c>
      <c r="K314" s="16" t="n">
        <v>8</v>
      </c>
      <c r="L314" s="16" t="n">
        <v>132</v>
      </c>
      <c r="M314" s="16" t="n">
        <v>116</v>
      </c>
      <c r="N314" s="16" t="n">
        <v>0</v>
      </c>
      <c r="O314" s="9" t="str">
        <f aca="false">IF(B314="","",IFERROR(INDEX(Options!$G$6:$G$85,MATCH($B314,Options!$A$6:$A$85,0)),""))</f>
        <v>Waist</v>
      </c>
      <c r="P314" s="9" t="str">
        <f aca="false">IF(B314="","",IFERROR(INDEX(Options!$H$6:$H$85,MATCH($B314,Options!$A$6:$A$85,0)),""))</f>
        <v>Seasonal</v>
      </c>
      <c r="Q314" s="24" t="n">
        <f aca="false">IF(B314="",0,N(IFERROR(INDEX(Options!$J$6:$J$85,MATCH($B314,Options!$A$6:$A$85,0)),"")))</f>
        <v>65</v>
      </c>
      <c r="R314" s="25" t="n">
        <f aca="false">K314*Settings!$B$10+J314*Settings!$B$11+I314*Settings!$B$12+H314*Settings!$B$13</f>
        <v>7</v>
      </c>
      <c r="S314" s="25" t="n">
        <f aca="false">IFERROR(L314/Settings!$B$8,0)</f>
        <v>6</v>
      </c>
      <c r="T314" s="26" t="n">
        <f aca="false">IF(OR(B314="",P314="End of life"),0,W314*MIN(4,N314))</f>
        <v>0</v>
      </c>
      <c r="U314" s="27" t="n">
        <f aca="false">T314*Q314</f>
        <v>0</v>
      </c>
      <c r="V314" s="14" t="n">
        <f aca="false">IF(B314="",0,G314*N(IFERROR(INDEX(Options!$K$6:$K$85,MATCH($B314,Options!$A$6:$A$85,0)),"")))</f>
        <v>543.4</v>
      </c>
      <c r="W314" s="26" t="n">
        <f aca="false">IF(B314="",0,IF(N314&gt;=4,S314,(H314+I314+J314+K314)/(4-N314)))</f>
        <v>6.25</v>
      </c>
    </row>
    <row r="315" customFormat="false" ht="15" hidden="false" customHeight="false" outlineLevel="0" collapsed="false">
      <c r="A315" s="16" t="s">
        <v>651</v>
      </c>
      <c r="B315" s="16" t="s">
        <v>297</v>
      </c>
      <c r="C315" s="16" t="s">
        <v>613</v>
      </c>
      <c r="D315" s="16" t="s">
        <v>183</v>
      </c>
      <c r="E315" s="16" t="n">
        <v>154</v>
      </c>
      <c r="F315" s="16" t="n">
        <v>0</v>
      </c>
      <c r="G315" s="16" t="n">
        <v>22</v>
      </c>
      <c r="H315" s="16" t="n">
        <v>6</v>
      </c>
      <c r="I315" s="16" t="n">
        <v>7</v>
      </c>
      <c r="J315" s="16" t="n">
        <v>7</v>
      </c>
      <c r="K315" s="16" t="n">
        <v>6</v>
      </c>
      <c r="L315" s="16" t="n">
        <v>132</v>
      </c>
      <c r="M315" s="16" t="n">
        <v>116</v>
      </c>
      <c r="N315" s="16" t="n">
        <v>0</v>
      </c>
      <c r="O315" s="9" t="str">
        <f aca="false">IF(B315="","",IFERROR(INDEX(Options!$G$6:$G$85,MATCH($B315,Options!$A$6:$A$85,0)),""))</f>
        <v>Waist</v>
      </c>
      <c r="P315" s="9" t="str">
        <f aca="false">IF(B315="","",IFERROR(INDEX(Options!$H$6:$H$85,MATCH($B315,Options!$A$6:$A$85,0)),""))</f>
        <v>Seasonal</v>
      </c>
      <c r="Q315" s="24" t="n">
        <f aca="false">IF(B315="",0,N(IFERROR(INDEX(Options!$J$6:$J$85,MATCH($B315,Options!$A$6:$A$85,0)),"")))</f>
        <v>65</v>
      </c>
      <c r="R315" s="25" t="n">
        <f aca="false">K315*Settings!$B$10+J315*Settings!$B$11+I315*Settings!$B$12+H315*Settings!$B$13</f>
        <v>6.5</v>
      </c>
      <c r="S315" s="25" t="n">
        <f aca="false">IFERROR(L315/Settings!$B$8,0)</f>
        <v>6</v>
      </c>
      <c r="T315" s="26" t="n">
        <f aca="false">IF(OR(B315="",P315="End of life"),0,W315*MIN(4,N315))</f>
        <v>0</v>
      </c>
      <c r="U315" s="27" t="n">
        <f aca="false">T315*Q315</f>
        <v>0</v>
      </c>
      <c r="V315" s="14" t="n">
        <f aca="false">IF(B315="",0,G315*N(IFERROR(INDEX(Options!$K$6:$K$85,MATCH($B315,Options!$A$6:$A$85,0)),"")))</f>
        <v>543.4</v>
      </c>
      <c r="W315" s="26" t="n">
        <f aca="false">IF(B315="",0,IF(N315&gt;=4,S315,(H315+I315+J315+K315)/(4-N315)))</f>
        <v>6.5</v>
      </c>
    </row>
    <row r="316" customFormat="false" ht="15" hidden="false" customHeight="false" outlineLevel="0" collapsed="false">
      <c r="A316" s="16" t="s">
        <v>652</v>
      </c>
      <c r="B316" s="16" t="s">
        <v>297</v>
      </c>
      <c r="C316" s="16" t="s">
        <v>615</v>
      </c>
      <c r="D316" s="16" t="s">
        <v>183</v>
      </c>
      <c r="E316" s="16" t="n">
        <v>107</v>
      </c>
      <c r="F316" s="16" t="n">
        <v>0</v>
      </c>
      <c r="G316" s="16" t="n">
        <v>11</v>
      </c>
      <c r="H316" s="16" t="n">
        <v>3</v>
      </c>
      <c r="I316" s="16" t="n">
        <v>4</v>
      </c>
      <c r="J316" s="16" t="n">
        <v>5</v>
      </c>
      <c r="K316" s="16" t="n">
        <v>4</v>
      </c>
      <c r="L316" s="16" t="n">
        <v>96</v>
      </c>
      <c r="M316" s="16" t="n">
        <v>84</v>
      </c>
      <c r="N316" s="16" t="n">
        <v>0</v>
      </c>
      <c r="O316" s="9" t="str">
        <f aca="false">IF(B316="","",IFERROR(INDEX(Options!$G$6:$G$85,MATCH($B316,Options!$A$6:$A$85,0)),""))</f>
        <v>Waist</v>
      </c>
      <c r="P316" s="9" t="str">
        <f aca="false">IF(B316="","",IFERROR(INDEX(Options!$H$6:$H$85,MATCH($B316,Options!$A$6:$A$85,0)),""))</f>
        <v>Seasonal</v>
      </c>
      <c r="Q316" s="24" t="n">
        <f aca="false">IF(B316="",0,N(IFERROR(INDEX(Options!$J$6:$J$85,MATCH($B316,Options!$A$6:$A$85,0)),"")))</f>
        <v>65</v>
      </c>
      <c r="R316" s="25" t="n">
        <f aca="false">K316*Settings!$B$10+J316*Settings!$B$11+I316*Settings!$B$12+H316*Settings!$B$13</f>
        <v>4.2</v>
      </c>
      <c r="S316" s="25" t="n">
        <f aca="false">IFERROR(L316/Settings!$B$8,0)</f>
        <v>4.36363636363636</v>
      </c>
      <c r="T316" s="26" t="n">
        <f aca="false">IF(OR(B316="",P316="End of life"),0,W316*MIN(4,N316))</f>
        <v>0</v>
      </c>
      <c r="U316" s="27" t="n">
        <f aca="false">T316*Q316</f>
        <v>0</v>
      </c>
      <c r="V316" s="14" t="n">
        <f aca="false">IF(B316="",0,G316*N(IFERROR(INDEX(Options!$K$6:$K$85,MATCH($B316,Options!$A$6:$A$85,0)),"")))</f>
        <v>271.7</v>
      </c>
      <c r="W316" s="26" t="n">
        <f aca="false">IF(B316="",0,IF(N316&gt;=4,S316,(H316+I316+J316+K316)/(4-N316)))</f>
        <v>4</v>
      </c>
    </row>
    <row r="317" customFormat="false" ht="15" hidden="false" customHeight="false" outlineLevel="0" collapsed="false">
      <c r="A317" s="16" t="s">
        <v>653</v>
      </c>
      <c r="B317" s="16" t="s">
        <v>297</v>
      </c>
      <c r="C317" s="16" t="s">
        <v>617</v>
      </c>
      <c r="D317" s="16"/>
      <c r="E317" s="16" t="n">
        <v>80</v>
      </c>
      <c r="F317" s="16" t="n">
        <v>0</v>
      </c>
      <c r="G317" s="16" t="n">
        <v>29</v>
      </c>
      <c r="H317" s="16" t="n">
        <v>2</v>
      </c>
      <c r="I317" s="16" t="n">
        <v>2</v>
      </c>
      <c r="J317" s="16" t="n">
        <v>2</v>
      </c>
      <c r="K317" s="16" t="n">
        <v>3</v>
      </c>
      <c r="L317" s="16" t="n">
        <v>51</v>
      </c>
      <c r="M317" s="16" t="n">
        <v>45</v>
      </c>
      <c r="N317" s="16" t="n">
        <v>0</v>
      </c>
      <c r="O317" s="9" t="str">
        <f aca="false">IF(B317="","",IFERROR(INDEX(Options!$G$6:$G$85,MATCH($B317,Options!$A$6:$A$85,0)),""))</f>
        <v>Waist</v>
      </c>
      <c r="P317" s="9" t="str">
        <f aca="false">IF(B317="","",IFERROR(INDEX(Options!$H$6:$H$85,MATCH($B317,Options!$A$6:$A$85,0)),""))</f>
        <v>Seasonal</v>
      </c>
      <c r="Q317" s="24" t="n">
        <f aca="false">IF(B317="",0,N(IFERROR(INDEX(Options!$J$6:$J$85,MATCH($B317,Options!$A$6:$A$85,0)),"")))</f>
        <v>65</v>
      </c>
      <c r="R317" s="25" t="n">
        <f aca="false">K317*Settings!$B$10+J317*Settings!$B$11+I317*Settings!$B$12+H317*Settings!$B$13</f>
        <v>2.4</v>
      </c>
      <c r="S317" s="25" t="n">
        <f aca="false">IFERROR(L317/Settings!$B$8,0)</f>
        <v>2.31818181818182</v>
      </c>
      <c r="T317" s="26" t="n">
        <f aca="false">IF(OR(B317="",P317="End of life"),0,W317*MIN(4,N317))</f>
        <v>0</v>
      </c>
      <c r="U317" s="27" t="n">
        <f aca="false">T317*Q317</f>
        <v>0</v>
      </c>
      <c r="V317" s="14" t="n">
        <f aca="false">IF(B317="",0,G317*N(IFERROR(INDEX(Options!$K$6:$K$85,MATCH($B317,Options!$A$6:$A$85,0)),"")))</f>
        <v>716.3</v>
      </c>
      <c r="W317" s="26" t="n">
        <f aca="false">IF(B317="",0,IF(N317&gt;=4,S317,(H317+I317+J317+K317)/(4-N317)))</f>
        <v>2.25</v>
      </c>
    </row>
    <row r="318" customFormat="false" ht="15" hidden="false" customHeight="false" outlineLevel="0" collapsed="false">
      <c r="A318" s="16" t="s">
        <v>654</v>
      </c>
      <c r="B318" s="16" t="s">
        <v>298</v>
      </c>
      <c r="C318" s="16" t="s">
        <v>607</v>
      </c>
      <c r="D318" s="16"/>
      <c r="E318" s="16" t="n">
        <v>74</v>
      </c>
      <c r="F318" s="16" t="n">
        <v>0</v>
      </c>
      <c r="G318" s="16" t="n">
        <v>39</v>
      </c>
      <c r="H318" s="16" t="n">
        <v>1</v>
      </c>
      <c r="I318" s="16" t="n">
        <v>1</v>
      </c>
      <c r="J318" s="16" t="n">
        <v>1</v>
      </c>
      <c r="K318" s="16" t="n">
        <v>1</v>
      </c>
      <c r="L318" s="16" t="n">
        <v>35</v>
      </c>
      <c r="M318" s="16" t="n">
        <v>31</v>
      </c>
      <c r="N318" s="16" t="n">
        <v>0</v>
      </c>
      <c r="O318" s="9" t="str">
        <f aca="false">IF(B318="","",IFERROR(INDEX(Options!$G$6:$G$85,MATCH($B318,Options!$A$6:$A$85,0)),""))</f>
        <v>Waist</v>
      </c>
      <c r="P318" s="9" t="str">
        <f aca="false">IF(B318="","",IFERROR(INDEX(Options!$H$6:$H$85,MATCH($B318,Options!$A$6:$A$85,0)),""))</f>
        <v>Seasonal</v>
      </c>
      <c r="Q318" s="24" t="n">
        <f aca="false">IF(B318="",0,N(IFERROR(INDEX(Options!$J$6:$J$85,MATCH($B318,Options!$A$6:$A$85,0)),"")))</f>
        <v>65</v>
      </c>
      <c r="R318" s="25" t="n">
        <f aca="false">K318*Settings!$B$10+J318*Settings!$B$11+I318*Settings!$B$12+H318*Settings!$B$13</f>
        <v>1</v>
      </c>
      <c r="S318" s="25" t="n">
        <f aca="false">IFERROR(L318/Settings!$B$8,0)</f>
        <v>1.59090909090909</v>
      </c>
      <c r="T318" s="26" t="n">
        <f aca="false">IF(OR(B318="",P318="End of life"),0,W318*MIN(4,N318))</f>
        <v>0</v>
      </c>
      <c r="U318" s="27" t="n">
        <f aca="false">T318*Q318</f>
        <v>0</v>
      </c>
      <c r="V318" s="14" t="n">
        <f aca="false">IF(B318="",0,G318*N(IFERROR(INDEX(Options!$K$6:$K$85,MATCH($B318,Options!$A$6:$A$85,0)),"")))</f>
        <v>963.3</v>
      </c>
      <c r="W318" s="26" t="n">
        <f aca="false">IF(B318="",0,IF(N318&gt;=4,S318,(H318+I318+J318+K318)/(4-N318)))</f>
        <v>1</v>
      </c>
    </row>
    <row r="319" customFormat="false" ht="15" hidden="false" customHeight="false" outlineLevel="0" collapsed="false">
      <c r="A319" s="16" t="s">
        <v>655</v>
      </c>
      <c r="B319" s="16" t="s">
        <v>298</v>
      </c>
      <c r="C319" s="16" t="s">
        <v>609</v>
      </c>
      <c r="D319" s="16"/>
      <c r="E319" s="16" t="n">
        <v>172</v>
      </c>
      <c r="F319" s="16" t="n">
        <v>0</v>
      </c>
      <c r="G319" s="16" t="n">
        <v>91</v>
      </c>
      <c r="H319" s="16" t="n">
        <v>1</v>
      </c>
      <c r="I319" s="16" t="n">
        <v>2</v>
      </c>
      <c r="J319" s="16" t="n">
        <v>2</v>
      </c>
      <c r="K319" s="16" t="n">
        <v>2</v>
      </c>
      <c r="L319" s="16" t="n">
        <v>81</v>
      </c>
      <c r="M319" s="16" t="n">
        <v>71</v>
      </c>
      <c r="N319" s="16" t="n">
        <v>0</v>
      </c>
      <c r="O319" s="9" t="str">
        <f aca="false">IF(B319="","",IFERROR(INDEX(Options!$G$6:$G$85,MATCH($B319,Options!$A$6:$A$85,0)),""))</f>
        <v>Waist</v>
      </c>
      <c r="P319" s="9" t="str">
        <f aca="false">IF(B319="","",IFERROR(INDEX(Options!$H$6:$H$85,MATCH($B319,Options!$A$6:$A$85,0)),""))</f>
        <v>Seasonal</v>
      </c>
      <c r="Q319" s="24" t="n">
        <f aca="false">IF(B319="",0,N(IFERROR(INDEX(Options!$J$6:$J$85,MATCH($B319,Options!$A$6:$A$85,0)),"")))</f>
        <v>65</v>
      </c>
      <c r="R319" s="25" t="n">
        <f aca="false">K319*Settings!$B$10+J319*Settings!$B$11+I319*Settings!$B$12+H319*Settings!$B$13</f>
        <v>1.9</v>
      </c>
      <c r="S319" s="25" t="n">
        <f aca="false">IFERROR(L319/Settings!$B$8,0)</f>
        <v>3.68181818181818</v>
      </c>
      <c r="T319" s="26" t="n">
        <f aca="false">IF(OR(B319="",P319="End of life"),0,W319*MIN(4,N319))</f>
        <v>0</v>
      </c>
      <c r="U319" s="27" t="n">
        <f aca="false">T319*Q319</f>
        <v>0</v>
      </c>
      <c r="V319" s="14" t="n">
        <f aca="false">IF(B319="",0,G319*N(IFERROR(INDEX(Options!$K$6:$K$85,MATCH($B319,Options!$A$6:$A$85,0)),"")))</f>
        <v>2247.7</v>
      </c>
      <c r="W319" s="26" t="n">
        <f aca="false">IF(B319="",0,IF(N319&gt;=4,S319,(H319+I319+J319+K319)/(4-N319)))</f>
        <v>1.75</v>
      </c>
    </row>
    <row r="320" customFormat="false" ht="15" hidden="false" customHeight="false" outlineLevel="0" collapsed="false">
      <c r="A320" s="16" t="s">
        <v>656</v>
      </c>
      <c r="B320" s="16" t="s">
        <v>298</v>
      </c>
      <c r="C320" s="16" t="s">
        <v>611</v>
      </c>
      <c r="D320" s="16" t="s">
        <v>183</v>
      </c>
      <c r="E320" s="16" t="n">
        <v>133</v>
      </c>
      <c r="F320" s="16" t="n">
        <v>0</v>
      </c>
      <c r="G320" s="16" t="n">
        <v>0</v>
      </c>
      <c r="H320" s="16" t="n">
        <v>3</v>
      </c>
      <c r="I320" s="16" t="n">
        <v>3</v>
      </c>
      <c r="J320" s="16" t="n">
        <v>3</v>
      </c>
      <c r="K320" s="16" t="n">
        <v>0</v>
      </c>
      <c r="L320" s="16" t="n">
        <v>133</v>
      </c>
      <c r="M320" s="16" t="n">
        <v>117</v>
      </c>
      <c r="N320" s="16" t="n">
        <v>1</v>
      </c>
      <c r="O320" s="9" t="str">
        <f aca="false">IF(B320="","",IFERROR(INDEX(Options!$G$6:$G$85,MATCH($B320,Options!$A$6:$A$85,0)),""))</f>
        <v>Waist</v>
      </c>
      <c r="P320" s="9" t="str">
        <f aca="false">IF(B320="","",IFERROR(INDEX(Options!$H$6:$H$85,MATCH($B320,Options!$A$6:$A$85,0)),""))</f>
        <v>Seasonal</v>
      </c>
      <c r="Q320" s="24" t="n">
        <f aca="false">IF(B320="",0,N(IFERROR(INDEX(Options!$J$6:$J$85,MATCH($B320,Options!$A$6:$A$85,0)),"")))</f>
        <v>65</v>
      </c>
      <c r="R320" s="25" t="n">
        <f aca="false">K320*Settings!$B$10+J320*Settings!$B$11+I320*Settings!$B$12+H320*Settings!$B$13</f>
        <v>1.8</v>
      </c>
      <c r="S320" s="25" t="n">
        <f aca="false">IFERROR(L320/Settings!$B$8,0)</f>
        <v>6.04545454545455</v>
      </c>
      <c r="T320" s="26" t="n">
        <f aca="false">IF(OR(B320="",P320="End of life"),0,W320*MIN(4,N320))</f>
        <v>3</v>
      </c>
      <c r="U320" s="27" t="n">
        <f aca="false">T320*Q320</f>
        <v>195</v>
      </c>
      <c r="V320" s="14" t="n">
        <f aca="false">IF(B320="",0,G320*N(IFERROR(INDEX(Options!$K$6:$K$85,MATCH($B320,Options!$A$6:$A$85,0)),"")))</f>
        <v>0</v>
      </c>
      <c r="W320" s="26" t="n">
        <f aca="false">IF(B320="",0,IF(N320&gt;=4,S320,(H320+I320+J320+K320)/(4-N320)))</f>
        <v>3</v>
      </c>
    </row>
    <row r="321" customFormat="false" ht="15" hidden="false" customHeight="false" outlineLevel="0" collapsed="false">
      <c r="A321" s="16" t="s">
        <v>657</v>
      </c>
      <c r="B321" s="16" t="s">
        <v>298</v>
      </c>
      <c r="C321" s="16" t="s">
        <v>613</v>
      </c>
      <c r="D321" s="16" t="s">
        <v>183</v>
      </c>
      <c r="E321" s="16" t="n">
        <v>133</v>
      </c>
      <c r="F321" s="16" t="n">
        <v>0</v>
      </c>
      <c r="G321" s="16" t="n">
        <v>0</v>
      </c>
      <c r="H321" s="16" t="n">
        <v>3</v>
      </c>
      <c r="I321" s="16" t="n">
        <v>4</v>
      </c>
      <c r="J321" s="16" t="n">
        <v>0</v>
      </c>
      <c r="K321" s="16" t="n">
        <v>0</v>
      </c>
      <c r="L321" s="16" t="n">
        <v>133</v>
      </c>
      <c r="M321" s="16" t="n">
        <v>117</v>
      </c>
      <c r="N321" s="16" t="n">
        <v>2</v>
      </c>
      <c r="O321" s="9" t="str">
        <f aca="false">IF(B321="","",IFERROR(INDEX(Options!$G$6:$G$85,MATCH($B321,Options!$A$6:$A$85,0)),""))</f>
        <v>Waist</v>
      </c>
      <c r="P321" s="9" t="str">
        <f aca="false">IF(B321="","",IFERROR(INDEX(Options!$H$6:$H$85,MATCH($B321,Options!$A$6:$A$85,0)),""))</f>
        <v>Seasonal</v>
      </c>
      <c r="Q321" s="24" t="n">
        <f aca="false">IF(B321="",0,N(IFERROR(INDEX(Options!$J$6:$J$85,MATCH($B321,Options!$A$6:$A$85,0)),"")))</f>
        <v>65</v>
      </c>
      <c r="R321" s="25" t="n">
        <f aca="false">K321*Settings!$B$10+J321*Settings!$B$11+I321*Settings!$B$12+H321*Settings!$B$13</f>
        <v>1.1</v>
      </c>
      <c r="S321" s="25" t="n">
        <f aca="false">IFERROR(L321/Settings!$B$8,0)</f>
        <v>6.04545454545455</v>
      </c>
      <c r="T321" s="26" t="n">
        <f aca="false">IF(OR(B321="",P321="End of life"),0,W321*MIN(4,N321))</f>
        <v>7</v>
      </c>
      <c r="U321" s="27" t="n">
        <f aca="false">T321*Q321</f>
        <v>455</v>
      </c>
      <c r="V321" s="14" t="n">
        <f aca="false">IF(B321="",0,G321*N(IFERROR(INDEX(Options!$K$6:$K$85,MATCH($B321,Options!$A$6:$A$85,0)),"")))</f>
        <v>0</v>
      </c>
      <c r="W321" s="26" t="n">
        <f aca="false">IF(B321="",0,IF(N321&gt;=4,S321,(H321+I321+J321+K321)/(4-N321)))</f>
        <v>3.5</v>
      </c>
    </row>
    <row r="322" customFormat="false" ht="15" hidden="false" customHeight="false" outlineLevel="0" collapsed="false">
      <c r="A322" s="16" t="s">
        <v>658</v>
      </c>
      <c r="B322" s="16" t="s">
        <v>298</v>
      </c>
      <c r="C322" s="16" t="s">
        <v>615</v>
      </c>
      <c r="D322" s="16" t="s">
        <v>183</v>
      </c>
      <c r="E322" s="16" t="n">
        <v>92</v>
      </c>
      <c r="F322" s="16" t="n">
        <v>0</v>
      </c>
      <c r="G322" s="16" t="n">
        <v>0</v>
      </c>
      <c r="H322" s="16" t="n">
        <v>2</v>
      </c>
      <c r="I322" s="16" t="n">
        <v>3</v>
      </c>
      <c r="J322" s="16" t="n">
        <v>3</v>
      </c>
      <c r="K322" s="16" t="n">
        <v>0</v>
      </c>
      <c r="L322" s="16" t="n">
        <v>92</v>
      </c>
      <c r="M322" s="16" t="n">
        <v>81</v>
      </c>
      <c r="N322" s="16" t="n">
        <v>1</v>
      </c>
      <c r="O322" s="9" t="str">
        <f aca="false">IF(B322="","",IFERROR(INDEX(Options!$G$6:$G$85,MATCH($B322,Options!$A$6:$A$85,0)),""))</f>
        <v>Waist</v>
      </c>
      <c r="P322" s="9" t="str">
        <f aca="false">IF(B322="","",IFERROR(INDEX(Options!$H$6:$H$85,MATCH($B322,Options!$A$6:$A$85,0)),""))</f>
        <v>Seasonal</v>
      </c>
      <c r="Q322" s="24" t="n">
        <f aca="false">IF(B322="",0,N(IFERROR(INDEX(Options!$J$6:$J$85,MATCH($B322,Options!$A$6:$A$85,0)),"")))</f>
        <v>65</v>
      </c>
      <c r="R322" s="25" t="n">
        <f aca="false">K322*Settings!$B$10+J322*Settings!$B$11+I322*Settings!$B$12+H322*Settings!$B$13</f>
        <v>1.7</v>
      </c>
      <c r="S322" s="25" t="n">
        <f aca="false">IFERROR(L322/Settings!$B$8,0)</f>
        <v>4.18181818181818</v>
      </c>
      <c r="T322" s="26" t="n">
        <f aca="false">IF(OR(B322="",P322="End of life"),0,W322*MIN(4,N322))</f>
        <v>2.66666666666667</v>
      </c>
      <c r="U322" s="27" t="n">
        <f aca="false">T322*Q322</f>
        <v>173.333333333333</v>
      </c>
      <c r="V322" s="14" t="n">
        <f aca="false">IF(B322="",0,G322*N(IFERROR(INDEX(Options!$K$6:$K$85,MATCH($B322,Options!$A$6:$A$85,0)),"")))</f>
        <v>0</v>
      </c>
      <c r="W322" s="26" t="n">
        <f aca="false">IF(B322="",0,IF(N322&gt;=4,S322,(H322+I322+J322+K322)/(4-N322)))</f>
        <v>2.66666666666667</v>
      </c>
    </row>
    <row r="323" customFormat="false" ht="15" hidden="false" customHeight="false" outlineLevel="0" collapsed="false">
      <c r="A323" s="16" t="s">
        <v>659</v>
      </c>
      <c r="B323" s="16" t="s">
        <v>298</v>
      </c>
      <c r="C323" s="16" t="s">
        <v>617</v>
      </c>
      <c r="D323" s="16"/>
      <c r="E323" s="16" t="n">
        <v>123</v>
      </c>
      <c r="F323" s="16" t="n">
        <v>0</v>
      </c>
      <c r="G323" s="16" t="n">
        <v>68</v>
      </c>
      <c r="H323" s="16" t="n">
        <v>1</v>
      </c>
      <c r="I323" s="16" t="n">
        <v>2</v>
      </c>
      <c r="J323" s="16" t="n">
        <v>2</v>
      </c>
      <c r="K323" s="16" t="n">
        <v>1</v>
      </c>
      <c r="L323" s="16" t="n">
        <v>55</v>
      </c>
      <c r="M323" s="16" t="n">
        <v>48</v>
      </c>
      <c r="N323" s="16" t="n">
        <v>0</v>
      </c>
      <c r="O323" s="9" t="str">
        <f aca="false">IF(B323="","",IFERROR(INDEX(Options!$G$6:$G$85,MATCH($B323,Options!$A$6:$A$85,0)),""))</f>
        <v>Waist</v>
      </c>
      <c r="P323" s="9" t="str">
        <f aca="false">IF(B323="","",IFERROR(INDEX(Options!$H$6:$H$85,MATCH($B323,Options!$A$6:$A$85,0)),""))</f>
        <v>Seasonal</v>
      </c>
      <c r="Q323" s="24" t="n">
        <f aca="false">IF(B323="",0,N(IFERROR(INDEX(Options!$J$6:$J$85,MATCH($B323,Options!$A$6:$A$85,0)),"")))</f>
        <v>65</v>
      </c>
      <c r="R323" s="25" t="n">
        <f aca="false">K323*Settings!$B$10+J323*Settings!$B$11+I323*Settings!$B$12+H323*Settings!$B$13</f>
        <v>1.5</v>
      </c>
      <c r="S323" s="25" t="n">
        <f aca="false">IFERROR(L323/Settings!$B$8,0)</f>
        <v>2.5</v>
      </c>
      <c r="T323" s="26" t="n">
        <f aca="false">IF(OR(B323="",P323="End of life"),0,W323*MIN(4,N323))</f>
        <v>0</v>
      </c>
      <c r="U323" s="27" t="n">
        <f aca="false">T323*Q323</f>
        <v>0</v>
      </c>
      <c r="V323" s="14" t="n">
        <f aca="false">IF(B323="",0,G323*N(IFERROR(INDEX(Options!$K$6:$K$85,MATCH($B323,Options!$A$6:$A$85,0)),"")))</f>
        <v>1679.6</v>
      </c>
      <c r="W323" s="26" t="n">
        <f aca="false">IF(B323="",0,IF(N323&gt;=4,S323,(H323+I323+J323+K323)/(4-N323)))</f>
        <v>1.5</v>
      </c>
    </row>
    <row r="324" customFormat="false" ht="15" hidden="false" customHeight="false" outlineLevel="0" collapsed="false">
      <c r="A324" s="16" t="s">
        <v>660</v>
      </c>
      <c r="B324" s="16" t="s">
        <v>299</v>
      </c>
      <c r="C324" s="16" t="s">
        <v>607</v>
      </c>
      <c r="D324" s="16"/>
      <c r="E324" s="16" t="n">
        <v>65</v>
      </c>
      <c r="F324" s="16" t="n">
        <v>0</v>
      </c>
      <c r="G324" s="16" t="n">
        <v>37</v>
      </c>
      <c r="H324" s="16" t="n">
        <v>1</v>
      </c>
      <c r="I324" s="16" t="n">
        <v>1</v>
      </c>
      <c r="J324" s="16" t="n">
        <v>1</v>
      </c>
      <c r="K324" s="16" t="n">
        <v>1</v>
      </c>
      <c r="L324" s="16" t="n">
        <v>28</v>
      </c>
      <c r="M324" s="16" t="n">
        <v>25</v>
      </c>
      <c r="N324" s="16" t="n">
        <v>0</v>
      </c>
      <c r="O324" s="9" t="str">
        <f aca="false">IF(B324="","",IFERROR(INDEX(Options!$G$6:$G$85,MATCH($B324,Options!$A$6:$A$85,0)),""))</f>
        <v>Waist</v>
      </c>
      <c r="P324" s="9" t="str">
        <f aca="false">IF(B324="","",IFERROR(INDEX(Options!$H$6:$H$85,MATCH($B324,Options!$A$6:$A$85,0)),""))</f>
        <v>Seasonal</v>
      </c>
      <c r="Q324" s="24" t="n">
        <f aca="false">IF(B324="",0,N(IFERROR(INDEX(Options!$J$6:$J$85,MATCH($B324,Options!$A$6:$A$85,0)),"")))</f>
        <v>65</v>
      </c>
      <c r="R324" s="25" t="n">
        <f aca="false">K324*Settings!$B$10+J324*Settings!$B$11+I324*Settings!$B$12+H324*Settings!$B$13</f>
        <v>1</v>
      </c>
      <c r="S324" s="25" t="n">
        <f aca="false">IFERROR(L324/Settings!$B$8,0)</f>
        <v>1.27272727272727</v>
      </c>
      <c r="T324" s="26" t="n">
        <f aca="false">IF(OR(B324="",P324="End of life"),0,W324*MIN(4,N324))</f>
        <v>0</v>
      </c>
      <c r="U324" s="27" t="n">
        <f aca="false">T324*Q324</f>
        <v>0</v>
      </c>
      <c r="V324" s="14" t="n">
        <f aca="false">IF(B324="",0,G324*N(IFERROR(INDEX(Options!$K$6:$K$85,MATCH($B324,Options!$A$6:$A$85,0)),"")))</f>
        <v>913.9</v>
      </c>
      <c r="W324" s="26" t="n">
        <f aca="false">IF(B324="",0,IF(N324&gt;=4,S324,(H324+I324+J324+K324)/(4-N324)))</f>
        <v>1</v>
      </c>
    </row>
    <row r="325" customFormat="false" ht="15" hidden="false" customHeight="false" outlineLevel="0" collapsed="false">
      <c r="A325" s="16" t="s">
        <v>661</v>
      </c>
      <c r="B325" s="16" t="s">
        <v>299</v>
      </c>
      <c r="C325" s="16" t="s">
        <v>609</v>
      </c>
      <c r="D325" s="16"/>
      <c r="E325" s="16" t="n">
        <v>151</v>
      </c>
      <c r="F325" s="16" t="n">
        <v>0</v>
      </c>
      <c r="G325" s="16" t="n">
        <v>86</v>
      </c>
      <c r="H325" s="16" t="n">
        <v>1</v>
      </c>
      <c r="I325" s="16" t="n">
        <v>1</v>
      </c>
      <c r="J325" s="16" t="n">
        <v>1</v>
      </c>
      <c r="K325" s="16" t="n">
        <v>2</v>
      </c>
      <c r="L325" s="16" t="n">
        <v>65</v>
      </c>
      <c r="M325" s="16" t="n">
        <v>57</v>
      </c>
      <c r="N325" s="16" t="n">
        <v>0</v>
      </c>
      <c r="O325" s="9" t="str">
        <f aca="false">IF(B325="","",IFERROR(INDEX(Options!$G$6:$G$85,MATCH($B325,Options!$A$6:$A$85,0)),""))</f>
        <v>Waist</v>
      </c>
      <c r="P325" s="9" t="str">
        <f aca="false">IF(B325="","",IFERROR(INDEX(Options!$H$6:$H$85,MATCH($B325,Options!$A$6:$A$85,0)),""))</f>
        <v>Seasonal</v>
      </c>
      <c r="Q325" s="24" t="n">
        <f aca="false">IF(B325="",0,N(IFERROR(INDEX(Options!$J$6:$J$85,MATCH($B325,Options!$A$6:$A$85,0)),"")))</f>
        <v>65</v>
      </c>
      <c r="R325" s="25" t="n">
        <f aca="false">K325*Settings!$B$10+J325*Settings!$B$11+I325*Settings!$B$12+H325*Settings!$B$13</f>
        <v>1.4</v>
      </c>
      <c r="S325" s="25" t="n">
        <f aca="false">IFERROR(L325/Settings!$B$8,0)</f>
        <v>2.95454545454545</v>
      </c>
      <c r="T325" s="26" t="n">
        <f aca="false">IF(OR(B325="",P325="End of life"),0,W325*MIN(4,N325))</f>
        <v>0</v>
      </c>
      <c r="U325" s="27" t="n">
        <f aca="false">T325*Q325</f>
        <v>0</v>
      </c>
      <c r="V325" s="14" t="n">
        <f aca="false">IF(B325="",0,G325*N(IFERROR(INDEX(Options!$K$6:$K$85,MATCH($B325,Options!$A$6:$A$85,0)),"")))</f>
        <v>2124.2</v>
      </c>
      <c r="W325" s="26" t="n">
        <f aca="false">IF(B325="",0,IF(N325&gt;=4,S325,(H325+I325+J325+K325)/(4-N325)))</f>
        <v>1.25</v>
      </c>
    </row>
    <row r="326" customFormat="false" ht="15" hidden="false" customHeight="false" outlineLevel="0" collapsed="false">
      <c r="A326" s="16" t="s">
        <v>662</v>
      </c>
      <c r="B326" s="16" t="s">
        <v>299</v>
      </c>
      <c r="C326" s="16" t="s">
        <v>611</v>
      </c>
      <c r="D326" s="16" t="s">
        <v>183</v>
      </c>
      <c r="E326" s="16" t="n">
        <v>117</v>
      </c>
      <c r="F326" s="16" t="n">
        <v>0</v>
      </c>
      <c r="G326" s="16" t="n">
        <v>0</v>
      </c>
      <c r="H326" s="16" t="n">
        <v>2</v>
      </c>
      <c r="I326" s="16" t="n">
        <v>0</v>
      </c>
      <c r="J326" s="16" t="n">
        <v>0</v>
      </c>
      <c r="K326" s="16" t="n">
        <v>0</v>
      </c>
      <c r="L326" s="16" t="n">
        <v>117</v>
      </c>
      <c r="M326" s="16" t="n">
        <v>103</v>
      </c>
      <c r="N326" s="16" t="n">
        <v>3</v>
      </c>
      <c r="O326" s="9" t="str">
        <f aca="false">IF(B326="","",IFERROR(INDEX(Options!$G$6:$G$85,MATCH($B326,Options!$A$6:$A$85,0)),""))</f>
        <v>Waist</v>
      </c>
      <c r="P326" s="9" t="str">
        <f aca="false">IF(B326="","",IFERROR(INDEX(Options!$H$6:$H$85,MATCH($B326,Options!$A$6:$A$85,0)),""))</f>
        <v>Seasonal</v>
      </c>
      <c r="Q326" s="24" t="n">
        <f aca="false">IF(B326="",0,N(IFERROR(INDEX(Options!$J$6:$J$85,MATCH($B326,Options!$A$6:$A$85,0)),"")))</f>
        <v>65</v>
      </c>
      <c r="R326" s="25" t="n">
        <f aca="false">K326*Settings!$B$10+J326*Settings!$B$11+I326*Settings!$B$12+H326*Settings!$B$13</f>
        <v>0.2</v>
      </c>
      <c r="S326" s="25" t="n">
        <f aca="false">IFERROR(L326/Settings!$B$8,0)</f>
        <v>5.31818181818182</v>
      </c>
      <c r="T326" s="26" t="n">
        <f aca="false">IF(OR(B326="",P326="End of life"),0,W326*MIN(4,N326))</f>
        <v>6</v>
      </c>
      <c r="U326" s="27" t="n">
        <f aca="false">T326*Q326</f>
        <v>390</v>
      </c>
      <c r="V326" s="14" t="n">
        <f aca="false">IF(B326="",0,G326*N(IFERROR(INDEX(Options!$K$6:$K$85,MATCH($B326,Options!$A$6:$A$85,0)),"")))</f>
        <v>0</v>
      </c>
      <c r="W326" s="26" t="n">
        <f aca="false">IF(B326="",0,IF(N326&gt;=4,S326,(H326+I326+J326+K326)/(4-N326)))</f>
        <v>2</v>
      </c>
    </row>
    <row r="327" customFormat="false" ht="15" hidden="false" customHeight="false" outlineLevel="0" collapsed="false">
      <c r="A327" s="16" t="s">
        <v>663</v>
      </c>
      <c r="B327" s="16" t="s">
        <v>299</v>
      </c>
      <c r="C327" s="16" t="s">
        <v>613</v>
      </c>
      <c r="D327" s="16" t="s">
        <v>183</v>
      </c>
      <c r="E327" s="16" t="n">
        <v>117</v>
      </c>
      <c r="F327" s="16" t="n">
        <v>0</v>
      </c>
      <c r="G327" s="16" t="n">
        <v>0</v>
      </c>
      <c r="H327" s="16" t="n">
        <v>0</v>
      </c>
      <c r="I327" s="16" t="n">
        <v>0</v>
      </c>
      <c r="J327" s="16" t="n">
        <v>0</v>
      </c>
      <c r="K327" s="16" t="n">
        <v>0</v>
      </c>
      <c r="L327" s="16" t="n">
        <v>117</v>
      </c>
      <c r="M327" s="16" t="n">
        <v>103</v>
      </c>
      <c r="N327" s="16" t="n">
        <v>4</v>
      </c>
      <c r="O327" s="9" t="str">
        <f aca="false">IF(B327="","",IFERROR(INDEX(Options!$G$6:$G$85,MATCH($B327,Options!$A$6:$A$85,0)),""))</f>
        <v>Waist</v>
      </c>
      <c r="P327" s="9" t="str">
        <f aca="false">IF(B327="","",IFERROR(INDEX(Options!$H$6:$H$85,MATCH($B327,Options!$A$6:$A$85,0)),""))</f>
        <v>Seasonal</v>
      </c>
      <c r="Q327" s="24" t="n">
        <f aca="false">IF(B327="",0,N(IFERROR(INDEX(Options!$J$6:$J$85,MATCH($B327,Options!$A$6:$A$85,0)),"")))</f>
        <v>65</v>
      </c>
      <c r="R327" s="25" t="n">
        <f aca="false">K327*Settings!$B$10+J327*Settings!$B$11+I327*Settings!$B$12+H327*Settings!$B$13</f>
        <v>0</v>
      </c>
      <c r="S327" s="25" t="n">
        <f aca="false">IFERROR(L327/Settings!$B$8,0)</f>
        <v>5.31818181818182</v>
      </c>
      <c r="T327" s="26" t="n">
        <f aca="false">IF(OR(B327="",P327="End of life"),0,W327*MIN(4,N327))</f>
        <v>21.2727272727273</v>
      </c>
      <c r="U327" s="27" t="n">
        <f aca="false">T327*Q327</f>
        <v>1382.72727272727</v>
      </c>
      <c r="V327" s="14" t="n">
        <f aca="false">IF(B327="",0,G327*N(IFERROR(INDEX(Options!$K$6:$K$85,MATCH($B327,Options!$A$6:$A$85,0)),"")))</f>
        <v>0</v>
      </c>
      <c r="W327" s="26" t="n">
        <f aca="false">IF(B327="",0,IF(N327&gt;=4,S327,(H327+I327+J327+K327)/(4-N327)))</f>
        <v>5.31818181818182</v>
      </c>
    </row>
    <row r="328" customFormat="false" ht="15" hidden="false" customHeight="false" outlineLevel="0" collapsed="false">
      <c r="A328" s="16" t="s">
        <v>664</v>
      </c>
      <c r="B328" s="16" t="s">
        <v>299</v>
      </c>
      <c r="C328" s="16" t="s">
        <v>615</v>
      </c>
      <c r="D328" s="16" t="s">
        <v>183</v>
      </c>
      <c r="E328" s="16" t="n">
        <v>81</v>
      </c>
      <c r="F328" s="16" t="n">
        <v>0</v>
      </c>
      <c r="G328" s="16" t="n">
        <v>0</v>
      </c>
      <c r="H328" s="16" t="n">
        <v>2</v>
      </c>
      <c r="I328" s="16" t="n">
        <v>2</v>
      </c>
      <c r="J328" s="16" t="n">
        <v>2</v>
      </c>
      <c r="K328" s="16" t="n">
        <v>0</v>
      </c>
      <c r="L328" s="16" t="n">
        <v>81</v>
      </c>
      <c r="M328" s="16" t="n">
        <v>71</v>
      </c>
      <c r="N328" s="16" t="n">
        <v>1</v>
      </c>
      <c r="O328" s="9" t="str">
        <f aca="false">IF(B328="","",IFERROR(INDEX(Options!$G$6:$G$85,MATCH($B328,Options!$A$6:$A$85,0)),""))</f>
        <v>Waist</v>
      </c>
      <c r="P328" s="9" t="str">
        <f aca="false">IF(B328="","",IFERROR(INDEX(Options!$H$6:$H$85,MATCH($B328,Options!$A$6:$A$85,0)),""))</f>
        <v>Seasonal</v>
      </c>
      <c r="Q328" s="24" t="n">
        <f aca="false">IF(B328="",0,N(IFERROR(INDEX(Options!$J$6:$J$85,MATCH($B328,Options!$A$6:$A$85,0)),"")))</f>
        <v>65</v>
      </c>
      <c r="R328" s="25" t="n">
        <f aca="false">K328*Settings!$B$10+J328*Settings!$B$11+I328*Settings!$B$12+H328*Settings!$B$13</f>
        <v>1.2</v>
      </c>
      <c r="S328" s="25" t="n">
        <f aca="false">IFERROR(L328/Settings!$B$8,0)</f>
        <v>3.68181818181818</v>
      </c>
      <c r="T328" s="26" t="n">
        <f aca="false">IF(OR(B328="",P328="End of life"),0,W328*MIN(4,N328))</f>
        <v>2</v>
      </c>
      <c r="U328" s="27" t="n">
        <f aca="false">T328*Q328</f>
        <v>130</v>
      </c>
      <c r="V328" s="14" t="n">
        <f aca="false">IF(B328="",0,G328*N(IFERROR(INDEX(Options!$K$6:$K$85,MATCH($B328,Options!$A$6:$A$85,0)),"")))</f>
        <v>0</v>
      </c>
      <c r="W328" s="26" t="n">
        <f aca="false">IF(B328="",0,IF(N328&gt;=4,S328,(H328+I328+J328+K328)/(4-N328)))</f>
        <v>2</v>
      </c>
    </row>
    <row r="329" customFormat="false" ht="15" hidden="false" customHeight="false" outlineLevel="0" collapsed="false">
      <c r="A329" s="16" t="s">
        <v>665</v>
      </c>
      <c r="B329" s="16" t="s">
        <v>299</v>
      </c>
      <c r="C329" s="16" t="s">
        <v>617</v>
      </c>
      <c r="D329" s="16"/>
      <c r="E329" s="16" t="n">
        <v>108</v>
      </c>
      <c r="F329" s="16" t="n">
        <v>0</v>
      </c>
      <c r="G329" s="16" t="n">
        <v>58</v>
      </c>
      <c r="H329" s="16" t="n">
        <v>1</v>
      </c>
      <c r="I329" s="16" t="n">
        <v>1</v>
      </c>
      <c r="J329" s="16" t="n">
        <v>1</v>
      </c>
      <c r="K329" s="16" t="n">
        <v>2</v>
      </c>
      <c r="L329" s="16" t="n">
        <v>50</v>
      </c>
      <c r="M329" s="16" t="n">
        <v>44</v>
      </c>
      <c r="N329" s="16" t="n">
        <v>0</v>
      </c>
      <c r="O329" s="9" t="str">
        <f aca="false">IF(B329="","",IFERROR(INDEX(Options!$G$6:$G$85,MATCH($B329,Options!$A$6:$A$85,0)),""))</f>
        <v>Waist</v>
      </c>
      <c r="P329" s="9" t="str">
        <f aca="false">IF(B329="","",IFERROR(INDEX(Options!$H$6:$H$85,MATCH($B329,Options!$A$6:$A$85,0)),""))</f>
        <v>Seasonal</v>
      </c>
      <c r="Q329" s="24" t="n">
        <f aca="false">IF(B329="",0,N(IFERROR(INDEX(Options!$J$6:$J$85,MATCH($B329,Options!$A$6:$A$85,0)),"")))</f>
        <v>65</v>
      </c>
      <c r="R329" s="25" t="n">
        <f aca="false">K329*Settings!$B$10+J329*Settings!$B$11+I329*Settings!$B$12+H329*Settings!$B$13</f>
        <v>1.4</v>
      </c>
      <c r="S329" s="25" t="n">
        <f aca="false">IFERROR(L329/Settings!$B$8,0)</f>
        <v>2.27272727272727</v>
      </c>
      <c r="T329" s="26" t="n">
        <f aca="false">IF(OR(B329="",P329="End of life"),0,W329*MIN(4,N329))</f>
        <v>0</v>
      </c>
      <c r="U329" s="27" t="n">
        <f aca="false">T329*Q329</f>
        <v>0</v>
      </c>
      <c r="V329" s="14" t="n">
        <f aca="false">IF(B329="",0,G329*N(IFERROR(INDEX(Options!$K$6:$K$85,MATCH($B329,Options!$A$6:$A$85,0)),"")))</f>
        <v>1432.6</v>
      </c>
      <c r="W329" s="26" t="n">
        <f aca="false">IF(B329="",0,IF(N329&gt;=4,S329,(H329+I329+J329+K329)/(4-N329)))</f>
        <v>1.25</v>
      </c>
    </row>
    <row r="330" customFormat="false" ht="15" hidden="false" customHeight="false" outlineLevel="0" collapsed="false">
      <c r="A330" s="16" t="s">
        <v>666</v>
      </c>
      <c r="B330" s="16" t="s">
        <v>300</v>
      </c>
      <c r="C330" s="16" t="s">
        <v>607</v>
      </c>
      <c r="D330" s="16"/>
      <c r="E330" s="16" t="n">
        <v>54</v>
      </c>
      <c r="F330" s="16" t="n">
        <v>0</v>
      </c>
      <c r="G330" s="16" t="n">
        <v>20</v>
      </c>
      <c r="H330" s="16" t="n">
        <v>1</v>
      </c>
      <c r="I330" s="16" t="n">
        <v>1</v>
      </c>
      <c r="J330" s="16" t="n">
        <v>2</v>
      </c>
      <c r="K330" s="16" t="n">
        <v>1</v>
      </c>
      <c r="L330" s="16" t="n">
        <v>34</v>
      </c>
      <c r="M330" s="16" t="n">
        <v>30</v>
      </c>
      <c r="N330" s="16" t="n">
        <v>0</v>
      </c>
      <c r="O330" s="9" t="str">
        <f aca="false">IF(B330="","",IFERROR(INDEX(Options!$G$6:$G$85,MATCH($B330,Options!$A$6:$A$85,0)),""))</f>
        <v>Waist</v>
      </c>
      <c r="P330" s="9" t="str">
        <f aca="false">IF(B330="","",IFERROR(INDEX(Options!$H$6:$H$85,MATCH($B330,Options!$A$6:$A$85,0)),""))</f>
        <v>Seasonal</v>
      </c>
      <c r="Q330" s="24" t="n">
        <f aca="false">IF(B330="",0,N(IFERROR(INDEX(Options!$J$6:$J$85,MATCH($B330,Options!$A$6:$A$85,0)),"")))</f>
        <v>70</v>
      </c>
      <c r="R330" s="25" t="n">
        <f aca="false">K330*Settings!$B$10+J330*Settings!$B$11+I330*Settings!$B$12+H330*Settings!$B$13</f>
        <v>1.3</v>
      </c>
      <c r="S330" s="25" t="n">
        <f aca="false">IFERROR(L330/Settings!$B$8,0)</f>
        <v>1.54545454545455</v>
      </c>
      <c r="T330" s="26" t="n">
        <f aca="false">IF(OR(B330="",P330="End of life"),0,W330*MIN(4,N330))</f>
        <v>0</v>
      </c>
      <c r="U330" s="27" t="n">
        <f aca="false">T330*Q330</f>
        <v>0</v>
      </c>
      <c r="V330" s="14" t="n">
        <f aca="false">IF(B330="",0,G330*N(IFERROR(INDEX(Options!$K$6:$K$85,MATCH($B330,Options!$A$6:$A$85,0)),"")))</f>
        <v>532</v>
      </c>
      <c r="W330" s="26" t="n">
        <f aca="false">IF(B330="",0,IF(N330&gt;=4,S330,(H330+I330+J330+K330)/(4-N330)))</f>
        <v>1.25</v>
      </c>
    </row>
    <row r="331" customFormat="false" ht="15" hidden="false" customHeight="false" outlineLevel="0" collapsed="false">
      <c r="A331" s="16" t="s">
        <v>667</v>
      </c>
      <c r="B331" s="16" t="s">
        <v>300</v>
      </c>
      <c r="C331" s="16" t="s">
        <v>609</v>
      </c>
      <c r="D331" s="16"/>
      <c r="E331" s="16" t="n">
        <v>93</v>
      </c>
      <c r="F331" s="16" t="n">
        <v>0</v>
      </c>
      <c r="G331" s="16" t="n">
        <v>13</v>
      </c>
      <c r="H331" s="16" t="n">
        <v>3</v>
      </c>
      <c r="I331" s="16" t="n">
        <v>3</v>
      </c>
      <c r="J331" s="16" t="n">
        <v>4</v>
      </c>
      <c r="K331" s="16" t="n">
        <v>3</v>
      </c>
      <c r="L331" s="16" t="n">
        <v>80</v>
      </c>
      <c r="M331" s="16" t="n">
        <v>70</v>
      </c>
      <c r="N331" s="16" t="n">
        <v>0</v>
      </c>
      <c r="O331" s="9" t="str">
        <f aca="false">IF(B331="","",IFERROR(INDEX(Options!$G$6:$G$85,MATCH($B331,Options!$A$6:$A$85,0)),""))</f>
        <v>Waist</v>
      </c>
      <c r="P331" s="9" t="str">
        <f aca="false">IF(B331="","",IFERROR(INDEX(Options!$H$6:$H$85,MATCH($B331,Options!$A$6:$A$85,0)),""))</f>
        <v>Seasonal</v>
      </c>
      <c r="Q331" s="24" t="n">
        <f aca="false">IF(B331="",0,N(IFERROR(INDEX(Options!$J$6:$J$85,MATCH($B331,Options!$A$6:$A$85,0)),"")))</f>
        <v>70</v>
      </c>
      <c r="R331" s="25" t="n">
        <f aca="false">K331*Settings!$B$10+J331*Settings!$B$11+I331*Settings!$B$12+H331*Settings!$B$13</f>
        <v>3.3</v>
      </c>
      <c r="S331" s="25" t="n">
        <f aca="false">IFERROR(L331/Settings!$B$8,0)</f>
        <v>3.63636363636364</v>
      </c>
      <c r="T331" s="26" t="n">
        <f aca="false">IF(OR(B331="",P331="End of life"),0,W331*MIN(4,N331))</f>
        <v>0</v>
      </c>
      <c r="U331" s="27" t="n">
        <f aca="false">T331*Q331</f>
        <v>0</v>
      </c>
      <c r="V331" s="14" t="n">
        <f aca="false">IF(B331="",0,G331*N(IFERROR(INDEX(Options!$K$6:$K$85,MATCH($B331,Options!$A$6:$A$85,0)),"")))</f>
        <v>345.8</v>
      </c>
      <c r="W331" s="26" t="n">
        <f aca="false">IF(B331="",0,IF(N331&gt;=4,S331,(H331+I331+J331+K331)/(4-N331)))</f>
        <v>3.25</v>
      </c>
    </row>
    <row r="332" customFormat="false" ht="15" hidden="false" customHeight="false" outlineLevel="0" collapsed="false">
      <c r="A332" s="16" t="s">
        <v>668</v>
      </c>
      <c r="B332" s="16" t="s">
        <v>300</v>
      </c>
      <c r="C332" s="16" t="s">
        <v>611</v>
      </c>
      <c r="D332" s="16" t="s">
        <v>183</v>
      </c>
      <c r="E332" s="16" t="n">
        <v>174</v>
      </c>
      <c r="F332" s="16" t="n">
        <v>0</v>
      </c>
      <c r="G332" s="16" t="n">
        <v>38</v>
      </c>
      <c r="H332" s="16" t="n">
        <v>6</v>
      </c>
      <c r="I332" s="16" t="n">
        <v>7</v>
      </c>
      <c r="J332" s="16" t="n">
        <v>8</v>
      </c>
      <c r="K332" s="16" t="n">
        <v>8</v>
      </c>
      <c r="L332" s="16" t="n">
        <v>136</v>
      </c>
      <c r="M332" s="16" t="n">
        <v>120</v>
      </c>
      <c r="N332" s="16" t="n">
        <v>0</v>
      </c>
      <c r="O332" s="9" t="str">
        <f aca="false">IF(B332="","",IFERROR(INDEX(Options!$G$6:$G$85,MATCH($B332,Options!$A$6:$A$85,0)),""))</f>
        <v>Waist</v>
      </c>
      <c r="P332" s="9" t="str">
        <f aca="false">IF(B332="","",IFERROR(INDEX(Options!$H$6:$H$85,MATCH($B332,Options!$A$6:$A$85,0)),""))</f>
        <v>Seasonal</v>
      </c>
      <c r="Q332" s="24" t="n">
        <f aca="false">IF(B332="",0,N(IFERROR(INDEX(Options!$J$6:$J$85,MATCH($B332,Options!$A$6:$A$85,0)),"")))</f>
        <v>70</v>
      </c>
      <c r="R332" s="25" t="n">
        <f aca="false">K332*Settings!$B$10+J332*Settings!$B$11+I332*Settings!$B$12+H332*Settings!$B$13</f>
        <v>7.6</v>
      </c>
      <c r="S332" s="25" t="n">
        <f aca="false">IFERROR(L332/Settings!$B$8,0)</f>
        <v>6.18181818181818</v>
      </c>
      <c r="T332" s="26" t="n">
        <f aca="false">IF(OR(B332="",P332="End of life"),0,W332*MIN(4,N332))</f>
        <v>0</v>
      </c>
      <c r="U332" s="27" t="n">
        <f aca="false">T332*Q332</f>
        <v>0</v>
      </c>
      <c r="V332" s="14" t="n">
        <f aca="false">IF(B332="",0,G332*N(IFERROR(INDEX(Options!$K$6:$K$85,MATCH($B332,Options!$A$6:$A$85,0)),"")))</f>
        <v>1010.8</v>
      </c>
      <c r="W332" s="26" t="n">
        <f aca="false">IF(B332="",0,IF(N332&gt;=4,S332,(H332+I332+J332+K332)/(4-N332)))</f>
        <v>7.25</v>
      </c>
    </row>
    <row r="333" customFormat="false" ht="15" hidden="false" customHeight="false" outlineLevel="0" collapsed="false">
      <c r="A333" s="16" t="s">
        <v>669</v>
      </c>
      <c r="B333" s="16" t="s">
        <v>300</v>
      </c>
      <c r="C333" s="16" t="s">
        <v>613</v>
      </c>
      <c r="D333" s="16" t="s">
        <v>183</v>
      </c>
      <c r="E333" s="16" t="n">
        <v>174</v>
      </c>
      <c r="F333" s="16" t="n">
        <v>0</v>
      </c>
      <c r="G333" s="16" t="n">
        <v>42</v>
      </c>
      <c r="H333" s="16" t="n">
        <v>5</v>
      </c>
      <c r="I333" s="16" t="n">
        <v>6</v>
      </c>
      <c r="J333" s="16" t="n">
        <v>7</v>
      </c>
      <c r="K333" s="16" t="n">
        <v>8</v>
      </c>
      <c r="L333" s="16" t="n">
        <v>132</v>
      </c>
      <c r="M333" s="16" t="n">
        <v>116</v>
      </c>
      <c r="N333" s="16" t="n">
        <v>0</v>
      </c>
      <c r="O333" s="9" t="str">
        <f aca="false">IF(B333="","",IFERROR(INDEX(Options!$G$6:$G$85,MATCH($B333,Options!$A$6:$A$85,0)),""))</f>
        <v>Waist</v>
      </c>
      <c r="P333" s="9" t="str">
        <f aca="false">IF(B333="","",IFERROR(INDEX(Options!$H$6:$H$85,MATCH($B333,Options!$A$6:$A$85,0)),""))</f>
        <v>Seasonal</v>
      </c>
      <c r="Q333" s="24" t="n">
        <f aca="false">IF(B333="",0,N(IFERROR(INDEX(Options!$J$6:$J$85,MATCH($B333,Options!$A$6:$A$85,0)),"")))</f>
        <v>70</v>
      </c>
      <c r="R333" s="25" t="n">
        <f aca="false">K333*Settings!$B$10+J333*Settings!$B$11+I333*Settings!$B$12+H333*Settings!$B$13</f>
        <v>7</v>
      </c>
      <c r="S333" s="25" t="n">
        <f aca="false">IFERROR(L333/Settings!$B$8,0)</f>
        <v>6</v>
      </c>
      <c r="T333" s="26" t="n">
        <f aca="false">IF(OR(B333="",P333="End of life"),0,W333*MIN(4,N333))</f>
        <v>0</v>
      </c>
      <c r="U333" s="27" t="n">
        <f aca="false">T333*Q333</f>
        <v>0</v>
      </c>
      <c r="V333" s="14" t="n">
        <f aca="false">IF(B333="",0,G333*N(IFERROR(INDEX(Options!$K$6:$K$85,MATCH($B333,Options!$A$6:$A$85,0)),"")))</f>
        <v>1117.2</v>
      </c>
      <c r="W333" s="26" t="n">
        <f aca="false">IF(B333="",0,IF(N333&gt;=4,S333,(H333+I333+J333+K333)/(4-N333)))</f>
        <v>6.5</v>
      </c>
    </row>
    <row r="334" customFormat="false" ht="15" hidden="false" customHeight="false" outlineLevel="0" collapsed="false">
      <c r="A334" s="16" t="s">
        <v>670</v>
      </c>
      <c r="B334" s="16" t="s">
        <v>300</v>
      </c>
      <c r="C334" s="16" t="s">
        <v>615</v>
      </c>
      <c r="D334" s="16" t="s">
        <v>183</v>
      </c>
      <c r="E334" s="16" t="n">
        <v>120</v>
      </c>
      <c r="F334" s="16" t="n">
        <v>0</v>
      </c>
      <c r="G334" s="16" t="n">
        <v>29</v>
      </c>
      <c r="H334" s="16" t="n">
        <v>3</v>
      </c>
      <c r="I334" s="16" t="n">
        <v>4</v>
      </c>
      <c r="J334" s="16" t="n">
        <v>5</v>
      </c>
      <c r="K334" s="16" t="n">
        <v>4</v>
      </c>
      <c r="L334" s="16" t="n">
        <v>91</v>
      </c>
      <c r="M334" s="16" t="n">
        <v>80</v>
      </c>
      <c r="N334" s="16" t="n">
        <v>0</v>
      </c>
      <c r="O334" s="9" t="str">
        <f aca="false">IF(B334="","",IFERROR(INDEX(Options!$G$6:$G$85,MATCH($B334,Options!$A$6:$A$85,0)),""))</f>
        <v>Waist</v>
      </c>
      <c r="P334" s="9" t="str">
        <f aca="false">IF(B334="","",IFERROR(INDEX(Options!$H$6:$H$85,MATCH($B334,Options!$A$6:$A$85,0)),""))</f>
        <v>Seasonal</v>
      </c>
      <c r="Q334" s="24" t="n">
        <f aca="false">IF(B334="",0,N(IFERROR(INDEX(Options!$J$6:$J$85,MATCH($B334,Options!$A$6:$A$85,0)),"")))</f>
        <v>70</v>
      </c>
      <c r="R334" s="25" t="n">
        <f aca="false">K334*Settings!$B$10+J334*Settings!$B$11+I334*Settings!$B$12+H334*Settings!$B$13</f>
        <v>4.2</v>
      </c>
      <c r="S334" s="25" t="n">
        <f aca="false">IFERROR(L334/Settings!$B$8,0)</f>
        <v>4.13636363636364</v>
      </c>
      <c r="T334" s="26" t="n">
        <f aca="false">IF(OR(B334="",P334="End of life"),0,W334*MIN(4,N334))</f>
        <v>0</v>
      </c>
      <c r="U334" s="27" t="n">
        <f aca="false">T334*Q334</f>
        <v>0</v>
      </c>
      <c r="V334" s="14" t="n">
        <f aca="false">IF(B334="",0,G334*N(IFERROR(INDEX(Options!$K$6:$K$85,MATCH($B334,Options!$A$6:$A$85,0)),"")))</f>
        <v>771.4</v>
      </c>
      <c r="W334" s="26" t="n">
        <f aca="false">IF(B334="",0,IF(N334&gt;=4,S334,(H334+I334+J334+K334)/(4-N334)))</f>
        <v>4</v>
      </c>
    </row>
    <row r="335" customFormat="false" ht="15" hidden="false" customHeight="false" outlineLevel="0" collapsed="false">
      <c r="A335" s="16" t="s">
        <v>671</v>
      </c>
      <c r="B335" s="16" t="s">
        <v>300</v>
      </c>
      <c r="C335" s="16" t="s">
        <v>617</v>
      </c>
      <c r="D335" s="16"/>
      <c r="E335" s="16" t="n">
        <v>90</v>
      </c>
      <c r="F335" s="16" t="n">
        <v>0</v>
      </c>
      <c r="G335" s="16" t="n">
        <v>35</v>
      </c>
      <c r="H335" s="16" t="n">
        <v>2</v>
      </c>
      <c r="I335" s="16" t="n">
        <v>2</v>
      </c>
      <c r="J335" s="16" t="n">
        <v>3</v>
      </c>
      <c r="K335" s="16" t="n">
        <v>2</v>
      </c>
      <c r="L335" s="16" t="n">
        <v>55</v>
      </c>
      <c r="M335" s="16" t="n">
        <v>48</v>
      </c>
      <c r="N335" s="16" t="n">
        <v>0</v>
      </c>
      <c r="O335" s="9" t="str">
        <f aca="false">IF(B335="","",IFERROR(INDEX(Options!$G$6:$G$85,MATCH($B335,Options!$A$6:$A$85,0)),""))</f>
        <v>Waist</v>
      </c>
      <c r="P335" s="9" t="str">
        <f aca="false">IF(B335="","",IFERROR(INDEX(Options!$H$6:$H$85,MATCH($B335,Options!$A$6:$A$85,0)),""))</f>
        <v>Seasonal</v>
      </c>
      <c r="Q335" s="24" t="n">
        <f aca="false">IF(B335="",0,N(IFERROR(INDEX(Options!$J$6:$J$85,MATCH($B335,Options!$A$6:$A$85,0)),"")))</f>
        <v>70</v>
      </c>
      <c r="R335" s="25" t="n">
        <f aca="false">K335*Settings!$B$10+J335*Settings!$B$11+I335*Settings!$B$12+H335*Settings!$B$13</f>
        <v>2.3</v>
      </c>
      <c r="S335" s="25" t="n">
        <f aca="false">IFERROR(L335/Settings!$B$8,0)</f>
        <v>2.5</v>
      </c>
      <c r="T335" s="26" t="n">
        <f aca="false">IF(OR(B335="",P335="End of life"),0,W335*MIN(4,N335))</f>
        <v>0</v>
      </c>
      <c r="U335" s="27" t="n">
        <f aca="false">T335*Q335</f>
        <v>0</v>
      </c>
      <c r="V335" s="14" t="n">
        <f aca="false">IF(B335="",0,G335*N(IFERROR(INDEX(Options!$K$6:$K$85,MATCH($B335,Options!$A$6:$A$85,0)),"")))</f>
        <v>931</v>
      </c>
      <c r="W335" s="26" t="n">
        <f aca="false">IF(B335="",0,IF(N335&gt;=4,S335,(H335+I335+J335+K335)/(4-N335)))</f>
        <v>2.25</v>
      </c>
    </row>
    <row r="336" customFormat="false" ht="15" hidden="false" customHeight="false" outlineLevel="0" collapsed="false">
      <c r="A336" s="16" t="s">
        <v>672</v>
      </c>
      <c r="B336" s="16" t="s">
        <v>301</v>
      </c>
      <c r="C336" s="16" t="s">
        <v>607</v>
      </c>
      <c r="D336" s="16"/>
      <c r="E336" s="16" t="n">
        <v>17</v>
      </c>
      <c r="F336" s="16" t="n">
        <v>0</v>
      </c>
      <c r="G336" s="16" t="n">
        <v>16</v>
      </c>
      <c r="H336" s="16" t="n">
        <v>0</v>
      </c>
      <c r="I336" s="16" t="n">
        <v>0</v>
      </c>
      <c r="J336" s="16" t="n">
        <v>0</v>
      </c>
      <c r="K336" s="16" t="n">
        <v>0</v>
      </c>
      <c r="L336" s="16" t="n">
        <v>1</v>
      </c>
      <c r="M336" s="16" t="n">
        <v>1</v>
      </c>
      <c r="N336" s="16" t="n">
        <v>0</v>
      </c>
      <c r="O336" s="9" t="str">
        <f aca="false">IF(B336="","",IFERROR(INDEX(Options!$G$6:$G$85,MATCH($B336,Options!$A$6:$A$85,0)),""))</f>
        <v>Waist</v>
      </c>
      <c r="P336" s="9" t="str">
        <f aca="false">IF(B336="","",IFERROR(INDEX(Options!$H$6:$H$85,MATCH($B336,Options!$A$6:$A$85,0)),""))</f>
        <v>Seasonal</v>
      </c>
      <c r="Q336" s="24" t="n">
        <f aca="false">IF(B336="",0,N(IFERROR(INDEX(Options!$J$6:$J$85,MATCH($B336,Options!$A$6:$A$85,0)),"")))</f>
        <v>70</v>
      </c>
      <c r="R336" s="25" t="n">
        <f aca="false">K336*Settings!$B$10+J336*Settings!$B$11+I336*Settings!$B$12+H336*Settings!$B$13</f>
        <v>0</v>
      </c>
      <c r="S336" s="25" t="n">
        <f aca="false">IFERROR(L336/Settings!$B$8,0)</f>
        <v>0.0454545454545455</v>
      </c>
      <c r="T336" s="26" t="n">
        <f aca="false">IF(OR(B336="",P336="End of life"),0,W336*MIN(4,N336))</f>
        <v>0</v>
      </c>
      <c r="U336" s="27" t="n">
        <f aca="false">T336*Q336</f>
        <v>0</v>
      </c>
      <c r="V336" s="14" t="n">
        <f aca="false">IF(B336="",0,G336*N(IFERROR(INDEX(Options!$K$6:$K$85,MATCH($B336,Options!$A$6:$A$85,0)),"")))</f>
        <v>425.6</v>
      </c>
      <c r="W336" s="26" t="n">
        <f aca="false">IF(B336="",0,IF(N336&gt;=4,S336,(H336+I336+J336+K336)/(4-N336)))</f>
        <v>0</v>
      </c>
    </row>
    <row r="337" customFormat="false" ht="15" hidden="false" customHeight="false" outlineLevel="0" collapsed="false">
      <c r="A337" s="16" t="s">
        <v>673</v>
      </c>
      <c r="B337" s="16" t="s">
        <v>301</v>
      </c>
      <c r="C337" s="16" t="s">
        <v>609</v>
      </c>
      <c r="D337" s="16"/>
      <c r="E337" s="16" t="n">
        <v>29</v>
      </c>
      <c r="F337" s="16" t="n">
        <v>0</v>
      </c>
      <c r="G337" s="16" t="n">
        <v>26</v>
      </c>
      <c r="H337" s="16" t="n">
        <v>0</v>
      </c>
      <c r="I337" s="16" t="n">
        <v>0</v>
      </c>
      <c r="J337" s="16" t="n">
        <v>0</v>
      </c>
      <c r="K337" s="16" t="n">
        <v>1</v>
      </c>
      <c r="L337" s="16" t="n">
        <v>3</v>
      </c>
      <c r="M337" s="16" t="n">
        <v>3</v>
      </c>
      <c r="N337" s="16" t="n">
        <v>0</v>
      </c>
      <c r="O337" s="9" t="str">
        <f aca="false">IF(B337="","",IFERROR(INDEX(Options!$G$6:$G$85,MATCH($B337,Options!$A$6:$A$85,0)),""))</f>
        <v>Waist</v>
      </c>
      <c r="P337" s="9" t="str">
        <f aca="false">IF(B337="","",IFERROR(INDEX(Options!$H$6:$H$85,MATCH($B337,Options!$A$6:$A$85,0)),""))</f>
        <v>Seasonal</v>
      </c>
      <c r="Q337" s="24" t="n">
        <f aca="false">IF(B337="",0,N(IFERROR(INDEX(Options!$J$6:$J$85,MATCH($B337,Options!$A$6:$A$85,0)),"")))</f>
        <v>70</v>
      </c>
      <c r="R337" s="25" t="n">
        <f aca="false">K337*Settings!$B$10+J337*Settings!$B$11+I337*Settings!$B$12+H337*Settings!$B$13</f>
        <v>0.4</v>
      </c>
      <c r="S337" s="25" t="n">
        <f aca="false">IFERROR(L337/Settings!$B$8,0)</f>
        <v>0.136363636363636</v>
      </c>
      <c r="T337" s="26" t="n">
        <f aca="false">IF(OR(B337="",P337="End of life"),0,W337*MIN(4,N337))</f>
        <v>0</v>
      </c>
      <c r="U337" s="27" t="n">
        <f aca="false">T337*Q337</f>
        <v>0</v>
      </c>
      <c r="V337" s="14" t="n">
        <f aca="false">IF(B337="",0,G337*N(IFERROR(INDEX(Options!$K$6:$K$85,MATCH($B337,Options!$A$6:$A$85,0)),"")))</f>
        <v>691.6</v>
      </c>
      <c r="W337" s="26" t="n">
        <f aca="false">IF(B337="",0,IF(N337&gt;=4,S337,(H337+I337+J337+K337)/(4-N337)))</f>
        <v>0.25</v>
      </c>
    </row>
    <row r="338" customFormat="false" ht="15" hidden="false" customHeight="false" outlineLevel="0" collapsed="false">
      <c r="A338" s="16" t="s">
        <v>674</v>
      </c>
      <c r="B338" s="16" t="s">
        <v>301</v>
      </c>
      <c r="C338" s="16" t="s">
        <v>611</v>
      </c>
      <c r="D338" s="16" t="s">
        <v>183</v>
      </c>
      <c r="E338" s="16" t="n">
        <v>54</v>
      </c>
      <c r="F338" s="16" t="n">
        <v>0</v>
      </c>
      <c r="G338" s="16" t="n">
        <v>49</v>
      </c>
      <c r="H338" s="16" t="n">
        <v>1</v>
      </c>
      <c r="I338" s="16" t="n">
        <v>1</v>
      </c>
      <c r="J338" s="16" t="n">
        <v>1</v>
      </c>
      <c r="K338" s="16" t="n">
        <v>1</v>
      </c>
      <c r="L338" s="16" t="n">
        <v>5</v>
      </c>
      <c r="M338" s="16" t="n">
        <v>4</v>
      </c>
      <c r="N338" s="16" t="n">
        <v>0</v>
      </c>
      <c r="O338" s="9" t="str">
        <f aca="false">IF(B338="","",IFERROR(INDEX(Options!$G$6:$G$85,MATCH($B338,Options!$A$6:$A$85,0)),""))</f>
        <v>Waist</v>
      </c>
      <c r="P338" s="9" t="str">
        <f aca="false">IF(B338="","",IFERROR(INDEX(Options!$H$6:$H$85,MATCH($B338,Options!$A$6:$A$85,0)),""))</f>
        <v>Seasonal</v>
      </c>
      <c r="Q338" s="24" t="n">
        <f aca="false">IF(B338="",0,N(IFERROR(INDEX(Options!$J$6:$J$85,MATCH($B338,Options!$A$6:$A$85,0)),"")))</f>
        <v>70</v>
      </c>
      <c r="R338" s="25" t="n">
        <f aca="false">K338*Settings!$B$10+J338*Settings!$B$11+I338*Settings!$B$12+H338*Settings!$B$13</f>
        <v>1</v>
      </c>
      <c r="S338" s="25" t="n">
        <f aca="false">IFERROR(L338/Settings!$B$8,0)</f>
        <v>0.227272727272727</v>
      </c>
      <c r="T338" s="26" t="n">
        <f aca="false">IF(OR(B338="",P338="End of life"),0,W338*MIN(4,N338))</f>
        <v>0</v>
      </c>
      <c r="U338" s="27" t="n">
        <f aca="false">T338*Q338</f>
        <v>0</v>
      </c>
      <c r="V338" s="14" t="n">
        <f aca="false">IF(B338="",0,G338*N(IFERROR(INDEX(Options!$K$6:$K$85,MATCH($B338,Options!$A$6:$A$85,0)),"")))</f>
        <v>1303.4</v>
      </c>
      <c r="W338" s="26" t="n">
        <f aca="false">IF(B338="",0,IF(N338&gt;=4,S338,(H338+I338+J338+K338)/(4-N338)))</f>
        <v>1</v>
      </c>
    </row>
    <row r="339" customFormat="false" ht="15" hidden="false" customHeight="false" outlineLevel="0" collapsed="false">
      <c r="A339" s="16" t="s">
        <v>675</v>
      </c>
      <c r="B339" s="16" t="s">
        <v>301</v>
      </c>
      <c r="C339" s="16" t="s">
        <v>613</v>
      </c>
      <c r="D339" s="16" t="s">
        <v>183</v>
      </c>
      <c r="E339" s="16" t="n">
        <v>54</v>
      </c>
      <c r="F339" s="16" t="n">
        <v>0</v>
      </c>
      <c r="G339" s="16" t="n">
        <v>49</v>
      </c>
      <c r="H339" s="16" t="n">
        <v>1</v>
      </c>
      <c r="I339" s="16" t="n">
        <v>1</v>
      </c>
      <c r="J339" s="16" t="n">
        <v>1</v>
      </c>
      <c r="K339" s="16" t="n">
        <v>1</v>
      </c>
      <c r="L339" s="16" t="n">
        <v>5</v>
      </c>
      <c r="M339" s="16" t="n">
        <v>4</v>
      </c>
      <c r="N339" s="16" t="n">
        <v>0</v>
      </c>
      <c r="O339" s="9" t="str">
        <f aca="false">IF(B339="","",IFERROR(INDEX(Options!$G$6:$G$85,MATCH($B339,Options!$A$6:$A$85,0)),""))</f>
        <v>Waist</v>
      </c>
      <c r="P339" s="9" t="str">
        <f aca="false">IF(B339="","",IFERROR(INDEX(Options!$H$6:$H$85,MATCH($B339,Options!$A$6:$A$85,0)),""))</f>
        <v>Seasonal</v>
      </c>
      <c r="Q339" s="24" t="n">
        <f aca="false">IF(B339="",0,N(IFERROR(INDEX(Options!$J$6:$J$85,MATCH($B339,Options!$A$6:$A$85,0)),"")))</f>
        <v>70</v>
      </c>
      <c r="R339" s="25" t="n">
        <f aca="false">K339*Settings!$B$10+J339*Settings!$B$11+I339*Settings!$B$12+H339*Settings!$B$13</f>
        <v>1</v>
      </c>
      <c r="S339" s="25" t="n">
        <f aca="false">IFERROR(L339/Settings!$B$8,0)</f>
        <v>0.227272727272727</v>
      </c>
      <c r="T339" s="26" t="n">
        <f aca="false">IF(OR(B339="",P339="End of life"),0,W339*MIN(4,N339))</f>
        <v>0</v>
      </c>
      <c r="U339" s="27" t="n">
        <f aca="false">T339*Q339</f>
        <v>0</v>
      </c>
      <c r="V339" s="14" t="n">
        <f aca="false">IF(B339="",0,G339*N(IFERROR(INDEX(Options!$K$6:$K$85,MATCH($B339,Options!$A$6:$A$85,0)),"")))</f>
        <v>1303.4</v>
      </c>
      <c r="W339" s="26" t="n">
        <f aca="false">IF(B339="",0,IF(N339&gt;=4,S339,(H339+I339+J339+K339)/(4-N339)))</f>
        <v>1</v>
      </c>
    </row>
    <row r="340" customFormat="false" ht="15" hidden="false" customHeight="false" outlineLevel="0" collapsed="false">
      <c r="A340" s="16" t="s">
        <v>676</v>
      </c>
      <c r="B340" s="16" t="s">
        <v>301</v>
      </c>
      <c r="C340" s="16" t="s">
        <v>615</v>
      </c>
      <c r="D340" s="16" t="s">
        <v>183</v>
      </c>
      <c r="E340" s="16" t="n">
        <v>37</v>
      </c>
      <c r="F340" s="16" t="n">
        <v>0</v>
      </c>
      <c r="G340" s="16" t="n">
        <v>34</v>
      </c>
      <c r="H340" s="16" t="n">
        <v>1</v>
      </c>
      <c r="I340" s="16" t="n">
        <v>1</v>
      </c>
      <c r="J340" s="16" t="n">
        <v>1</v>
      </c>
      <c r="K340" s="16" t="n">
        <v>1</v>
      </c>
      <c r="L340" s="16" t="n">
        <v>4</v>
      </c>
      <c r="M340" s="16" t="n">
        <v>3</v>
      </c>
      <c r="N340" s="16" t="n">
        <v>0</v>
      </c>
      <c r="O340" s="9" t="str">
        <f aca="false">IF(B340="","",IFERROR(INDEX(Options!$G$6:$G$85,MATCH($B340,Options!$A$6:$A$85,0)),""))</f>
        <v>Waist</v>
      </c>
      <c r="P340" s="9" t="str">
        <f aca="false">IF(B340="","",IFERROR(INDEX(Options!$H$6:$H$85,MATCH($B340,Options!$A$6:$A$85,0)),""))</f>
        <v>Seasonal</v>
      </c>
      <c r="Q340" s="24" t="n">
        <f aca="false">IF(B340="",0,N(IFERROR(INDEX(Options!$J$6:$J$85,MATCH($B340,Options!$A$6:$A$85,0)),"")))</f>
        <v>70</v>
      </c>
      <c r="R340" s="25" t="n">
        <f aca="false">K340*Settings!$B$10+J340*Settings!$B$11+I340*Settings!$B$12+H340*Settings!$B$13</f>
        <v>1</v>
      </c>
      <c r="S340" s="25" t="n">
        <f aca="false">IFERROR(L340/Settings!$B$8,0)</f>
        <v>0.181818181818182</v>
      </c>
      <c r="T340" s="26" t="n">
        <f aca="false">IF(OR(B340="",P340="End of life"),0,W340*MIN(4,N340))</f>
        <v>0</v>
      </c>
      <c r="U340" s="27" t="n">
        <f aca="false">T340*Q340</f>
        <v>0</v>
      </c>
      <c r="V340" s="14" t="n">
        <f aca="false">IF(B340="",0,G340*N(IFERROR(INDEX(Options!$K$6:$K$85,MATCH($B340,Options!$A$6:$A$85,0)),"")))</f>
        <v>904.4</v>
      </c>
      <c r="W340" s="26" t="n">
        <f aca="false">IF(B340="",0,IF(N340&gt;=4,S340,(H340+I340+J340+K340)/(4-N340)))</f>
        <v>1</v>
      </c>
    </row>
    <row r="341" customFormat="false" ht="15" hidden="false" customHeight="false" outlineLevel="0" collapsed="false">
      <c r="A341" s="16" t="s">
        <v>677</v>
      </c>
      <c r="B341" s="16" t="s">
        <v>301</v>
      </c>
      <c r="C341" s="16" t="s">
        <v>617</v>
      </c>
      <c r="D341" s="16"/>
      <c r="E341" s="16" t="n">
        <v>28</v>
      </c>
      <c r="F341" s="16" t="n">
        <v>0</v>
      </c>
      <c r="G341" s="16" t="n">
        <v>26</v>
      </c>
      <c r="H341" s="16" t="n">
        <v>0</v>
      </c>
      <c r="I341" s="16" t="n">
        <v>0</v>
      </c>
      <c r="J341" s="16" t="n">
        <v>0</v>
      </c>
      <c r="K341" s="16" t="n">
        <v>0</v>
      </c>
      <c r="L341" s="16" t="n">
        <v>2</v>
      </c>
      <c r="M341" s="16" t="n">
        <v>2</v>
      </c>
      <c r="N341" s="16" t="n">
        <v>0</v>
      </c>
      <c r="O341" s="9" t="str">
        <f aca="false">IF(B341="","",IFERROR(INDEX(Options!$G$6:$G$85,MATCH($B341,Options!$A$6:$A$85,0)),""))</f>
        <v>Waist</v>
      </c>
      <c r="P341" s="9" t="str">
        <f aca="false">IF(B341="","",IFERROR(INDEX(Options!$H$6:$H$85,MATCH($B341,Options!$A$6:$A$85,0)),""))</f>
        <v>Seasonal</v>
      </c>
      <c r="Q341" s="24" t="n">
        <f aca="false">IF(B341="",0,N(IFERROR(INDEX(Options!$J$6:$J$85,MATCH($B341,Options!$A$6:$A$85,0)),"")))</f>
        <v>70</v>
      </c>
      <c r="R341" s="25" t="n">
        <f aca="false">K341*Settings!$B$10+J341*Settings!$B$11+I341*Settings!$B$12+H341*Settings!$B$13</f>
        <v>0</v>
      </c>
      <c r="S341" s="25" t="n">
        <f aca="false">IFERROR(L341/Settings!$B$8,0)</f>
        <v>0.0909090909090909</v>
      </c>
      <c r="T341" s="26" t="n">
        <f aca="false">IF(OR(B341="",P341="End of life"),0,W341*MIN(4,N341))</f>
        <v>0</v>
      </c>
      <c r="U341" s="27" t="n">
        <f aca="false">T341*Q341</f>
        <v>0</v>
      </c>
      <c r="V341" s="14" t="n">
        <f aca="false">IF(B341="",0,G341*N(IFERROR(INDEX(Options!$K$6:$K$85,MATCH($B341,Options!$A$6:$A$85,0)),"")))</f>
        <v>691.6</v>
      </c>
      <c r="W341" s="26" t="n">
        <f aca="false">IF(B341="",0,IF(N341&gt;=4,S341,(H341+I341+J341+K341)/(4-N341)))</f>
        <v>0</v>
      </c>
    </row>
    <row r="342" customFormat="false" ht="15" hidden="false" customHeight="false" outlineLevel="0" collapsed="false">
      <c r="A342" s="16" t="s">
        <v>678</v>
      </c>
      <c r="B342" s="16" t="s">
        <v>303</v>
      </c>
      <c r="C342" s="16" t="s">
        <v>607</v>
      </c>
      <c r="D342" s="16"/>
      <c r="E342" s="16" t="n">
        <v>27</v>
      </c>
      <c r="F342" s="16" t="n">
        <v>0</v>
      </c>
      <c r="G342" s="16" t="n">
        <v>8</v>
      </c>
      <c r="H342" s="16" t="n">
        <v>1</v>
      </c>
      <c r="I342" s="16" t="n">
        <v>1</v>
      </c>
      <c r="J342" s="16" t="n">
        <v>1</v>
      </c>
      <c r="K342" s="16" t="n">
        <v>1</v>
      </c>
      <c r="L342" s="16" t="n">
        <v>19</v>
      </c>
      <c r="M342" s="16" t="n">
        <v>17</v>
      </c>
      <c r="N342" s="16" t="n">
        <v>0</v>
      </c>
      <c r="O342" s="9" t="str">
        <f aca="false">IF(B342="","",IFERROR(INDEX(Options!$G$6:$G$85,MATCH($B342,Options!$A$6:$A$85,0)),""))</f>
        <v>Waist</v>
      </c>
      <c r="P342" s="9" t="str">
        <f aca="false">IF(B342="","",IFERROR(INDEX(Options!$H$6:$H$85,MATCH($B342,Options!$A$6:$A$85,0)),""))</f>
        <v>Seasonal</v>
      </c>
      <c r="Q342" s="24" t="n">
        <f aca="false">IF(B342="",0,N(IFERROR(INDEX(Options!$J$6:$J$85,MATCH($B342,Options!$A$6:$A$85,0)),"")))</f>
        <v>65</v>
      </c>
      <c r="R342" s="25" t="n">
        <f aca="false">K342*Settings!$B$10+J342*Settings!$B$11+I342*Settings!$B$12+H342*Settings!$B$13</f>
        <v>1</v>
      </c>
      <c r="S342" s="25" t="n">
        <f aca="false">IFERROR(L342/Settings!$B$8,0)</f>
        <v>0.863636363636364</v>
      </c>
      <c r="T342" s="26" t="n">
        <f aca="false">IF(OR(B342="",P342="End of life"),0,W342*MIN(4,N342))</f>
        <v>0</v>
      </c>
      <c r="U342" s="27" t="n">
        <f aca="false">T342*Q342</f>
        <v>0</v>
      </c>
      <c r="V342" s="14" t="n">
        <f aca="false">IF(B342="",0,G342*N(IFERROR(INDEX(Options!$K$6:$K$85,MATCH($B342,Options!$A$6:$A$85,0)),"")))</f>
        <v>197.6</v>
      </c>
      <c r="W342" s="26" t="n">
        <f aca="false">IF(B342="",0,IF(N342&gt;=4,S342,(H342+I342+J342+K342)/(4-N342)))</f>
        <v>1</v>
      </c>
    </row>
    <row r="343" customFormat="false" ht="15" hidden="false" customHeight="false" outlineLevel="0" collapsed="false">
      <c r="A343" s="16" t="s">
        <v>679</v>
      </c>
      <c r="B343" s="16" t="s">
        <v>303</v>
      </c>
      <c r="C343" s="16" t="s">
        <v>609</v>
      </c>
      <c r="D343" s="16"/>
      <c r="E343" s="16" t="n">
        <v>47</v>
      </c>
      <c r="F343" s="16" t="n">
        <v>0</v>
      </c>
      <c r="G343" s="16" t="n">
        <v>5</v>
      </c>
      <c r="H343" s="16" t="n">
        <v>3</v>
      </c>
      <c r="I343" s="16" t="n">
        <v>2</v>
      </c>
      <c r="J343" s="16" t="n">
        <v>3</v>
      </c>
      <c r="K343" s="16" t="n">
        <v>3</v>
      </c>
      <c r="L343" s="16" t="n">
        <v>42</v>
      </c>
      <c r="M343" s="16" t="n">
        <v>37</v>
      </c>
      <c r="N343" s="16" t="n">
        <v>0</v>
      </c>
      <c r="O343" s="9" t="str">
        <f aca="false">IF(B343="","",IFERROR(INDEX(Options!$G$6:$G$85,MATCH($B343,Options!$A$6:$A$85,0)),""))</f>
        <v>Waist</v>
      </c>
      <c r="P343" s="9" t="str">
        <f aca="false">IF(B343="","",IFERROR(INDEX(Options!$H$6:$H$85,MATCH($B343,Options!$A$6:$A$85,0)),""))</f>
        <v>Seasonal</v>
      </c>
      <c r="Q343" s="24" t="n">
        <f aca="false">IF(B343="",0,N(IFERROR(INDEX(Options!$J$6:$J$85,MATCH($B343,Options!$A$6:$A$85,0)),"")))</f>
        <v>65</v>
      </c>
      <c r="R343" s="25" t="n">
        <f aca="false">K343*Settings!$B$10+J343*Settings!$B$11+I343*Settings!$B$12+H343*Settings!$B$13</f>
        <v>2.8</v>
      </c>
      <c r="S343" s="25" t="n">
        <f aca="false">IFERROR(L343/Settings!$B$8,0)</f>
        <v>1.90909090909091</v>
      </c>
      <c r="T343" s="26" t="n">
        <f aca="false">IF(OR(B343="",P343="End of life"),0,W343*MIN(4,N343))</f>
        <v>0</v>
      </c>
      <c r="U343" s="27" t="n">
        <f aca="false">T343*Q343</f>
        <v>0</v>
      </c>
      <c r="V343" s="14" t="n">
        <f aca="false">IF(B343="",0,G343*N(IFERROR(INDEX(Options!$K$6:$K$85,MATCH($B343,Options!$A$6:$A$85,0)),"")))</f>
        <v>123.5</v>
      </c>
      <c r="W343" s="26" t="n">
        <f aca="false">IF(B343="",0,IF(N343&gt;=4,S343,(H343+I343+J343+K343)/(4-N343)))</f>
        <v>2.75</v>
      </c>
    </row>
    <row r="344" customFormat="false" ht="15" hidden="false" customHeight="false" outlineLevel="0" collapsed="false">
      <c r="A344" s="16" t="s">
        <v>680</v>
      </c>
      <c r="B344" s="16" t="s">
        <v>303</v>
      </c>
      <c r="C344" s="16" t="s">
        <v>611</v>
      </c>
      <c r="D344" s="16" t="s">
        <v>183</v>
      </c>
      <c r="E344" s="16" t="n">
        <v>87</v>
      </c>
      <c r="F344" s="16" t="n">
        <v>0</v>
      </c>
      <c r="G344" s="16" t="n">
        <v>5</v>
      </c>
      <c r="H344" s="16" t="n">
        <v>3</v>
      </c>
      <c r="I344" s="16" t="n">
        <v>4</v>
      </c>
      <c r="J344" s="16" t="n">
        <v>5</v>
      </c>
      <c r="K344" s="16" t="n">
        <v>4</v>
      </c>
      <c r="L344" s="16" t="n">
        <v>82</v>
      </c>
      <c r="M344" s="16" t="n">
        <v>72</v>
      </c>
      <c r="N344" s="16" t="n">
        <v>0</v>
      </c>
      <c r="O344" s="9" t="str">
        <f aca="false">IF(B344="","",IFERROR(INDEX(Options!$G$6:$G$85,MATCH($B344,Options!$A$6:$A$85,0)),""))</f>
        <v>Waist</v>
      </c>
      <c r="P344" s="9" t="str">
        <f aca="false">IF(B344="","",IFERROR(INDEX(Options!$H$6:$H$85,MATCH($B344,Options!$A$6:$A$85,0)),""))</f>
        <v>Seasonal</v>
      </c>
      <c r="Q344" s="24" t="n">
        <f aca="false">IF(B344="",0,N(IFERROR(INDEX(Options!$J$6:$J$85,MATCH($B344,Options!$A$6:$A$85,0)),"")))</f>
        <v>65</v>
      </c>
      <c r="R344" s="25" t="n">
        <f aca="false">K344*Settings!$B$10+J344*Settings!$B$11+I344*Settings!$B$12+H344*Settings!$B$13</f>
        <v>4.2</v>
      </c>
      <c r="S344" s="25" t="n">
        <f aca="false">IFERROR(L344/Settings!$B$8,0)</f>
        <v>3.72727272727273</v>
      </c>
      <c r="T344" s="26" t="n">
        <f aca="false">IF(OR(B344="",P344="End of life"),0,W344*MIN(4,N344))</f>
        <v>0</v>
      </c>
      <c r="U344" s="27" t="n">
        <f aca="false">T344*Q344</f>
        <v>0</v>
      </c>
      <c r="V344" s="14" t="n">
        <f aca="false">IF(B344="",0,G344*N(IFERROR(INDEX(Options!$K$6:$K$85,MATCH($B344,Options!$A$6:$A$85,0)),"")))</f>
        <v>123.5</v>
      </c>
      <c r="W344" s="26" t="n">
        <f aca="false">IF(B344="",0,IF(N344&gt;=4,S344,(H344+I344+J344+K344)/(4-N344)))</f>
        <v>4</v>
      </c>
    </row>
    <row r="345" customFormat="false" ht="15" hidden="false" customHeight="false" outlineLevel="0" collapsed="false">
      <c r="A345" s="16" t="s">
        <v>681</v>
      </c>
      <c r="B345" s="16" t="s">
        <v>303</v>
      </c>
      <c r="C345" s="16" t="s">
        <v>613</v>
      </c>
      <c r="D345" s="16" t="s">
        <v>183</v>
      </c>
      <c r="E345" s="16" t="n">
        <v>87</v>
      </c>
      <c r="F345" s="16" t="n">
        <v>0</v>
      </c>
      <c r="G345" s="16" t="n">
        <v>8</v>
      </c>
      <c r="H345" s="16" t="n">
        <v>4</v>
      </c>
      <c r="I345" s="16" t="n">
        <v>4</v>
      </c>
      <c r="J345" s="16" t="n">
        <v>5</v>
      </c>
      <c r="K345" s="16" t="n">
        <v>5</v>
      </c>
      <c r="L345" s="16" t="n">
        <v>79</v>
      </c>
      <c r="M345" s="16" t="n">
        <v>70</v>
      </c>
      <c r="N345" s="16" t="n">
        <v>0</v>
      </c>
      <c r="O345" s="9" t="str">
        <f aca="false">IF(B345="","",IFERROR(INDEX(Options!$G$6:$G$85,MATCH($B345,Options!$A$6:$A$85,0)),""))</f>
        <v>Waist</v>
      </c>
      <c r="P345" s="9" t="str">
        <f aca="false">IF(B345="","",IFERROR(INDEX(Options!$H$6:$H$85,MATCH($B345,Options!$A$6:$A$85,0)),""))</f>
        <v>Seasonal</v>
      </c>
      <c r="Q345" s="24" t="n">
        <f aca="false">IF(B345="",0,N(IFERROR(INDEX(Options!$J$6:$J$85,MATCH($B345,Options!$A$6:$A$85,0)),"")))</f>
        <v>65</v>
      </c>
      <c r="R345" s="25" t="n">
        <f aca="false">K345*Settings!$B$10+J345*Settings!$B$11+I345*Settings!$B$12+H345*Settings!$B$13</f>
        <v>4.7</v>
      </c>
      <c r="S345" s="25" t="n">
        <f aca="false">IFERROR(L345/Settings!$B$8,0)</f>
        <v>3.59090909090909</v>
      </c>
      <c r="T345" s="26" t="n">
        <f aca="false">IF(OR(B345="",P345="End of life"),0,W345*MIN(4,N345))</f>
        <v>0</v>
      </c>
      <c r="U345" s="27" t="n">
        <f aca="false">T345*Q345</f>
        <v>0</v>
      </c>
      <c r="V345" s="14" t="n">
        <f aca="false">IF(B345="",0,G345*N(IFERROR(INDEX(Options!$K$6:$K$85,MATCH($B345,Options!$A$6:$A$85,0)),"")))</f>
        <v>197.6</v>
      </c>
      <c r="W345" s="26" t="n">
        <f aca="false">IF(B345="",0,IF(N345&gt;=4,S345,(H345+I345+J345+K345)/(4-N345)))</f>
        <v>4.5</v>
      </c>
    </row>
    <row r="346" customFormat="false" ht="15" hidden="false" customHeight="false" outlineLevel="0" collapsed="false">
      <c r="A346" s="16" t="s">
        <v>682</v>
      </c>
      <c r="B346" s="16" t="s">
        <v>303</v>
      </c>
      <c r="C346" s="16" t="s">
        <v>615</v>
      </c>
      <c r="D346" s="16" t="s">
        <v>183</v>
      </c>
      <c r="E346" s="16" t="n">
        <v>60</v>
      </c>
      <c r="F346" s="16" t="n">
        <v>0</v>
      </c>
      <c r="G346" s="16" t="n">
        <v>9</v>
      </c>
      <c r="H346" s="16" t="n">
        <v>3</v>
      </c>
      <c r="I346" s="16" t="n">
        <v>3</v>
      </c>
      <c r="J346" s="16" t="n">
        <v>4</v>
      </c>
      <c r="K346" s="16" t="n">
        <v>3</v>
      </c>
      <c r="L346" s="16" t="n">
        <v>51</v>
      </c>
      <c r="M346" s="16" t="n">
        <v>45</v>
      </c>
      <c r="N346" s="16" t="n">
        <v>0</v>
      </c>
      <c r="O346" s="9" t="str">
        <f aca="false">IF(B346="","",IFERROR(INDEX(Options!$G$6:$G$85,MATCH($B346,Options!$A$6:$A$85,0)),""))</f>
        <v>Waist</v>
      </c>
      <c r="P346" s="9" t="str">
        <f aca="false">IF(B346="","",IFERROR(INDEX(Options!$H$6:$H$85,MATCH($B346,Options!$A$6:$A$85,0)),""))</f>
        <v>Seasonal</v>
      </c>
      <c r="Q346" s="24" t="n">
        <f aca="false">IF(B346="",0,N(IFERROR(INDEX(Options!$J$6:$J$85,MATCH($B346,Options!$A$6:$A$85,0)),"")))</f>
        <v>65</v>
      </c>
      <c r="R346" s="25" t="n">
        <f aca="false">K346*Settings!$B$10+J346*Settings!$B$11+I346*Settings!$B$12+H346*Settings!$B$13</f>
        <v>3.3</v>
      </c>
      <c r="S346" s="25" t="n">
        <f aca="false">IFERROR(L346/Settings!$B$8,0)</f>
        <v>2.31818181818182</v>
      </c>
      <c r="T346" s="26" t="n">
        <f aca="false">IF(OR(B346="",P346="End of life"),0,W346*MIN(4,N346))</f>
        <v>0</v>
      </c>
      <c r="U346" s="27" t="n">
        <f aca="false">T346*Q346</f>
        <v>0</v>
      </c>
      <c r="V346" s="14" t="n">
        <f aca="false">IF(B346="",0,G346*N(IFERROR(INDEX(Options!$K$6:$K$85,MATCH($B346,Options!$A$6:$A$85,0)),"")))</f>
        <v>222.3</v>
      </c>
      <c r="W346" s="26" t="n">
        <f aca="false">IF(B346="",0,IF(N346&gt;=4,S346,(H346+I346+J346+K346)/(4-N346)))</f>
        <v>3.25</v>
      </c>
    </row>
    <row r="347" customFormat="false" ht="15" hidden="false" customHeight="false" outlineLevel="0" collapsed="false">
      <c r="A347" s="16" t="s">
        <v>683</v>
      </c>
      <c r="B347" s="16" t="s">
        <v>303</v>
      </c>
      <c r="C347" s="16" t="s">
        <v>617</v>
      </c>
      <c r="D347" s="16"/>
      <c r="E347" s="16" t="n">
        <v>45</v>
      </c>
      <c r="F347" s="16" t="n">
        <v>0</v>
      </c>
      <c r="G347" s="16" t="n">
        <v>17</v>
      </c>
      <c r="H347" s="16" t="n">
        <v>1</v>
      </c>
      <c r="I347" s="16" t="n">
        <v>2</v>
      </c>
      <c r="J347" s="16" t="n">
        <v>2</v>
      </c>
      <c r="K347" s="16" t="n">
        <v>2</v>
      </c>
      <c r="L347" s="16" t="n">
        <v>28</v>
      </c>
      <c r="M347" s="16" t="n">
        <v>25</v>
      </c>
      <c r="N347" s="16" t="n">
        <v>0</v>
      </c>
      <c r="O347" s="9" t="str">
        <f aca="false">IF(B347="","",IFERROR(INDEX(Options!$G$6:$G$85,MATCH($B347,Options!$A$6:$A$85,0)),""))</f>
        <v>Waist</v>
      </c>
      <c r="P347" s="9" t="str">
        <f aca="false">IF(B347="","",IFERROR(INDEX(Options!$H$6:$H$85,MATCH($B347,Options!$A$6:$A$85,0)),""))</f>
        <v>Seasonal</v>
      </c>
      <c r="Q347" s="24" t="n">
        <f aca="false">IF(B347="",0,N(IFERROR(INDEX(Options!$J$6:$J$85,MATCH($B347,Options!$A$6:$A$85,0)),"")))</f>
        <v>65</v>
      </c>
      <c r="R347" s="25" t="n">
        <f aca="false">K347*Settings!$B$10+J347*Settings!$B$11+I347*Settings!$B$12+H347*Settings!$B$13</f>
        <v>1.9</v>
      </c>
      <c r="S347" s="25" t="n">
        <f aca="false">IFERROR(L347/Settings!$B$8,0)</f>
        <v>1.27272727272727</v>
      </c>
      <c r="T347" s="26" t="n">
        <f aca="false">IF(OR(B347="",P347="End of life"),0,W347*MIN(4,N347))</f>
        <v>0</v>
      </c>
      <c r="U347" s="27" t="n">
        <f aca="false">T347*Q347</f>
        <v>0</v>
      </c>
      <c r="V347" s="14" t="n">
        <f aca="false">IF(B347="",0,G347*N(IFERROR(INDEX(Options!$K$6:$K$85,MATCH($B347,Options!$A$6:$A$85,0)),"")))</f>
        <v>419.9</v>
      </c>
      <c r="W347" s="26" t="n">
        <f aca="false">IF(B347="",0,IF(N347&gt;=4,S347,(H347+I347+J347+K347)/(4-N347)))</f>
        <v>1.75</v>
      </c>
    </row>
    <row r="348" customFormat="false" ht="15" hidden="false" customHeight="false" outlineLevel="0" collapsed="false">
      <c r="A348" s="16" t="s">
        <v>684</v>
      </c>
      <c r="B348" s="16" t="s">
        <v>306</v>
      </c>
      <c r="C348" s="16" t="s">
        <v>607</v>
      </c>
      <c r="D348" s="16"/>
      <c r="E348" s="16" t="n">
        <v>47</v>
      </c>
      <c r="F348" s="16" t="n">
        <v>0</v>
      </c>
      <c r="G348" s="16" t="n">
        <v>21</v>
      </c>
      <c r="H348" s="16" t="n">
        <v>1</v>
      </c>
      <c r="I348" s="16" t="n">
        <v>1</v>
      </c>
      <c r="J348" s="16" t="n">
        <v>1</v>
      </c>
      <c r="K348" s="16" t="n">
        <v>1</v>
      </c>
      <c r="L348" s="16" t="n">
        <v>26</v>
      </c>
      <c r="M348" s="16" t="n">
        <v>23</v>
      </c>
      <c r="N348" s="16" t="n">
        <v>0</v>
      </c>
      <c r="O348" s="9" t="str">
        <f aca="false">IF(B348="","",IFERROR(INDEX(Options!$G$6:$G$85,MATCH($B348,Options!$A$6:$A$85,0)),""))</f>
        <v>Waist</v>
      </c>
      <c r="P348" s="9" t="str">
        <f aca="false">IF(B348="","",IFERROR(INDEX(Options!$H$6:$H$85,MATCH($B348,Options!$A$6:$A$85,0)),""))</f>
        <v>Seasonal</v>
      </c>
      <c r="Q348" s="24" t="n">
        <f aca="false">IF(B348="",0,N(IFERROR(INDEX(Options!$J$6:$J$85,MATCH($B348,Options!$A$6:$A$85,0)),"")))</f>
        <v>65</v>
      </c>
      <c r="R348" s="25" t="n">
        <f aca="false">K348*Settings!$B$10+J348*Settings!$B$11+I348*Settings!$B$12+H348*Settings!$B$13</f>
        <v>1</v>
      </c>
      <c r="S348" s="25" t="n">
        <f aca="false">IFERROR(L348/Settings!$B$8,0)</f>
        <v>1.18181818181818</v>
      </c>
      <c r="T348" s="26" t="n">
        <f aca="false">IF(OR(B348="",P348="End of life"),0,W348*MIN(4,N348))</f>
        <v>0</v>
      </c>
      <c r="U348" s="27" t="n">
        <f aca="false">T348*Q348</f>
        <v>0</v>
      </c>
      <c r="V348" s="14" t="n">
        <f aca="false">IF(B348="",0,G348*N(IFERROR(INDEX(Options!$K$6:$K$85,MATCH($B348,Options!$A$6:$A$85,0)),"")))</f>
        <v>518.7</v>
      </c>
      <c r="W348" s="26" t="n">
        <f aca="false">IF(B348="",0,IF(N348&gt;=4,S348,(H348+I348+J348+K348)/(4-N348)))</f>
        <v>1</v>
      </c>
    </row>
    <row r="349" customFormat="false" ht="15" hidden="false" customHeight="false" outlineLevel="0" collapsed="false">
      <c r="A349" s="16" t="s">
        <v>685</v>
      </c>
      <c r="B349" s="16" t="s">
        <v>306</v>
      </c>
      <c r="C349" s="16" t="s">
        <v>609</v>
      </c>
      <c r="D349" s="16"/>
      <c r="E349" s="16" t="n">
        <v>82</v>
      </c>
      <c r="F349" s="16" t="n">
        <v>0</v>
      </c>
      <c r="G349" s="16" t="n">
        <v>13</v>
      </c>
      <c r="H349" s="16" t="n">
        <v>3</v>
      </c>
      <c r="I349" s="16" t="n">
        <v>3</v>
      </c>
      <c r="J349" s="16" t="n">
        <v>3</v>
      </c>
      <c r="K349" s="16" t="n">
        <v>4</v>
      </c>
      <c r="L349" s="16" t="n">
        <v>69</v>
      </c>
      <c r="M349" s="16" t="n">
        <v>61</v>
      </c>
      <c r="N349" s="16" t="n">
        <v>0</v>
      </c>
      <c r="O349" s="9" t="str">
        <f aca="false">IF(B349="","",IFERROR(INDEX(Options!$G$6:$G$85,MATCH($B349,Options!$A$6:$A$85,0)),""))</f>
        <v>Waist</v>
      </c>
      <c r="P349" s="9" t="str">
        <f aca="false">IF(B349="","",IFERROR(INDEX(Options!$H$6:$H$85,MATCH($B349,Options!$A$6:$A$85,0)),""))</f>
        <v>Seasonal</v>
      </c>
      <c r="Q349" s="24" t="n">
        <f aca="false">IF(B349="",0,N(IFERROR(INDEX(Options!$J$6:$J$85,MATCH($B349,Options!$A$6:$A$85,0)),"")))</f>
        <v>65</v>
      </c>
      <c r="R349" s="25" t="n">
        <f aca="false">K349*Settings!$B$10+J349*Settings!$B$11+I349*Settings!$B$12+H349*Settings!$B$13</f>
        <v>3.4</v>
      </c>
      <c r="S349" s="25" t="n">
        <f aca="false">IFERROR(L349/Settings!$B$8,0)</f>
        <v>3.13636363636364</v>
      </c>
      <c r="T349" s="26" t="n">
        <f aca="false">IF(OR(B349="",P349="End of life"),0,W349*MIN(4,N349))</f>
        <v>0</v>
      </c>
      <c r="U349" s="27" t="n">
        <f aca="false">T349*Q349</f>
        <v>0</v>
      </c>
      <c r="V349" s="14" t="n">
        <f aca="false">IF(B349="",0,G349*N(IFERROR(INDEX(Options!$K$6:$K$85,MATCH($B349,Options!$A$6:$A$85,0)),"")))</f>
        <v>321.1</v>
      </c>
      <c r="W349" s="26" t="n">
        <f aca="false">IF(B349="",0,IF(N349&gt;=4,S349,(H349+I349+J349+K349)/(4-N349)))</f>
        <v>3.25</v>
      </c>
    </row>
    <row r="350" customFormat="false" ht="15" hidden="false" customHeight="false" outlineLevel="0" collapsed="false">
      <c r="A350" s="16" t="s">
        <v>686</v>
      </c>
      <c r="B350" s="16" t="s">
        <v>306</v>
      </c>
      <c r="C350" s="16" t="s">
        <v>611</v>
      </c>
      <c r="D350" s="16" t="s">
        <v>183</v>
      </c>
      <c r="E350" s="16" t="n">
        <v>152</v>
      </c>
      <c r="F350" s="16" t="n">
        <v>0</v>
      </c>
      <c r="G350" s="16" t="n">
        <v>26</v>
      </c>
      <c r="H350" s="16" t="n">
        <v>5</v>
      </c>
      <c r="I350" s="16" t="n">
        <v>4</v>
      </c>
      <c r="J350" s="16" t="n">
        <v>7</v>
      </c>
      <c r="K350" s="16" t="n">
        <v>7</v>
      </c>
      <c r="L350" s="16" t="n">
        <v>126</v>
      </c>
      <c r="M350" s="16" t="n">
        <v>111</v>
      </c>
      <c r="N350" s="16" t="n">
        <v>0</v>
      </c>
      <c r="O350" s="9" t="str">
        <f aca="false">IF(B350="","",IFERROR(INDEX(Options!$G$6:$G$85,MATCH($B350,Options!$A$6:$A$85,0)),""))</f>
        <v>Waist</v>
      </c>
      <c r="P350" s="9" t="str">
        <f aca="false">IF(B350="","",IFERROR(INDEX(Options!$H$6:$H$85,MATCH($B350,Options!$A$6:$A$85,0)),""))</f>
        <v>Seasonal</v>
      </c>
      <c r="Q350" s="24" t="n">
        <f aca="false">IF(B350="",0,N(IFERROR(INDEX(Options!$J$6:$J$85,MATCH($B350,Options!$A$6:$A$85,0)),"")))</f>
        <v>65</v>
      </c>
      <c r="R350" s="25" t="n">
        <f aca="false">K350*Settings!$B$10+J350*Settings!$B$11+I350*Settings!$B$12+H350*Settings!$B$13</f>
        <v>6.2</v>
      </c>
      <c r="S350" s="25" t="n">
        <f aca="false">IFERROR(L350/Settings!$B$8,0)</f>
        <v>5.72727272727273</v>
      </c>
      <c r="T350" s="26" t="n">
        <f aca="false">IF(OR(B350="",P350="End of life"),0,W350*MIN(4,N350))</f>
        <v>0</v>
      </c>
      <c r="U350" s="27" t="n">
        <f aca="false">T350*Q350</f>
        <v>0</v>
      </c>
      <c r="V350" s="14" t="n">
        <f aca="false">IF(B350="",0,G350*N(IFERROR(INDEX(Options!$K$6:$K$85,MATCH($B350,Options!$A$6:$A$85,0)),"")))</f>
        <v>642.2</v>
      </c>
      <c r="W350" s="26" t="n">
        <f aca="false">IF(B350="",0,IF(N350&gt;=4,S350,(H350+I350+J350+K350)/(4-N350)))</f>
        <v>5.75</v>
      </c>
    </row>
    <row r="351" customFormat="false" ht="15" hidden="false" customHeight="false" outlineLevel="0" collapsed="false">
      <c r="A351" s="16" t="s">
        <v>687</v>
      </c>
      <c r="B351" s="16" t="s">
        <v>306</v>
      </c>
      <c r="C351" s="16" t="s">
        <v>613</v>
      </c>
      <c r="D351" s="16" t="s">
        <v>183</v>
      </c>
      <c r="E351" s="16" t="n">
        <v>152</v>
      </c>
      <c r="F351" s="16" t="n">
        <v>0</v>
      </c>
      <c r="G351" s="16" t="n">
        <v>35</v>
      </c>
      <c r="H351" s="16" t="n">
        <v>5</v>
      </c>
      <c r="I351" s="16" t="n">
        <v>5</v>
      </c>
      <c r="J351" s="16" t="n">
        <v>6</v>
      </c>
      <c r="K351" s="16" t="n">
        <v>6</v>
      </c>
      <c r="L351" s="16" t="n">
        <v>117</v>
      </c>
      <c r="M351" s="16" t="n">
        <v>103</v>
      </c>
      <c r="N351" s="16" t="n">
        <v>0</v>
      </c>
      <c r="O351" s="9" t="str">
        <f aca="false">IF(B351="","",IFERROR(INDEX(Options!$G$6:$G$85,MATCH($B351,Options!$A$6:$A$85,0)),""))</f>
        <v>Waist</v>
      </c>
      <c r="P351" s="9" t="str">
        <f aca="false">IF(B351="","",IFERROR(INDEX(Options!$H$6:$H$85,MATCH($B351,Options!$A$6:$A$85,0)),""))</f>
        <v>Seasonal</v>
      </c>
      <c r="Q351" s="24" t="n">
        <f aca="false">IF(B351="",0,N(IFERROR(INDEX(Options!$J$6:$J$85,MATCH($B351,Options!$A$6:$A$85,0)),"")))</f>
        <v>65</v>
      </c>
      <c r="R351" s="25" t="n">
        <f aca="false">K351*Settings!$B$10+J351*Settings!$B$11+I351*Settings!$B$12+H351*Settings!$B$13</f>
        <v>5.7</v>
      </c>
      <c r="S351" s="25" t="n">
        <f aca="false">IFERROR(L351/Settings!$B$8,0)</f>
        <v>5.31818181818182</v>
      </c>
      <c r="T351" s="26" t="n">
        <f aca="false">IF(OR(B351="",P351="End of life"),0,W351*MIN(4,N351))</f>
        <v>0</v>
      </c>
      <c r="U351" s="27" t="n">
        <f aca="false">T351*Q351</f>
        <v>0</v>
      </c>
      <c r="V351" s="14" t="n">
        <f aca="false">IF(B351="",0,G351*N(IFERROR(INDEX(Options!$K$6:$K$85,MATCH($B351,Options!$A$6:$A$85,0)),"")))</f>
        <v>864.5</v>
      </c>
      <c r="W351" s="26" t="n">
        <f aca="false">IF(B351="",0,IF(N351&gt;=4,S351,(H351+I351+J351+K351)/(4-N351)))</f>
        <v>5.5</v>
      </c>
    </row>
    <row r="352" customFormat="false" ht="15" hidden="false" customHeight="false" outlineLevel="0" collapsed="false">
      <c r="A352" s="16" t="s">
        <v>688</v>
      </c>
      <c r="B352" s="16" t="s">
        <v>306</v>
      </c>
      <c r="C352" s="16" t="s">
        <v>615</v>
      </c>
      <c r="D352" s="16" t="s">
        <v>183</v>
      </c>
      <c r="E352" s="16" t="n">
        <v>105</v>
      </c>
      <c r="F352" s="16" t="n">
        <v>0</v>
      </c>
      <c r="G352" s="16" t="n">
        <v>29</v>
      </c>
      <c r="H352" s="16" t="n">
        <v>4</v>
      </c>
      <c r="I352" s="16" t="n">
        <v>4</v>
      </c>
      <c r="J352" s="16" t="n">
        <v>4</v>
      </c>
      <c r="K352" s="16" t="n">
        <v>5</v>
      </c>
      <c r="L352" s="16" t="n">
        <v>76</v>
      </c>
      <c r="M352" s="16" t="n">
        <v>67</v>
      </c>
      <c r="N352" s="16" t="n">
        <v>0</v>
      </c>
      <c r="O352" s="9" t="str">
        <f aca="false">IF(B352="","",IFERROR(INDEX(Options!$G$6:$G$85,MATCH($B352,Options!$A$6:$A$85,0)),""))</f>
        <v>Waist</v>
      </c>
      <c r="P352" s="9" t="str">
        <f aca="false">IF(B352="","",IFERROR(INDEX(Options!$H$6:$H$85,MATCH($B352,Options!$A$6:$A$85,0)),""))</f>
        <v>Seasonal</v>
      </c>
      <c r="Q352" s="24" t="n">
        <f aca="false">IF(B352="",0,N(IFERROR(INDEX(Options!$J$6:$J$85,MATCH($B352,Options!$A$6:$A$85,0)),"")))</f>
        <v>65</v>
      </c>
      <c r="R352" s="25" t="n">
        <f aca="false">K352*Settings!$B$10+J352*Settings!$B$11+I352*Settings!$B$12+H352*Settings!$B$13</f>
        <v>4.4</v>
      </c>
      <c r="S352" s="25" t="n">
        <f aca="false">IFERROR(L352/Settings!$B$8,0)</f>
        <v>3.45454545454545</v>
      </c>
      <c r="T352" s="26" t="n">
        <f aca="false">IF(OR(B352="",P352="End of life"),0,W352*MIN(4,N352))</f>
        <v>0</v>
      </c>
      <c r="U352" s="27" t="n">
        <f aca="false">T352*Q352</f>
        <v>0</v>
      </c>
      <c r="V352" s="14" t="n">
        <f aca="false">IF(B352="",0,G352*N(IFERROR(INDEX(Options!$K$6:$K$85,MATCH($B352,Options!$A$6:$A$85,0)),"")))</f>
        <v>716.3</v>
      </c>
      <c r="W352" s="26" t="n">
        <f aca="false">IF(B352="",0,IF(N352&gt;=4,S352,(H352+I352+J352+K352)/(4-N352)))</f>
        <v>4.25</v>
      </c>
    </row>
    <row r="353" customFormat="false" ht="15" hidden="false" customHeight="false" outlineLevel="0" collapsed="false">
      <c r="A353" s="16" t="s">
        <v>689</v>
      </c>
      <c r="B353" s="16" t="s">
        <v>306</v>
      </c>
      <c r="C353" s="16" t="s">
        <v>617</v>
      </c>
      <c r="D353" s="16"/>
      <c r="E353" s="16" t="n">
        <v>79</v>
      </c>
      <c r="F353" s="16" t="n">
        <v>0</v>
      </c>
      <c r="G353" s="16" t="n">
        <v>33</v>
      </c>
      <c r="H353" s="16" t="n">
        <v>1</v>
      </c>
      <c r="I353" s="16" t="n">
        <v>2</v>
      </c>
      <c r="J353" s="16" t="n">
        <v>2</v>
      </c>
      <c r="K353" s="16" t="n">
        <v>3</v>
      </c>
      <c r="L353" s="16" t="n">
        <v>46</v>
      </c>
      <c r="M353" s="16" t="n">
        <v>40</v>
      </c>
      <c r="N353" s="16" t="n">
        <v>0</v>
      </c>
      <c r="O353" s="9" t="str">
        <f aca="false">IF(B353="","",IFERROR(INDEX(Options!$G$6:$G$85,MATCH($B353,Options!$A$6:$A$85,0)),""))</f>
        <v>Waist</v>
      </c>
      <c r="P353" s="9" t="str">
        <f aca="false">IF(B353="","",IFERROR(INDEX(Options!$H$6:$H$85,MATCH($B353,Options!$A$6:$A$85,0)),""))</f>
        <v>Seasonal</v>
      </c>
      <c r="Q353" s="24" t="n">
        <f aca="false">IF(B353="",0,N(IFERROR(INDEX(Options!$J$6:$J$85,MATCH($B353,Options!$A$6:$A$85,0)),"")))</f>
        <v>65</v>
      </c>
      <c r="R353" s="25" t="n">
        <f aca="false">K353*Settings!$B$10+J353*Settings!$B$11+I353*Settings!$B$12+H353*Settings!$B$13</f>
        <v>2.3</v>
      </c>
      <c r="S353" s="25" t="n">
        <f aca="false">IFERROR(L353/Settings!$B$8,0)</f>
        <v>2.09090909090909</v>
      </c>
      <c r="T353" s="26" t="n">
        <f aca="false">IF(OR(B353="",P353="End of life"),0,W353*MIN(4,N353))</f>
        <v>0</v>
      </c>
      <c r="U353" s="27" t="n">
        <f aca="false">T353*Q353</f>
        <v>0</v>
      </c>
      <c r="V353" s="14" t="n">
        <f aca="false">IF(B353="",0,G353*N(IFERROR(INDEX(Options!$K$6:$K$85,MATCH($B353,Options!$A$6:$A$85,0)),"")))</f>
        <v>815.1</v>
      </c>
      <c r="W353" s="26" t="n">
        <f aca="false">IF(B353="",0,IF(N353&gt;=4,S353,(H353+I353+J353+K353)/(4-N353)))</f>
        <v>2</v>
      </c>
    </row>
    <row r="354" customFormat="false" ht="15" hidden="false" customHeight="false" outlineLevel="0" collapsed="false">
      <c r="A354" s="16" t="s">
        <v>690</v>
      </c>
      <c r="B354" s="16" t="s">
        <v>307</v>
      </c>
      <c r="C354" s="16" t="s">
        <v>607</v>
      </c>
      <c r="D354" s="16"/>
      <c r="E354" s="16" t="n">
        <v>36</v>
      </c>
      <c r="F354" s="16" t="n">
        <v>0</v>
      </c>
      <c r="G354" s="16" t="n">
        <v>14</v>
      </c>
      <c r="H354" s="16" t="n">
        <v>1</v>
      </c>
      <c r="I354" s="16" t="n">
        <v>1</v>
      </c>
      <c r="J354" s="16" t="n">
        <v>2</v>
      </c>
      <c r="K354" s="16" t="n">
        <v>2</v>
      </c>
      <c r="L354" s="16" t="n">
        <v>22</v>
      </c>
      <c r="M354" s="16" t="n">
        <v>19</v>
      </c>
      <c r="N354" s="16" t="n">
        <v>0</v>
      </c>
      <c r="O354" s="9" t="str">
        <f aca="false">IF(B354="","",IFERROR(INDEX(Options!$G$6:$G$85,MATCH($B354,Options!$A$6:$A$85,0)),""))</f>
        <v>Waist</v>
      </c>
      <c r="P354" s="9" t="str">
        <f aca="false">IF(B354="","",IFERROR(INDEX(Options!$H$6:$H$85,MATCH($B354,Options!$A$6:$A$85,0)),""))</f>
        <v>Seasonal</v>
      </c>
      <c r="Q354" s="24" t="n">
        <f aca="false">IF(B354="",0,N(IFERROR(INDEX(Options!$J$6:$J$85,MATCH($B354,Options!$A$6:$A$85,0)),"")))</f>
        <v>65</v>
      </c>
      <c r="R354" s="25" t="n">
        <f aca="false">K354*Settings!$B$10+J354*Settings!$B$11+I354*Settings!$B$12+H354*Settings!$B$13</f>
        <v>1.7</v>
      </c>
      <c r="S354" s="25" t="n">
        <f aca="false">IFERROR(L354/Settings!$B$8,0)</f>
        <v>1</v>
      </c>
      <c r="T354" s="26" t="n">
        <f aca="false">IF(OR(B354="",P354="End of life"),0,W354*MIN(4,N354))</f>
        <v>0</v>
      </c>
      <c r="U354" s="27" t="n">
        <f aca="false">T354*Q354</f>
        <v>0</v>
      </c>
      <c r="V354" s="14" t="n">
        <f aca="false">IF(B354="",0,G354*N(IFERROR(INDEX(Options!$K$6:$K$85,MATCH($B354,Options!$A$6:$A$85,0)),"")))</f>
        <v>345.8</v>
      </c>
      <c r="W354" s="26" t="n">
        <f aca="false">IF(B354="",0,IF(N354&gt;=4,S354,(H354+I354+J354+K354)/(4-N354)))</f>
        <v>1.5</v>
      </c>
    </row>
    <row r="355" customFormat="false" ht="15" hidden="false" customHeight="false" outlineLevel="0" collapsed="false">
      <c r="A355" s="16" t="s">
        <v>691</v>
      </c>
      <c r="B355" s="16" t="s">
        <v>307</v>
      </c>
      <c r="C355" s="16" t="s">
        <v>609</v>
      </c>
      <c r="D355" s="16"/>
      <c r="E355" s="16" t="n">
        <v>62</v>
      </c>
      <c r="F355" s="16" t="n">
        <v>0</v>
      </c>
      <c r="G355" s="16" t="n">
        <v>7</v>
      </c>
      <c r="H355" s="16" t="n">
        <v>3</v>
      </c>
      <c r="I355" s="16" t="n">
        <v>2</v>
      </c>
      <c r="J355" s="16" t="n">
        <v>4</v>
      </c>
      <c r="K355" s="16" t="n">
        <v>4</v>
      </c>
      <c r="L355" s="16" t="n">
        <v>55</v>
      </c>
      <c r="M355" s="16" t="n">
        <v>48</v>
      </c>
      <c r="N355" s="16" t="n">
        <v>0</v>
      </c>
      <c r="O355" s="9" t="str">
        <f aca="false">IF(B355="","",IFERROR(INDEX(Options!$G$6:$G$85,MATCH($B355,Options!$A$6:$A$85,0)),""))</f>
        <v>Waist</v>
      </c>
      <c r="P355" s="9" t="str">
        <f aca="false">IF(B355="","",IFERROR(INDEX(Options!$H$6:$H$85,MATCH($B355,Options!$A$6:$A$85,0)),""))</f>
        <v>Seasonal</v>
      </c>
      <c r="Q355" s="24" t="n">
        <f aca="false">IF(B355="",0,N(IFERROR(INDEX(Options!$J$6:$J$85,MATCH($B355,Options!$A$6:$A$85,0)),"")))</f>
        <v>65</v>
      </c>
      <c r="R355" s="25" t="n">
        <f aca="false">K355*Settings!$B$10+J355*Settings!$B$11+I355*Settings!$B$12+H355*Settings!$B$13</f>
        <v>3.5</v>
      </c>
      <c r="S355" s="25" t="n">
        <f aca="false">IFERROR(L355/Settings!$B$8,0)</f>
        <v>2.5</v>
      </c>
      <c r="T355" s="26" t="n">
        <f aca="false">IF(OR(B355="",P355="End of life"),0,W355*MIN(4,N355))</f>
        <v>0</v>
      </c>
      <c r="U355" s="27" t="n">
        <f aca="false">T355*Q355</f>
        <v>0</v>
      </c>
      <c r="V355" s="14" t="n">
        <f aca="false">IF(B355="",0,G355*N(IFERROR(INDEX(Options!$K$6:$K$85,MATCH($B355,Options!$A$6:$A$85,0)),"")))</f>
        <v>172.9</v>
      </c>
      <c r="W355" s="26" t="n">
        <f aca="false">IF(B355="",0,IF(N355&gt;=4,S355,(H355+I355+J355+K355)/(4-N355)))</f>
        <v>3.25</v>
      </c>
    </row>
    <row r="356" customFormat="false" ht="15" hidden="false" customHeight="false" outlineLevel="0" collapsed="false">
      <c r="A356" s="16" t="s">
        <v>692</v>
      </c>
      <c r="B356" s="16" t="s">
        <v>307</v>
      </c>
      <c r="C356" s="16" t="s">
        <v>611</v>
      </c>
      <c r="D356" s="16" t="s">
        <v>183</v>
      </c>
      <c r="E356" s="16" t="n">
        <v>115</v>
      </c>
      <c r="F356" s="16" t="n">
        <v>0</v>
      </c>
      <c r="G356" s="16" t="n">
        <v>19</v>
      </c>
      <c r="H356" s="16" t="n">
        <v>5</v>
      </c>
      <c r="I356" s="16" t="n">
        <v>6</v>
      </c>
      <c r="J356" s="16" t="n">
        <v>5</v>
      </c>
      <c r="K356" s="16" t="n">
        <v>7</v>
      </c>
      <c r="L356" s="16" t="n">
        <v>96</v>
      </c>
      <c r="M356" s="16" t="n">
        <v>84</v>
      </c>
      <c r="N356" s="16" t="n">
        <v>0</v>
      </c>
      <c r="O356" s="9" t="str">
        <f aca="false">IF(B356="","",IFERROR(INDEX(Options!$G$6:$G$85,MATCH($B356,Options!$A$6:$A$85,0)),""))</f>
        <v>Waist</v>
      </c>
      <c r="P356" s="9" t="str">
        <f aca="false">IF(B356="","",IFERROR(INDEX(Options!$H$6:$H$85,MATCH($B356,Options!$A$6:$A$85,0)),""))</f>
        <v>Seasonal</v>
      </c>
      <c r="Q356" s="24" t="n">
        <f aca="false">IF(B356="",0,N(IFERROR(INDEX(Options!$J$6:$J$85,MATCH($B356,Options!$A$6:$A$85,0)),"")))</f>
        <v>65</v>
      </c>
      <c r="R356" s="25" t="n">
        <f aca="false">K356*Settings!$B$10+J356*Settings!$B$11+I356*Settings!$B$12+H356*Settings!$B$13</f>
        <v>6</v>
      </c>
      <c r="S356" s="25" t="n">
        <f aca="false">IFERROR(L356/Settings!$B$8,0)</f>
        <v>4.36363636363636</v>
      </c>
      <c r="T356" s="26" t="n">
        <f aca="false">IF(OR(B356="",P356="End of life"),0,W356*MIN(4,N356))</f>
        <v>0</v>
      </c>
      <c r="U356" s="27" t="n">
        <f aca="false">T356*Q356</f>
        <v>0</v>
      </c>
      <c r="V356" s="14" t="n">
        <f aca="false">IF(B356="",0,G356*N(IFERROR(INDEX(Options!$K$6:$K$85,MATCH($B356,Options!$A$6:$A$85,0)),"")))</f>
        <v>469.3</v>
      </c>
      <c r="W356" s="26" t="n">
        <f aca="false">IF(B356="",0,IF(N356&gt;=4,S356,(H356+I356+J356+K356)/(4-N356)))</f>
        <v>5.75</v>
      </c>
    </row>
    <row r="357" customFormat="false" ht="15" hidden="false" customHeight="false" outlineLevel="0" collapsed="false">
      <c r="A357" s="16" t="s">
        <v>693</v>
      </c>
      <c r="B357" s="16" t="s">
        <v>307</v>
      </c>
      <c r="C357" s="16" t="s">
        <v>613</v>
      </c>
      <c r="D357" s="16" t="s">
        <v>183</v>
      </c>
      <c r="E357" s="16" t="n">
        <v>115</v>
      </c>
      <c r="F357" s="16" t="n">
        <v>0</v>
      </c>
      <c r="G357" s="16" t="n">
        <v>10</v>
      </c>
      <c r="H357" s="16" t="n">
        <v>6</v>
      </c>
      <c r="I357" s="16" t="n">
        <v>4</v>
      </c>
      <c r="J357" s="16" t="n">
        <v>7</v>
      </c>
      <c r="K357" s="16" t="n">
        <v>6</v>
      </c>
      <c r="L357" s="16" t="n">
        <v>105</v>
      </c>
      <c r="M357" s="16" t="n">
        <v>92</v>
      </c>
      <c r="N357" s="16" t="n">
        <v>0</v>
      </c>
      <c r="O357" s="9" t="str">
        <f aca="false">IF(B357="","",IFERROR(INDEX(Options!$G$6:$G$85,MATCH($B357,Options!$A$6:$A$85,0)),""))</f>
        <v>Waist</v>
      </c>
      <c r="P357" s="9" t="str">
        <f aca="false">IF(B357="","",IFERROR(INDEX(Options!$H$6:$H$85,MATCH($B357,Options!$A$6:$A$85,0)),""))</f>
        <v>Seasonal</v>
      </c>
      <c r="Q357" s="24" t="n">
        <f aca="false">IF(B357="",0,N(IFERROR(INDEX(Options!$J$6:$J$85,MATCH($B357,Options!$A$6:$A$85,0)),"")))</f>
        <v>65</v>
      </c>
      <c r="R357" s="25" t="n">
        <f aca="false">K357*Settings!$B$10+J357*Settings!$B$11+I357*Settings!$B$12+H357*Settings!$B$13</f>
        <v>5.9</v>
      </c>
      <c r="S357" s="25" t="n">
        <f aca="false">IFERROR(L357/Settings!$B$8,0)</f>
        <v>4.77272727272727</v>
      </c>
      <c r="T357" s="26" t="n">
        <f aca="false">IF(OR(B357="",P357="End of life"),0,W357*MIN(4,N357))</f>
        <v>0</v>
      </c>
      <c r="U357" s="27" t="n">
        <f aca="false">T357*Q357</f>
        <v>0</v>
      </c>
      <c r="V357" s="14" t="n">
        <f aca="false">IF(B357="",0,G357*N(IFERROR(INDEX(Options!$K$6:$K$85,MATCH($B357,Options!$A$6:$A$85,0)),"")))</f>
        <v>247</v>
      </c>
      <c r="W357" s="26" t="n">
        <f aca="false">IF(B357="",0,IF(N357&gt;=4,S357,(H357+I357+J357+K357)/(4-N357)))</f>
        <v>5.75</v>
      </c>
    </row>
    <row r="358" customFormat="false" ht="15" hidden="false" customHeight="false" outlineLevel="0" collapsed="false">
      <c r="A358" s="16" t="s">
        <v>694</v>
      </c>
      <c r="B358" s="16" t="s">
        <v>307</v>
      </c>
      <c r="C358" s="16" t="s">
        <v>615</v>
      </c>
      <c r="D358" s="16" t="s">
        <v>183</v>
      </c>
      <c r="E358" s="16" t="n">
        <v>80</v>
      </c>
      <c r="F358" s="16" t="n">
        <v>0</v>
      </c>
      <c r="G358" s="16" t="n">
        <v>7</v>
      </c>
      <c r="H358" s="16" t="n">
        <v>4</v>
      </c>
      <c r="I358" s="16" t="n">
        <v>3</v>
      </c>
      <c r="J358" s="16" t="n">
        <v>4</v>
      </c>
      <c r="K358" s="16" t="n">
        <v>4</v>
      </c>
      <c r="L358" s="16" t="n">
        <v>73</v>
      </c>
      <c r="M358" s="16" t="n">
        <v>64</v>
      </c>
      <c r="N358" s="16" t="n">
        <v>0</v>
      </c>
      <c r="O358" s="9" t="str">
        <f aca="false">IF(B358="","",IFERROR(INDEX(Options!$G$6:$G$85,MATCH($B358,Options!$A$6:$A$85,0)),""))</f>
        <v>Waist</v>
      </c>
      <c r="P358" s="9" t="str">
        <f aca="false">IF(B358="","",IFERROR(INDEX(Options!$H$6:$H$85,MATCH($B358,Options!$A$6:$A$85,0)),""))</f>
        <v>Seasonal</v>
      </c>
      <c r="Q358" s="24" t="n">
        <f aca="false">IF(B358="",0,N(IFERROR(INDEX(Options!$J$6:$J$85,MATCH($B358,Options!$A$6:$A$85,0)),"")))</f>
        <v>65</v>
      </c>
      <c r="R358" s="25" t="n">
        <f aca="false">K358*Settings!$B$10+J358*Settings!$B$11+I358*Settings!$B$12+H358*Settings!$B$13</f>
        <v>3.8</v>
      </c>
      <c r="S358" s="25" t="n">
        <f aca="false">IFERROR(L358/Settings!$B$8,0)</f>
        <v>3.31818181818182</v>
      </c>
      <c r="T358" s="26" t="n">
        <f aca="false">IF(OR(B358="",P358="End of life"),0,W358*MIN(4,N358))</f>
        <v>0</v>
      </c>
      <c r="U358" s="27" t="n">
        <f aca="false">T358*Q358</f>
        <v>0</v>
      </c>
      <c r="V358" s="14" t="n">
        <f aca="false">IF(B358="",0,G358*N(IFERROR(INDEX(Options!$K$6:$K$85,MATCH($B358,Options!$A$6:$A$85,0)),"")))</f>
        <v>172.9</v>
      </c>
      <c r="W358" s="26" t="n">
        <f aca="false">IF(B358="",0,IF(N358&gt;=4,S358,(H358+I358+J358+K358)/(4-N358)))</f>
        <v>3.75</v>
      </c>
    </row>
    <row r="359" customFormat="false" ht="15" hidden="false" customHeight="false" outlineLevel="0" collapsed="false">
      <c r="A359" s="16" t="s">
        <v>695</v>
      </c>
      <c r="B359" s="16" t="s">
        <v>307</v>
      </c>
      <c r="C359" s="16" t="s">
        <v>617</v>
      </c>
      <c r="D359" s="16"/>
      <c r="E359" s="16" t="n">
        <v>60</v>
      </c>
      <c r="F359" s="16" t="n">
        <v>0</v>
      </c>
      <c r="G359" s="16" t="n">
        <v>24</v>
      </c>
      <c r="H359" s="16" t="n">
        <v>2</v>
      </c>
      <c r="I359" s="16" t="n">
        <v>2</v>
      </c>
      <c r="J359" s="16" t="n">
        <v>3</v>
      </c>
      <c r="K359" s="16" t="n">
        <v>3</v>
      </c>
      <c r="L359" s="16" t="n">
        <v>36</v>
      </c>
      <c r="M359" s="16" t="n">
        <v>32</v>
      </c>
      <c r="N359" s="16" t="n">
        <v>0</v>
      </c>
      <c r="O359" s="9" t="str">
        <f aca="false">IF(B359="","",IFERROR(INDEX(Options!$G$6:$G$85,MATCH($B359,Options!$A$6:$A$85,0)),""))</f>
        <v>Waist</v>
      </c>
      <c r="P359" s="9" t="str">
        <f aca="false">IF(B359="","",IFERROR(INDEX(Options!$H$6:$H$85,MATCH($B359,Options!$A$6:$A$85,0)),""))</f>
        <v>Seasonal</v>
      </c>
      <c r="Q359" s="24" t="n">
        <f aca="false">IF(B359="",0,N(IFERROR(INDEX(Options!$J$6:$J$85,MATCH($B359,Options!$A$6:$A$85,0)),"")))</f>
        <v>65</v>
      </c>
      <c r="R359" s="25" t="n">
        <f aca="false">K359*Settings!$B$10+J359*Settings!$B$11+I359*Settings!$B$12+H359*Settings!$B$13</f>
        <v>2.7</v>
      </c>
      <c r="S359" s="25" t="n">
        <f aca="false">IFERROR(L359/Settings!$B$8,0)</f>
        <v>1.63636363636364</v>
      </c>
      <c r="T359" s="26" t="n">
        <f aca="false">IF(OR(B359="",P359="End of life"),0,W359*MIN(4,N359))</f>
        <v>0</v>
      </c>
      <c r="U359" s="27" t="n">
        <f aca="false">T359*Q359</f>
        <v>0</v>
      </c>
      <c r="V359" s="14" t="n">
        <f aca="false">IF(B359="",0,G359*N(IFERROR(INDEX(Options!$K$6:$K$85,MATCH($B359,Options!$A$6:$A$85,0)),"")))</f>
        <v>592.8</v>
      </c>
      <c r="W359" s="26" t="n">
        <f aca="false">IF(B359="",0,IF(N359&gt;=4,S359,(H359+I359+J359+K359)/(4-N359)))</f>
        <v>2.5</v>
      </c>
    </row>
    <row r="360" customFormat="false" ht="15" hidden="false" customHeight="false" outlineLevel="0" collapsed="false">
      <c r="A360" s="16" t="s">
        <v>696</v>
      </c>
      <c r="B360" s="16" t="s">
        <v>309</v>
      </c>
      <c r="C360" s="16" t="s">
        <v>607</v>
      </c>
      <c r="D360" s="16"/>
      <c r="E360" s="16" t="n">
        <v>29</v>
      </c>
      <c r="F360" s="16" t="n">
        <v>0</v>
      </c>
      <c r="G360" s="16" t="n">
        <v>11</v>
      </c>
      <c r="H360" s="16" t="n">
        <v>1</v>
      </c>
      <c r="I360" s="16" t="n">
        <v>1</v>
      </c>
      <c r="J360" s="16" t="n">
        <v>1</v>
      </c>
      <c r="K360" s="16" t="n">
        <v>1</v>
      </c>
      <c r="L360" s="16" t="n">
        <v>18</v>
      </c>
      <c r="M360" s="16" t="n">
        <v>16</v>
      </c>
      <c r="N360" s="16" t="n">
        <v>0</v>
      </c>
      <c r="O360" s="9" t="str">
        <f aca="false">IF(B360="","",IFERROR(INDEX(Options!$G$6:$G$85,MATCH($B360,Options!$A$6:$A$85,0)),""))</f>
        <v>Waist</v>
      </c>
      <c r="P360" s="9" t="str">
        <f aca="false">IF(B360="","",IFERROR(INDEX(Options!$H$6:$H$85,MATCH($B360,Options!$A$6:$A$85,0)),""))</f>
        <v>Seasonal</v>
      </c>
      <c r="Q360" s="24" t="n">
        <f aca="false">IF(B360="",0,N(IFERROR(INDEX(Options!$J$6:$J$85,MATCH($B360,Options!$A$6:$A$85,0)),"")))</f>
        <v>65</v>
      </c>
      <c r="R360" s="25" t="n">
        <f aca="false">K360*Settings!$B$10+J360*Settings!$B$11+I360*Settings!$B$12+H360*Settings!$B$13</f>
        <v>1</v>
      </c>
      <c r="S360" s="25" t="n">
        <f aca="false">IFERROR(L360/Settings!$B$8,0)</f>
        <v>0.818181818181818</v>
      </c>
      <c r="T360" s="26" t="n">
        <f aca="false">IF(OR(B360="",P360="End of life"),0,W360*MIN(4,N360))</f>
        <v>0</v>
      </c>
      <c r="U360" s="27" t="n">
        <f aca="false">T360*Q360</f>
        <v>0</v>
      </c>
      <c r="V360" s="14" t="n">
        <f aca="false">IF(B360="",0,G360*N(IFERROR(INDEX(Options!$K$6:$K$85,MATCH($B360,Options!$A$6:$A$85,0)),"")))</f>
        <v>271.7</v>
      </c>
      <c r="W360" s="26" t="n">
        <f aca="false">IF(B360="",0,IF(N360&gt;=4,S360,(H360+I360+J360+K360)/(4-N360)))</f>
        <v>1</v>
      </c>
    </row>
    <row r="361" customFormat="false" ht="15" hidden="false" customHeight="false" outlineLevel="0" collapsed="false">
      <c r="A361" s="16" t="s">
        <v>697</v>
      </c>
      <c r="B361" s="16" t="s">
        <v>309</v>
      </c>
      <c r="C361" s="16" t="s">
        <v>609</v>
      </c>
      <c r="D361" s="16"/>
      <c r="E361" s="16" t="n">
        <v>50</v>
      </c>
      <c r="F361" s="16" t="n">
        <v>0</v>
      </c>
      <c r="G361" s="16" t="n">
        <v>9</v>
      </c>
      <c r="H361" s="16" t="n">
        <v>2</v>
      </c>
      <c r="I361" s="16" t="n">
        <v>2</v>
      </c>
      <c r="J361" s="16" t="n">
        <v>2</v>
      </c>
      <c r="K361" s="16" t="n">
        <v>2</v>
      </c>
      <c r="L361" s="16" t="n">
        <v>41</v>
      </c>
      <c r="M361" s="16" t="n">
        <v>36</v>
      </c>
      <c r="N361" s="16" t="n">
        <v>0</v>
      </c>
      <c r="O361" s="9" t="str">
        <f aca="false">IF(B361="","",IFERROR(INDEX(Options!$G$6:$G$85,MATCH($B361,Options!$A$6:$A$85,0)),""))</f>
        <v>Waist</v>
      </c>
      <c r="P361" s="9" t="str">
        <f aca="false">IF(B361="","",IFERROR(INDEX(Options!$H$6:$H$85,MATCH($B361,Options!$A$6:$A$85,0)),""))</f>
        <v>Seasonal</v>
      </c>
      <c r="Q361" s="24" t="n">
        <f aca="false">IF(B361="",0,N(IFERROR(INDEX(Options!$J$6:$J$85,MATCH($B361,Options!$A$6:$A$85,0)),"")))</f>
        <v>65</v>
      </c>
      <c r="R361" s="25" t="n">
        <f aca="false">K361*Settings!$B$10+J361*Settings!$B$11+I361*Settings!$B$12+H361*Settings!$B$13</f>
        <v>2</v>
      </c>
      <c r="S361" s="25" t="n">
        <f aca="false">IFERROR(L361/Settings!$B$8,0)</f>
        <v>1.86363636363636</v>
      </c>
      <c r="T361" s="26" t="n">
        <f aca="false">IF(OR(B361="",P361="End of life"),0,W361*MIN(4,N361))</f>
        <v>0</v>
      </c>
      <c r="U361" s="27" t="n">
        <f aca="false">T361*Q361</f>
        <v>0</v>
      </c>
      <c r="V361" s="14" t="n">
        <f aca="false">IF(B361="",0,G361*N(IFERROR(INDEX(Options!$K$6:$K$85,MATCH($B361,Options!$A$6:$A$85,0)),"")))</f>
        <v>222.3</v>
      </c>
      <c r="W361" s="26" t="n">
        <f aca="false">IF(B361="",0,IF(N361&gt;=4,S361,(H361+I361+J361+K361)/(4-N361)))</f>
        <v>2</v>
      </c>
    </row>
    <row r="362" customFormat="false" ht="15" hidden="false" customHeight="false" outlineLevel="0" collapsed="false">
      <c r="A362" s="16" t="s">
        <v>698</v>
      </c>
      <c r="B362" s="16" t="s">
        <v>309</v>
      </c>
      <c r="C362" s="16" t="s">
        <v>611</v>
      </c>
      <c r="D362" s="16" t="s">
        <v>183</v>
      </c>
      <c r="E362" s="16" t="n">
        <v>92</v>
      </c>
      <c r="F362" s="16" t="n">
        <v>0</v>
      </c>
      <c r="G362" s="16" t="n">
        <v>21</v>
      </c>
      <c r="H362" s="16" t="n">
        <v>3</v>
      </c>
      <c r="I362" s="16" t="n">
        <v>3</v>
      </c>
      <c r="J362" s="16" t="n">
        <v>3</v>
      </c>
      <c r="K362" s="16" t="n">
        <v>3</v>
      </c>
      <c r="L362" s="16" t="n">
        <v>71</v>
      </c>
      <c r="M362" s="16" t="n">
        <v>62</v>
      </c>
      <c r="N362" s="16" t="n">
        <v>0</v>
      </c>
      <c r="O362" s="9" t="str">
        <f aca="false">IF(B362="","",IFERROR(INDEX(Options!$G$6:$G$85,MATCH($B362,Options!$A$6:$A$85,0)),""))</f>
        <v>Waist</v>
      </c>
      <c r="P362" s="9" t="str">
        <f aca="false">IF(B362="","",IFERROR(INDEX(Options!$H$6:$H$85,MATCH($B362,Options!$A$6:$A$85,0)),""))</f>
        <v>Seasonal</v>
      </c>
      <c r="Q362" s="24" t="n">
        <f aca="false">IF(B362="",0,N(IFERROR(INDEX(Options!$J$6:$J$85,MATCH($B362,Options!$A$6:$A$85,0)),"")))</f>
        <v>65</v>
      </c>
      <c r="R362" s="25" t="n">
        <f aca="false">K362*Settings!$B$10+J362*Settings!$B$11+I362*Settings!$B$12+H362*Settings!$B$13</f>
        <v>3</v>
      </c>
      <c r="S362" s="25" t="n">
        <f aca="false">IFERROR(L362/Settings!$B$8,0)</f>
        <v>3.22727272727273</v>
      </c>
      <c r="T362" s="26" t="n">
        <f aca="false">IF(OR(B362="",P362="End of life"),0,W362*MIN(4,N362))</f>
        <v>0</v>
      </c>
      <c r="U362" s="27" t="n">
        <f aca="false">T362*Q362</f>
        <v>0</v>
      </c>
      <c r="V362" s="14" t="n">
        <f aca="false">IF(B362="",0,G362*N(IFERROR(INDEX(Options!$K$6:$K$85,MATCH($B362,Options!$A$6:$A$85,0)),"")))</f>
        <v>518.7</v>
      </c>
      <c r="W362" s="26" t="n">
        <f aca="false">IF(B362="",0,IF(N362&gt;=4,S362,(H362+I362+J362+K362)/(4-N362)))</f>
        <v>3</v>
      </c>
    </row>
    <row r="363" customFormat="false" ht="15" hidden="false" customHeight="false" outlineLevel="0" collapsed="false">
      <c r="A363" s="16" t="s">
        <v>699</v>
      </c>
      <c r="B363" s="16" t="s">
        <v>309</v>
      </c>
      <c r="C363" s="16" t="s">
        <v>613</v>
      </c>
      <c r="D363" s="16" t="s">
        <v>183</v>
      </c>
      <c r="E363" s="16" t="n">
        <v>92</v>
      </c>
      <c r="F363" s="16" t="n">
        <v>0</v>
      </c>
      <c r="G363" s="16" t="n">
        <v>22</v>
      </c>
      <c r="H363" s="16" t="n">
        <v>3</v>
      </c>
      <c r="I363" s="16" t="n">
        <v>4</v>
      </c>
      <c r="J363" s="16" t="n">
        <v>3</v>
      </c>
      <c r="K363" s="16" t="n">
        <v>4</v>
      </c>
      <c r="L363" s="16" t="n">
        <v>70</v>
      </c>
      <c r="M363" s="16" t="n">
        <v>62</v>
      </c>
      <c r="N363" s="16" t="n">
        <v>0</v>
      </c>
      <c r="O363" s="9" t="str">
        <f aca="false">IF(B363="","",IFERROR(INDEX(Options!$G$6:$G$85,MATCH($B363,Options!$A$6:$A$85,0)),""))</f>
        <v>Waist</v>
      </c>
      <c r="P363" s="9" t="str">
        <f aca="false">IF(B363="","",IFERROR(INDEX(Options!$H$6:$H$85,MATCH($B363,Options!$A$6:$A$85,0)),""))</f>
        <v>Seasonal</v>
      </c>
      <c r="Q363" s="24" t="n">
        <f aca="false">IF(B363="",0,N(IFERROR(INDEX(Options!$J$6:$J$85,MATCH($B363,Options!$A$6:$A$85,0)),"")))</f>
        <v>65</v>
      </c>
      <c r="R363" s="25" t="n">
        <f aca="false">K363*Settings!$B$10+J363*Settings!$B$11+I363*Settings!$B$12+H363*Settings!$B$13</f>
        <v>3.6</v>
      </c>
      <c r="S363" s="25" t="n">
        <f aca="false">IFERROR(L363/Settings!$B$8,0)</f>
        <v>3.18181818181818</v>
      </c>
      <c r="T363" s="26" t="n">
        <f aca="false">IF(OR(B363="",P363="End of life"),0,W363*MIN(4,N363))</f>
        <v>0</v>
      </c>
      <c r="U363" s="27" t="n">
        <f aca="false">T363*Q363</f>
        <v>0</v>
      </c>
      <c r="V363" s="14" t="n">
        <f aca="false">IF(B363="",0,G363*N(IFERROR(INDEX(Options!$K$6:$K$85,MATCH($B363,Options!$A$6:$A$85,0)),"")))</f>
        <v>543.4</v>
      </c>
      <c r="W363" s="26" t="n">
        <f aca="false">IF(B363="",0,IF(N363&gt;=4,S363,(H363+I363+J363+K363)/(4-N363)))</f>
        <v>3.5</v>
      </c>
    </row>
    <row r="364" customFormat="false" ht="15" hidden="false" customHeight="false" outlineLevel="0" collapsed="false">
      <c r="A364" s="16" t="s">
        <v>700</v>
      </c>
      <c r="B364" s="16" t="s">
        <v>309</v>
      </c>
      <c r="C364" s="16" t="s">
        <v>615</v>
      </c>
      <c r="D364" s="16" t="s">
        <v>183</v>
      </c>
      <c r="E364" s="16" t="n">
        <v>64</v>
      </c>
      <c r="F364" s="16" t="n">
        <v>0</v>
      </c>
      <c r="G364" s="16" t="n">
        <v>13</v>
      </c>
      <c r="H364" s="16" t="n">
        <v>2</v>
      </c>
      <c r="I364" s="16" t="n">
        <v>2</v>
      </c>
      <c r="J364" s="16" t="n">
        <v>3</v>
      </c>
      <c r="K364" s="16" t="n">
        <v>3</v>
      </c>
      <c r="L364" s="16" t="n">
        <v>51</v>
      </c>
      <c r="M364" s="16" t="n">
        <v>45</v>
      </c>
      <c r="N364" s="16" t="n">
        <v>0</v>
      </c>
      <c r="O364" s="9" t="str">
        <f aca="false">IF(B364="","",IFERROR(INDEX(Options!$G$6:$G$85,MATCH($B364,Options!$A$6:$A$85,0)),""))</f>
        <v>Waist</v>
      </c>
      <c r="P364" s="9" t="str">
        <f aca="false">IF(B364="","",IFERROR(INDEX(Options!$H$6:$H$85,MATCH($B364,Options!$A$6:$A$85,0)),""))</f>
        <v>Seasonal</v>
      </c>
      <c r="Q364" s="24" t="n">
        <f aca="false">IF(B364="",0,N(IFERROR(INDEX(Options!$J$6:$J$85,MATCH($B364,Options!$A$6:$A$85,0)),"")))</f>
        <v>65</v>
      </c>
      <c r="R364" s="25" t="n">
        <f aca="false">K364*Settings!$B$10+J364*Settings!$B$11+I364*Settings!$B$12+H364*Settings!$B$13</f>
        <v>2.7</v>
      </c>
      <c r="S364" s="25" t="n">
        <f aca="false">IFERROR(L364/Settings!$B$8,0)</f>
        <v>2.31818181818182</v>
      </c>
      <c r="T364" s="26" t="n">
        <f aca="false">IF(OR(B364="",P364="End of life"),0,W364*MIN(4,N364))</f>
        <v>0</v>
      </c>
      <c r="U364" s="27" t="n">
        <f aca="false">T364*Q364</f>
        <v>0</v>
      </c>
      <c r="V364" s="14" t="n">
        <f aca="false">IF(B364="",0,G364*N(IFERROR(INDEX(Options!$K$6:$K$85,MATCH($B364,Options!$A$6:$A$85,0)),"")))</f>
        <v>321.1</v>
      </c>
      <c r="W364" s="26" t="n">
        <f aca="false">IF(B364="",0,IF(N364&gt;=4,S364,(H364+I364+J364+K364)/(4-N364)))</f>
        <v>2.5</v>
      </c>
    </row>
    <row r="365" customFormat="false" ht="15" hidden="false" customHeight="false" outlineLevel="0" collapsed="false">
      <c r="A365" s="16" t="s">
        <v>701</v>
      </c>
      <c r="B365" s="16" t="s">
        <v>309</v>
      </c>
      <c r="C365" s="16" t="s">
        <v>617</v>
      </c>
      <c r="D365" s="16"/>
      <c r="E365" s="16" t="n">
        <v>48</v>
      </c>
      <c r="F365" s="16" t="n">
        <v>0</v>
      </c>
      <c r="G365" s="16" t="n">
        <v>20</v>
      </c>
      <c r="H365" s="16" t="n">
        <v>1</v>
      </c>
      <c r="I365" s="16" t="n">
        <v>1</v>
      </c>
      <c r="J365" s="16" t="n">
        <v>2</v>
      </c>
      <c r="K365" s="16" t="n">
        <v>1</v>
      </c>
      <c r="L365" s="16" t="n">
        <v>28</v>
      </c>
      <c r="M365" s="16" t="n">
        <v>25</v>
      </c>
      <c r="N365" s="16" t="n">
        <v>0</v>
      </c>
      <c r="O365" s="9" t="str">
        <f aca="false">IF(B365="","",IFERROR(INDEX(Options!$G$6:$G$85,MATCH($B365,Options!$A$6:$A$85,0)),""))</f>
        <v>Waist</v>
      </c>
      <c r="P365" s="9" t="str">
        <f aca="false">IF(B365="","",IFERROR(INDEX(Options!$H$6:$H$85,MATCH($B365,Options!$A$6:$A$85,0)),""))</f>
        <v>Seasonal</v>
      </c>
      <c r="Q365" s="24" t="n">
        <f aca="false">IF(B365="",0,N(IFERROR(INDEX(Options!$J$6:$J$85,MATCH($B365,Options!$A$6:$A$85,0)),"")))</f>
        <v>65</v>
      </c>
      <c r="R365" s="25" t="n">
        <f aca="false">K365*Settings!$B$10+J365*Settings!$B$11+I365*Settings!$B$12+H365*Settings!$B$13</f>
        <v>1.3</v>
      </c>
      <c r="S365" s="25" t="n">
        <f aca="false">IFERROR(L365/Settings!$B$8,0)</f>
        <v>1.27272727272727</v>
      </c>
      <c r="T365" s="26" t="n">
        <f aca="false">IF(OR(B365="",P365="End of life"),0,W365*MIN(4,N365))</f>
        <v>0</v>
      </c>
      <c r="U365" s="27" t="n">
        <f aca="false">T365*Q365</f>
        <v>0</v>
      </c>
      <c r="V365" s="14" t="n">
        <f aca="false">IF(B365="",0,G365*N(IFERROR(INDEX(Options!$K$6:$K$85,MATCH($B365,Options!$A$6:$A$85,0)),"")))</f>
        <v>494</v>
      </c>
      <c r="W365" s="26" t="n">
        <f aca="false">IF(B365="",0,IF(N365&gt;=4,S365,(H365+I365+J365+K365)/(4-N365)))</f>
        <v>1.25</v>
      </c>
    </row>
    <row r="366" customFormat="false" ht="15" hidden="false" customHeight="false" outlineLevel="0" collapsed="false">
      <c r="A366" s="16"/>
      <c r="B366" s="16"/>
      <c r="C366" s="16"/>
      <c r="D366" s="16"/>
      <c r="E366" s="16"/>
      <c r="F366" s="16"/>
      <c r="G366" s="16"/>
      <c r="H366" s="16"/>
      <c r="I366" s="16"/>
      <c r="J366" s="16"/>
      <c r="K366" s="16"/>
      <c r="L366" s="16"/>
      <c r="M366" s="16"/>
      <c r="N366" s="16"/>
      <c r="O366" s="9" t="str">
        <f aca="false">IF(B366="","",IFERROR(INDEX(Options!$G$6:$G$85,MATCH($B366,Options!$A$6:$A$85,0)),""))</f>
        <v/>
      </c>
      <c r="P366" s="9" t="str">
        <f aca="false">IF(B366="","",IFERROR(INDEX(Options!$H$6:$H$85,MATCH($B366,Options!$A$6:$A$85,0)),""))</f>
        <v/>
      </c>
      <c r="Q366" s="24" t="n">
        <f aca="false">IF(B366="",0,N(IFERROR(INDEX(Options!$J$6:$J$85,MATCH($B366,Options!$A$6:$A$85,0)),"")))</f>
        <v>0</v>
      </c>
      <c r="R366" s="25" t="n">
        <f aca="false">K366*Settings!$B$10+J366*Settings!$B$11+I366*Settings!$B$12+H366*Settings!$B$13</f>
        <v>0</v>
      </c>
      <c r="S366" s="25" t="n">
        <f aca="false">IFERROR(L366/Settings!$B$8,0)</f>
        <v>0</v>
      </c>
      <c r="T366" s="26" t="n">
        <f aca="false">IF(OR(B366="",P366="End of life"),0,W366*MIN(4,N366))</f>
        <v>0</v>
      </c>
      <c r="U366" s="27" t="n">
        <f aca="false">T366*Q366</f>
        <v>0</v>
      </c>
      <c r="V366" s="14" t="n">
        <f aca="false">IF(B366="",0,G366*N(IFERROR(INDEX(Options!$K$6:$K$85,MATCH($B366,Options!$A$6:$A$85,0)),"")))</f>
        <v>0</v>
      </c>
      <c r="W366" s="26" t="n">
        <f aca="false">IF(B366="",0,IF(N366&gt;=4,S366,(H366+I366+J366+K366)/(4-N366)))</f>
        <v>0</v>
      </c>
    </row>
    <row r="367" customFormat="false" ht="15" hidden="false" customHeight="false" outlineLevel="0" collapsed="false">
      <c r="A367" s="16"/>
      <c r="B367" s="16"/>
      <c r="C367" s="16"/>
      <c r="D367" s="16"/>
      <c r="E367" s="16"/>
      <c r="F367" s="16"/>
      <c r="G367" s="16"/>
      <c r="H367" s="16"/>
      <c r="I367" s="16"/>
      <c r="J367" s="16"/>
      <c r="K367" s="16"/>
      <c r="L367" s="16"/>
      <c r="M367" s="16"/>
      <c r="N367" s="16"/>
      <c r="O367" s="9" t="str">
        <f aca="false">IF(B367="","",IFERROR(INDEX(Options!$G$6:$G$85,MATCH($B367,Options!$A$6:$A$85,0)),""))</f>
        <v/>
      </c>
      <c r="P367" s="9" t="str">
        <f aca="false">IF(B367="","",IFERROR(INDEX(Options!$H$6:$H$85,MATCH($B367,Options!$A$6:$A$85,0)),""))</f>
        <v/>
      </c>
      <c r="Q367" s="24" t="n">
        <f aca="false">IF(B367="",0,N(IFERROR(INDEX(Options!$J$6:$J$85,MATCH($B367,Options!$A$6:$A$85,0)),"")))</f>
        <v>0</v>
      </c>
      <c r="R367" s="25" t="n">
        <f aca="false">K367*Settings!$B$10+J367*Settings!$B$11+I367*Settings!$B$12+H367*Settings!$B$13</f>
        <v>0</v>
      </c>
      <c r="S367" s="25" t="n">
        <f aca="false">IFERROR(L367/Settings!$B$8,0)</f>
        <v>0</v>
      </c>
      <c r="T367" s="26" t="n">
        <f aca="false">IF(OR(B367="",P367="End of life"),0,W367*MIN(4,N367))</f>
        <v>0</v>
      </c>
      <c r="U367" s="27" t="n">
        <f aca="false">T367*Q367</f>
        <v>0</v>
      </c>
      <c r="V367" s="14" t="n">
        <f aca="false">IF(B367="",0,G367*N(IFERROR(INDEX(Options!$K$6:$K$85,MATCH($B367,Options!$A$6:$A$85,0)),"")))</f>
        <v>0</v>
      </c>
      <c r="W367" s="26" t="n">
        <f aca="false">IF(B367="",0,IF(N367&gt;=4,S367,(H367+I367+J367+K367)/(4-N367)))</f>
        <v>0</v>
      </c>
    </row>
    <row r="368" customFormat="false" ht="15" hidden="false" customHeight="false" outlineLevel="0" collapsed="false">
      <c r="A368" s="16"/>
      <c r="B368" s="16"/>
      <c r="C368" s="16"/>
      <c r="D368" s="16"/>
      <c r="E368" s="16"/>
      <c r="F368" s="16"/>
      <c r="G368" s="16"/>
      <c r="H368" s="16"/>
      <c r="I368" s="16"/>
      <c r="J368" s="16"/>
      <c r="K368" s="16"/>
      <c r="L368" s="16"/>
      <c r="M368" s="16"/>
      <c r="N368" s="16"/>
      <c r="O368" s="9" t="str">
        <f aca="false">IF(B368="","",IFERROR(INDEX(Options!$G$6:$G$85,MATCH($B368,Options!$A$6:$A$85,0)),""))</f>
        <v/>
      </c>
      <c r="P368" s="9" t="str">
        <f aca="false">IF(B368="","",IFERROR(INDEX(Options!$H$6:$H$85,MATCH($B368,Options!$A$6:$A$85,0)),""))</f>
        <v/>
      </c>
      <c r="Q368" s="24" t="n">
        <f aca="false">IF(B368="",0,N(IFERROR(INDEX(Options!$J$6:$J$85,MATCH($B368,Options!$A$6:$A$85,0)),"")))</f>
        <v>0</v>
      </c>
      <c r="R368" s="25" t="n">
        <f aca="false">K368*Settings!$B$10+J368*Settings!$B$11+I368*Settings!$B$12+H368*Settings!$B$13</f>
        <v>0</v>
      </c>
      <c r="S368" s="25" t="n">
        <f aca="false">IFERROR(L368/Settings!$B$8,0)</f>
        <v>0</v>
      </c>
      <c r="T368" s="26" t="n">
        <f aca="false">IF(OR(B368="",P368="End of life"),0,W368*MIN(4,N368))</f>
        <v>0</v>
      </c>
      <c r="U368" s="27" t="n">
        <f aca="false">T368*Q368</f>
        <v>0</v>
      </c>
      <c r="V368" s="14" t="n">
        <f aca="false">IF(B368="",0,G368*N(IFERROR(INDEX(Options!$K$6:$K$85,MATCH($B368,Options!$A$6:$A$85,0)),"")))</f>
        <v>0</v>
      </c>
      <c r="W368" s="26" t="n">
        <f aca="false">IF(B368="",0,IF(N368&gt;=4,S368,(H368+I368+J368+K368)/(4-N368)))</f>
        <v>0</v>
      </c>
    </row>
    <row r="369" customFormat="false" ht="15" hidden="false" customHeight="false" outlineLevel="0" collapsed="false">
      <c r="A369" s="16"/>
      <c r="B369" s="16"/>
      <c r="C369" s="16"/>
      <c r="D369" s="16"/>
      <c r="E369" s="16"/>
      <c r="F369" s="16"/>
      <c r="G369" s="16"/>
      <c r="H369" s="16"/>
      <c r="I369" s="16"/>
      <c r="J369" s="16"/>
      <c r="K369" s="16"/>
      <c r="L369" s="16"/>
      <c r="M369" s="16"/>
      <c r="N369" s="16"/>
      <c r="O369" s="9" t="str">
        <f aca="false">IF(B369="","",IFERROR(INDEX(Options!$G$6:$G$85,MATCH($B369,Options!$A$6:$A$85,0)),""))</f>
        <v/>
      </c>
      <c r="P369" s="9" t="str">
        <f aca="false">IF(B369="","",IFERROR(INDEX(Options!$H$6:$H$85,MATCH($B369,Options!$A$6:$A$85,0)),""))</f>
        <v/>
      </c>
      <c r="Q369" s="24" t="n">
        <f aca="false">IF(B369="",0,N(IFERROR(INDEX(Options!$J$6:$J$85,MATCH($B369,Options!$A$6:$A$85,0)),"")))</f>
        <v>0</v>
      </c>
      <c r="R369" s="25" t="n">
        <f aca="false">K369*Settings!$B$10+J369*Settings!$B$11+I369*Settings!$B$12+H369*Settings!$B$13</f>
        <v>0</v>
      </c>
      <c r="S369" s="25" t="n">
        <f aca="false">IFERROR(L369/Settings!$B$8,0)</f>
        <v>0</v>
      </c>
      <c r="T369" s="26" t="n">
        <f aca="false">IF(OR(B369="",P369="End of life"),0,W369*MIN(4,N369))</f>
        <v>0</v>
      </c>
      <c r="U369" s="27" t="n">
        <f aca="false">T369*Q369</f>
        <v>0</v>
      </c>
      <c r="V369" s="14" t="n">
        <f aca="false">IF(B369="",0,G369*N(IFERROR(INDEX(Options!$K$6:$K$85,MATCH($B369,Options!$A$6:$A$85,0)),"")))</f>
        <v>0</v>
      </c>
      <c r="W369" s="26" t="n">
        <f aca="false">IF(B369="",0,IF(N369&gt;=4,S369,(H369+I369+J369+K369)/(4-N369)))</f>
        <v>0</v>
      </c>
    </row>
    <row r="370" customFormat="false" ht="15" hidden="false" customHeight="false" outlineLevel="0" collapsed="false">
      <c r="A370" s="16"/>
      <c r="B370" s="16"/>
      <c r="C370" s="16"/>
      <c r="D370" s="16"/>
      <c r="E370" s="16"/>
      <c r="F370" s="16"/>
      <c r="G370" s="16"/>
      <c r="H370" s="16"/>
      <c r="I370" s="16"/>
      <c r="J370" s="16"/>
      <c r="K370" s="16"/>
      <c r="L370" s="16"/>
      <c r="M370" s="16"/>
      <c r="N370" s="16"/>
      <c r="O370" s="9" t="str">
        <f aca="false">IF(B370="","",IFERROR(INDEX(Options!$G$6:$G$85,MATCH($B370,Options!$A$6:$A$85,0)),""))</f>
        <v/>
      </c>
      <c r="P370" s="9" t="str">
        <f aca="false">IF(B370="","",IFERROR(INDEX(Options!$H$6:$H$85,MATCH($B370,Options!$A$6:$A$85,0)),""))</f>
        <v/>
      </c>
      <c r="Q370" s="24" t="n">
        <f aca="false">IF(B370="",0,N(IFERROR(INDEX(Options!$J$6:$J$85,MATCH($B370,Options!$A$6:$A$85,0)),"")))</f>
        <v>0</v>
      </c>
      <c r="R370" s="25" t="n">
        <f aca="false">K370*Settings!$B$10+J370*Settings!$B$11+I370*Settings!$B$12+H370*Settings!$B$13</f>
        <v>0</v>
      </c>
      <c r="S370" s="25" t="n">
        <f aca="false">IFERROR(L370/Settings!$B$8,0)</f>
        <v>0</v>
      </c>
      <c r="T370" s="26" t="n">
        <f aca="false">IF(OR(B370="",P370="End of life"),0,W370*MIN(4,N370))</f>
        <v>0</v>
      </c>
      <c r="U370" s="27" t="n">
        <f aca="false">T370*Q370</f>
        <v>0</v>
      </c>
      <c r="V370" s="14" t="n">
        <f aca="false">IF(B370="",0,G370*N(IFERROR(INDEX(Options!$K$6:$K$85,MATCH($B370,Options!$A$6:$A$85,0)),"")))</f>
        <v>0</v>
      </c>
      <c r="W370" s="26" t="n">
        <f aca="false">IF(B370="",0,IF(N370&gt;=4,S370,(H370+I370+J370+K370)/(4-N370)))</f>
        <v>0</v>
      </c>
    </row>
    <row r="371" customFormat="false" ht="15" hidden="false" customHeight="false" outlineLevel="0" collapsed="false">
      <c r="A371" s="16"/>
      <c r="B371" s="16"/>
      <c r="C371" s="16"/>
      <c r="D371" s="16"/>
      <c r="E371" s="16"/>
      <c r="F371" s="16"/>
      <c r="G371" s="16"/>
      <c r="H371" s="16"/>
      <c r="I371" s="16"/>
      <c r="J371" s="16"/>
      <c r="K371" s="16"/>
      <c r="L371" s="16"/>
      <c r="M371" s="16"/>
      <c r="N371" s="16"/>
      <c r="O371" s="9" t="str">
        <f aca="false">IF(B371="","",IFERROR(INDEX(Options!$G$6:$G$85,MATCH($B371,Options!$A$6:$A$85,0)),""))</f>
        <v/>
      </c>
      <c r="P371" s="9" t="str">
        <f aca="false">IF(B371="","",IFERROR(INDEX(Options!$H$6:$H$85,MATCH($B371,Options!$A$6:$A$85,0)),""))</f>
        <v/>
      </c>
      <c r="Q371" s="24" t="n">
        <f aca="false">IF(B371="",0,N(IFERROR(INDEX(Options!$J$6:$J$85,MATCH($B371,Options!$A$6:$A$85,0)),"")))</f>
        <v>0</v>
      </c>
      <c r="R371" s="25" t="n">
        <f aca="false">K371*Settings!$B$10+J371*Settings!$B$11+I371*Settings!$B$12+H371*Settings!$B$13</f>
        <v>0</v>
      </c>
      <c r="S371" s="25" t="n">
        <f aca="false">IFERROR(L371/Settings!$B$8,0)</f>
        <v>0</v>
      </c>
      <c r="T371" s="26" t="n">
        <f aca="false">IF(OR(B371="",P371="End of life"),0,W371*MIN(4,N371))</f>
        <v>0</v>
      </c>
      <c r="U371" s="27" t="n">
        <f aca="false">T371*Q371</f>
        <v>0</v>
      </c>
      <c r="V371" s="14" t="n">
        <f aca="false">IF(B371="",0,G371*N(IFERROR(INDEX(Options!$K$6:$K$85,MATCH($B371,Options!$A$6:$A$85,0)),"")))</f>
        <v>0</v>
      </c>
      <c r="W371" s="26" t="n">
        <f aca="false">IF(B371="",0,IF(N371&gt;=4,S371,(H371+I371+J371+K371)/(4-N371)))</f>
        <v>0</v>
      </c>
    </row>
    <row r="372" customFormat="false" ht="15" hidden="false" customHeight="false" outlineLevel="0" collapsed="false">
      <c r="A372" s="16"/>
      <c r="B372" s="16"/>
      <c r="C372" s="16"/>
      <c r="D372" s="16"/>
      <c r="E372" s="16"/>
      <c r="F372" s="16"/>
      <c r="G372" s="16"/>
      <c r="H372" s="16"/>
      <c r="I372" s="16"/>
      <c r="J372" s="16"/>
      <c r="K372" s="16"/>
      <c r="L372" s="16"/>
      <c r="M372" s="16"/>
      <c r="N372" s="16"/>
      <c r="O372" s="9" t="str">
        <f aca="false">IF(B372="","",IFERROR(INDEX(Options!$G$6:$G$85,MATCH($B372,Options!$A$6:$A$85,0)),""))</f>
        <v/>
      </c>
      <c r="P372" s="9" t="str">
        <f aca="false">IF(B372="","",IFERROR(INDEX(Options!$H$6:$H$85,MATCH($B372,Options!$A$6:$A$85,0)),""))</f>
        <v/>
      </c>
      <c r="Q372" s="24" t="n">
        <f aca="false">IF(B372="",0,N(IFERROR(INDEX(Options!$J$6:$J$85,MATCH($B372,Options!$A$6:$A$85,0)),"")))</f>
        <v>0</v>
      </c>
      <c r="R372" s="25" t="n">
        <f aca="false">K372*Settings!$B$10+J372*Settings!$B$11+I372*Settings!$B$12+H372*Settings!$B$13</f>
        <v>0</v>
      </c>
      <c r="S372" s="25" t="n">
        <f aca="false">IFERROR(L372/Settings!$B$8,0)</f>
        <v>0</v>
      </c>
      <c r="T372" s="26" t="n">
        <f aca="false">IF(OR(B372="",P372="End of life"),0,W372*MIN(4,N372))</f>
        <v>0</v>
      </c>
      <c r="U372" s="27" t="n">
        <f aca="false">T372*Q372</f>
        <v>0</v>
      </c>
      <c r="V372" s="14" t="n">
        <f aca="false">IF(B372="",0,G372*N(IFERROR(INDEX(Options!$K$6:$K$85,MATCH($B372,Options!$A$6:$A$85,0)),"")))</f>
        <v>0</v>
      </c>
      <c r="W372" s="26" t="n">
        <f aca="false">IF(B372="",0,IF(N372&gt;=4,S372,(H372+I372+J372+K372)/(4-N372)))</f>
        <v>0</v>
      </c>
    </row>
    <row r="373" customFormat="false" ht="15" hidden="false" customHeight="false" outlineLevel="0" collapsed="false">
      <c r="A373" s="16"/>
      <c r="B373" s="16"/>
      <c r="C373" s="16"/>
      <c r="D373" s="16"/>
      <c r="E373" s="16"/>
      <c r="F373" s="16"/>
      <c r="G373" s="16"/>
      <c r="H373" s="16"/>
      <c r="I373" s="16"/>
      <c r="J373" s="16"/>
      <c r="K373" s="16"/>
      <c r="L373" s="16"/>
      <c r="M373" s="16"/>
      <c r="N373" s="16"/>
      <c r="O373" s="9" t="str">
        <f aca="false">IF(B373="","",IFERROR(INDEX(Options!$G$6:$G$85,MATCH($B373,Options!$A$6:$A$85,0)),""))</f>
        <v/>
      </c>
      <c r="P373" s="9" t="str">
        <f aca="false">IF(B373="","",IFERROR(INDEX(Options!$H$6:$H$85,MATCH($B373,Options!$A$6:$A$85,0)),""))</f>
        <v/>
      </c>
      <c r="Q373" s="24" t="n">
        <f aca="false">IF(B373="",0,N(IFERROR(INDEX(Options!$J$6:$J$85,MATCH($B373,Options!$A$6:$A$85,0)),"")))</f>
        <v>0</v>
      </c>
      <c r="R373" s="25" t="n">
        <f aca="false">K373*Settings!$B$10+J373*Settings!$B$11+I373*Settings!$B$12+H373*Settings!$B$13</f>
        <v>0</v>
      </c>
      <c r="S373" s="25" t="n">
        <f aca="false">IFERROR(L373/Settings!$B$8,0)</f>
        <v>0</v>
      </c>
      <c r="T373" s="26" t="n">
        <f aca="false">IF(OR(B373="",P373="End of life"),0,W373*MIN(4,N373))</f>
        <v>0</v>
      </c>
      <c r="U373" s="27" t="n">
        <f aca="false">T373*Q373</f>
        <v>0</v>
      </c>
      <c r="V373" s="14" t="n">
        <f aca="false">IF(B373="",0,G373*N(IFERROR(INDEX(Options!$K$6:$K$85,MATCH($B373,Options!$A$6:$A$85,0)),"")))</f>
        <v>0</v>
      </c>
      <c r="W373" s="26" t="n">
        <f aca="false">IF(B373="",0,IF(N373&gt;=4,S373,(H373+I373+J373+K373)/(4-N373)))</f>
        <v>0</v>
      </c>
    </row>
    <row r="374" customFormat="false" ht="15" hidden="false" customHeight="false" outlineLevel="0" collapsed="false">
      <c r="A374" s="16"/>
      <c r="B374" s="16"/>
      <c r="C374" s="16"/>
      <c r="D374" s="16"/>
      <c r="E374" s="16"/>
      <c r="F374" s="16"/>
      <c r="G374" s="16"/>
      <c r="H374" s="16"/>
      <c r="I374" s="16"/>
      <c r="J374" s="16"/>
      <c r="K374" s="16"/>
      <c r="L374" s="16"/>
      <c r="M374" s="16"/>
      <c r="N374" s="16"/>
      <c r="O374" s="9" t="str">
        <f aca="false">IF(B374="","",IFERROR(INDEX(Options!$G$6:$G$85,MATCH($B374,Options!$A$6:$A$85,0)),""))</f>
        <v/>
      </c>
      <c r="P374" s="9" t="str">
        <f aca="false">IF(B374="","",IFERROR(INDEX(Options!$H$6:$H$85,MATCH($B374,Options!$A$6:$A$85,0)),""))</f>
        <v/>
      </c>
      <c r="Q374" s="24" t="n">
        <f aca="false">IF(B374="",0,N(IFERROR(INDEX(Options!$J$6:$J$85,MATCH($B374,Options!$A$6:$A$85,0)),"")))</f>
        <v>0</v>
      </c>
      <c r="R374" s="25" t="n">
        <f aca="false">K374*Settings!$B$10+J374*Settings!$B$11+I374*Settings!$B$12+H374*Settings!$B$13</f>
        <v>0</v>
      </c>
      <c r="S374" s="25" t="n">
        <f aca="false">IFERROR(L374/Settings!$B$8,0)</f>
        <v>0</v>
      </c>
      <c r="T374" s="26" t="n">
        <f aca="false">IF(OR(B374="",P374="End of life"),0,W374*MIN(4,N374))</f>
        <v>0</v>
      </c>
      <c r="U374" s="27" t="n">
        <f aca="false">T374*Q374</f>
        <v>0</v>
      </c>
      <c r="V374" s="14" t="n">
        <f aca="false">IF(B374="",0,G374*N(IFERROR(INDEX(Options!$K$6:$K$85,MATCH($B374,Options!$A$6:$A$85,0)),"")))</f>
        <v>0</v>
      </c>
      <c r="W374" s="26" t="n">
        <f aca="false">IF(B374="",0,IF(N374&gt;=4,S374,(H374+I374+J374+K374)/(4-N374)))</f>
        <v>0</v>
      </c>
    </row>
    <row r="375" customFormat="false" ht="15" hidden="false" customHeight="false" outlineLevel="0" collapsed="false">
      <c r="A375" s="16"/>
      <c r="B375" s="16"/>
      <c r="C375" s="16"/>
      <c r="D375" s="16"/>
      <c r="E375" s="16"/>
      <c r="F375" s="16"/>
      <c r="G375" s="16"/>
      <c r="H375" s="16"/>
      <c r="I375" s="16"/>
      <c r="J375" s="16"/>
      <c r="K375" s="16"/>
      <c r="L375" s="16"/>
      <c r="M375" s="16"/>
      <c r="N375" s="16"/>
      <c r="O375" s="9" t="str">
        <f aca="false">IF(B375="","",IFERROR(INDEX(Options!$G$6:$G$85,MATCH($B375,Options!$A$6:$A$85,0)),""))</f>
        <v/>
      </c>
      <c r="P375" s="9" t="str">
        <f aca="false">IF(B375="","",IFERROR(INDEX(Options!$H$6:$H$85,MATCH($B375,Options!$A$6:$A$85,0)),""))</f>
        <v/>
      </c>
      <c r="Q375" s="24" t="n">
        <f aca="false">IF(B375="",0,N(IFERROR(INDEX(Options!$J$6:$J$85,MATCH($B375,Options!$A$6:$A$85,0)),"")))</f>
        <v>0</v>
      </c>
      <c r="R375" s="25" t="n">
        <f aca="false">K375*Settings!$B$10+J375*Settings!$B$11+I375*Settings!$B$12+H375*Settings!$B$13</f>
        <v>0</v>
      </c>
      <c r="S375" s="25" t="n">
        <f aca="false">IFERROR(L375/Settings!$B$8,0)</f>
        <v>0</v>
      </c>
      <c r="T375" s="26" t="n">
        <f aca="false">IF(OR(B375="",P375="End of life"),0,W375*MIN(4,N375))</f>
        <v>0</v>
      </c>
      <c r="U375" s="27" t="n">
        <f aca="false">T375*Q375</f>
        <v>0</v>
      </c>
      <c r="V375" s="14" t="n">
        <f aca="false">IF(B375="",0,G375*N(IFERROR(INDEX(Options!$K$6:$K$85,MATCH($B375,Options!$A$6:$A$85,0)),"")))</f>
        <v>0</v>
      </c>
      <c r="W375" s="26" t="n">
        <f aca="false">IF(B375="",0,IF(N375&gt;=4,S375,(H375+I375+J375+K375)/(4-N375)))</f>
        <v>0</v>
      </c>
    </row>
    <row r="376" customFormat="false" ht="15" hidden="false" customHeight="false" outlineLevel="0" collapsed="false">
      <c r="A376" s="16"/>
      <c r="B376" s="16"/>
      <c r="C376" s="16"/>
      <c r="D376" s="16"/>
      <c r="E376" s="16"/>
      <c r="F376" s="16"/>
      <c r="G376" s="16"/>
      <c r="H376" s="16"/>
      <c r="I376" s="16"/>
      <c r="J376" s="16"/>
      <c r="K376" s="16"/>
      <c r="L376" s="16"/>
      <c r="M376" s="16"/>
      <c r="N376" s="16"/>
      <c r="O376" s="9" t="str">
        <f aca="false">IF(B376="","",IFERROR(INDEX(Options!$G$6:$G$85,MATCH($B376,Options!$A$6:$A$85,0)),""))</f>
        <v/>
      </c>
      <c r="P376" s="9" t="str">
        <f aca="false">IF(B376="","",IFERROR(INDEX(Options!$H$6:$H$85,MATCH($B376,Options!$A$6:$A$85,0)),""))</f>
        <v/>
      </c>
      <c r="Q376" s="24" t="n">
        <f aca="false">IF(B376="",0,N(IFERROR(INDEX(Options!$J$6:$J$85,MATCH($B376,Options!$A$6:$A$85,0)),"")))</f>
        <v>0</v>
      </c>
      <c r="R376" s="25" t="n">
        <f aca="false">K376*Settings!$B$10+J376*Settings!$B$11+I376*Settings!$B$12+H376*Settings!$B$13</f>
        <v>0</v>
      </c>
      <c r="S376" s="25" t="n">
        <f aca="false">IFERROR(L376/Settings!$B$8,0)</f>
        <v>0</v>
      </c>
      <c r="T376" s="26" t="n">
        <f aca="false">IF(OR(B376="",P376="End of life"),0,W376*MIN(4,N376))</f>
        <v>0</v>
      </c>
      <c r="U376" s="27" t="n">
        <f aca="false">T376*Q376</f>
        <v>0</v>
      </c>
      <c r="V376" s="14" t="n">
        <f aca="false">IF(B376="",0,G376*N(IFERROR(INDEX(Options!$K$6:$K$85,MATCH($B376,Options!$A$6:$A$85,0)),"")))</f>
        <v>0</v>
      </c>
      <c r="W376" s="26" t="n">
        <f aca="false">IF(B376="",0,IF(N376&gt;=4,S376,(H376+I376+J376+K376)/(4-N376)))</f>
        <v>0</v>
      </c>
    </row>
    <row r="377" customFormat="false" ht="15" hidden="false" customHeight="false" outlineLevel="0" collapsed="false">
      <c r="A377" s="16"/>
      <c r="B377" s="16"/>
      <c r="C377" s="16"/>
      <c r="D377" s="16"/>
      <c r="E377" s="16"/>
      <c r="F377" s="16"/>
      <c r="G377" s="16"/>
      <c r="H377" s="16"/>
      <c r="I377" s="16"/>
      <c r="J377" s="16"/>
      <c r="K377" s="16"/>
      <c r="L377" s="16"/>
      <c r="M377" s="16"/>
      <c r="N377" s="16"/>
      <c r="O377" s="9" t="str">
        <f aca="false">IF(B377="","",IFERROR(INDEX(Options!$G$6:$G$85,MATCH($B377,Options!$A$6:$A$85,0)),""))</f>
        <v/>
      </c>
      <c r="P377" s="9" t="str">
        <f aca="false">IF(B377="","",IFERROR(INDEX(Options!$H$6:$H$85,MATCH($B377,Options!$A$6:$A$85,0)),""))</f>
        <v/>
      </c>
      <c r="Q377" s="24" t="n">
        <f aca="false">IF(B377="",0,N(IFERROR(INDEX(Options!$J$6:$J$85,MATCH($B377,Options!$A$6:$A$85,0)),"")))</f>
        <v>0</v>
      </c>
      <c r="R377" s="25" t="n">
        <f aca="false">K377*Settings!$B$10+J377*Settings!$B$11+I377*Settings!$B$12+H377*Settings!$B$13</f>
        <v>0</v>
      </c>
      <c r="S377" s="25" t="n">
        <f aca="false">IFERROR(L377/Settings!$B$8,0)</f>
        <v>0</v>
      </c>
      <c r="T377" s="26" t="n">
        <f aca="false">IF(OR(B377="",P377="End of life"),0,W377*MIN(4,N377))</f>
        <v>0</v>
      </c>
      <c r="U377" s="27" t="n">
        <f aca="false">T377*Q377</f>
        <v>0</v>
      </c>
      <c r="V377" s="14" t="n">
        <f aca="false">IF(B377="",0,G377*N(IFERROR(INDEX(Options!$K$6:$K$85,MATCH($B377,Options!$A$6:$A$85,0)),"")))</f>
        <v>0</v>
      </c>
      <c r="W377" s="26" t="n">
        <f aca="false">IF(B377="",0,IF(N377&gt;=4,S377,(H377+I377+J377+K377)/(4-N377)))</f>
        <v>0</v>
      </c>
    </row>
    <row r="378" customFormat="false" ht="15" hidden="false" customHeight="false" outlineLevel="0" collapsed="false">
      <c r="A378" s="16"/>
      <c r="B378" s="16"/>
      <c r="C378" s="16"/>
      <c r="D378" s="16"/>
      <c r="E378" s="16"/>
      <c r="F378" s="16"/>
      <c r="G378" s="16"/>
      <c r="H378" s="16"/>
      <c r="I378" s="16"/>
      <c r="J378" s="16"/>
      <c r="K378" s="16"/>
      <c r="L378" s="16"/>
      <c r="M378" s="16"/>
      <c r="N378" s="16"/>
      <c r="O378" s="9" t="str">
        <f aca="false">IF(B378="","",IFERROR(INDEX(Options!$G$6:$G$85,MATCH($B378,Options!$A$6:$A$85,0)),""))</f>
        <v/>
      </c>
      <c r="P378" s="9" t="str">
        <f aca="false">IF(B378="","",IFERROR(INDEX(Options!$H$6:$H$85,MATCH($B378,Options!$A$6:$A$85,0)),""))</f>
        <v/>
      </c>
      <c r="Q378" s="24" t="n">
        <f aca="false">IF(B378="",0,N(IFERROR(INDEX(Options!$J$6:$J$85,MATCH($B378,Options!$A$6:$A$85,0)),"")))</f>
        <v>0</v>
      </c>
      <c r="R378" s="25" t="n">
        <f aca="false">K378*Settings!$B$10+J378*Settings!$B$11+I378*Settings!$B$12+H378*Settings!$B$13</f>
        <v>0</v>
      </c>
      <c r="S378" s="25" t="n">
        <f aca="false">IFERROR(L378/Settings!$B$8,0)</f>
        <v>0</v>
      </c>
      <c r="T378" s="26" t="n">
        <f aca="false">IF(OR(B378="",P378="End of life"),0,W378*MIN(4,N378))</f>
        <v>0</v>
      </c>
      <c r="U378" s="27" t="n">
        <f aca="false">T378*Q378</f>
        <v>0</v>
      </c>
      <c r="V378" s="14" t="n">
        <f aca="false">IF(B378="",0,G378*N(IFERROR(INDEX(Options!$K$6:$K$85,MATCH($B378,Options!$A$6:$A$85,0)),"")))</f>
        <v>0</v>
      </c>
      <c r="W378" s="26" t="n">
        <f aca="false">IF(B378="",0,IF(N378&gt;=4,S378,(H378+I378+J378+K378)/(4-N378)))</f>
        <v>0</v>
      </c>
    </row>
    <row r="379" customFormat="false" ht="15" hidden="false" customHeight="false" outlineLevel="0" collapsed="false">
      <c r="A379" s="16"/>
      <c r="B379" s="16"/>
      <c r="C379" s="16"/>
      <c r="D379" s="16"/>
      <c r="E379" s="16"/>
      <c r="F379" s="16"/>
      <c r="G379" s="16"/>
      <c r="H379" s="16"/>
      <c r="I379" s="16"/>
      <c r="J379" s="16"/>
      <c r="K379" s="16"/>
      <c r="L379" s="16"/>
      <c r="M379" s="16"/>
      <c r="N379" s="16"/>
      <c r="O379" s="9" t="str">
        <f aca="false">IF(B379="","",IFERROR(INDEX(Options!$G$6:$G$85,MATCH($B379,Options!$A$6:$A$85,0)),""))</f>
        <v/>
      </c>
      <c r="P379" s="9" t="str">
        <f aca="false">IF(B379="","",IFERROR(INDEX(Options!$H$6:$H$85,MATCH($B379,Options!$A$6:$A$85,0)),""))</f>
        <v/>
      </c>
      <c r="Q379" s="24" t="n">
        <f aca="false">IF(B379="",0,N(IFERROR(INDEX(Options!$J$6:$J$85,MATCH($B379,Options!$A$6:$A$85,0)),"")))</f>
        <v>0</v>
      </c>
      <c r="R379" s="25" t="n">
        <f aca="false">K379*Settings!$B$10+J379*Settings!$B$11+I379*Settings!$B$12+H379*Settings!$B$13</f>
        <v>0</v>
      </c>
      <c r="S379" s="25" t="n">
        <f aca="false">IFERROR(L379/Settings!$B$8,0)</f>
        <v>0</v>
      </c>
      <c r="T379" s="26" t="n">
        <f aca="false">IF(OR(B379="",P379="End of life"),0,W379*MIN(4,N379))</f>
        <v>0</v>
      </c>
      <c r="U379" s="27" t="n">
        <f aca="false">T379*Q379</f>
        <v>0</v>
      </c>
      <c r="V379" s="14" t="n">
        <f aca="false">IF(B379="",0,G379*N(IFERROR(INDEX(Options!$K$6:$K$85,MATCH($B379,Options!$A$6:$A$85,0)),"")))</f>
        <v>0</v>
      </c>
      <c r="W379" s="26" t="n">
        <f aca="false">IF(B379="",0,IF(N379&gt;=4,S379,(H379+I379+J379+K379)/(4-N379)))</f>
        <v>0</v>
      </c>
    </row>
    <row r="380" customFormat="false" ht="15" hidden="false" customHeight="false" outlineLevel="0" collapsed="false">
      <c r="A380" s="16"/>
      <c r="B380" s="16"/>
      <c r="C380" s="16"/>
      <c r="D380" s="16"/>
      <c r="E380" s="16"/>
      <c r="F380" s="16"/>
      <c r="G380" s="16"/>
      <c r="H380" s="16"/>
      <c r="I380" s="16"/>
      <c r="J380" s="16"/>
      <c r="K380" s="16"/>
      <c r="L380" s="16"/>
      <c r="M380" s="16"/>
      <c r="N380" s="16"/>
      <c r="O380" s="9" t="str">
        <f aca="false">IF(B380="","",IFERROR(INDEX(Options!$G$6:$G$85,MATCH($B380,Options!$A$6:$A$85,0)),""))</f>
        <v/>
      </c>
      <c r="P380" s="9" t="str">
        <f aca="false">IF(B380="","",IFERROR(INDEX(Options!$H$6:$H$85,MATCH($B380,Options!$A$6:$A$85,0)),""))</f>
        <v/>
      </c>
      <c r="Q380" s="24" t="n">
        <f aca="false">IF(B380="",0,N(IFERROR(INDEX(Options!$J$6:$J$85,MATCH($B380,Options!$A$6:$A$85,0)),"")))</f>
        <v>0</v>
      </c>
      <c r="R380" s="25" t="n">
        <f aca="false">K380*Settings!$B$10+J380*Settings!$B$11+I380*Settings!$B$12+H380*Settings!$B$13</f>
        <v>0</v>
      </c>
      <c r="S380" s="25" t="n">
        <f aca="false">IFERROR(L380/Settings!$B$8,0)</f>
        <v>0</v>
      </c>
      <c r="T380" s="26" t="n">
        <f aca="false">IF(OR(B380="",P380="End of life"),0,W380*MIN(4,N380))</f>
        <v>0</v>
      </c>
      <c r="U380" s="27" t="n">
        <f aca="false">T380*Q380</f>
        <v>0</v>
      </c>
      <c r="V380" s="14" t="n">
        <f aca="false">IF(B380="",0,G380*N(IFERROR(INDEX(Options!$K$6:$K$85,MATCH($B380,Options!$A$6:$A$85,0)),"")))</f>
        <v>0</v>
      </c>
      <c r="W380" s="26" t="n">
        <f aca="false">IF(B380="",0,IF(N380&gt;=4,S380,(H380+I380+J380+K380)/(4-N380)))</f>
        <v>0</v>
      </c>
    </row>
    <row r="381" customFormat="false" ht="15" hidden="false" customHeight="false" outlineLevel="0" collapsed="false">
      <c r="A381" s="16"/>
      <c r="B381" s="16"/>
      <c r="C381" s="16"/>
      <c r="D381" s="16"/>
      <c r="E381" s="16"/>
      <c r="F381" s="16"/>
      <c r="G381" s="16"/>
      <c r="H381" s="16"/>
      <c r="I381" s="16"/>
      <c r="J381" s="16"/>
      <c r="K381" s="16"/>
      <c r="L381" s="16"/>
      <c r="M381" s="16"/>
      <c r="N381" s="16"/>
      <c r="O381" s="9" t="str">
        <f aca="false">IF(B381="","",IFERROR(INDEX(Options!$G$6:$G$85,MATCH($B381,Options!$A$6:$A$85,0)),""))</f>
        <v/>
      </c>
      <c r="P381" s="9" t="str">
        <f aca="false">IF(B381="","",IFERROR(INDEX(Options!$H$6:$H$85,MATCH($B381,Options!$A$6:$A$85,0)),""))</f>
        <v/>
      </c>
      <c r="Q381" s="24" t="n">
        <f aca="false">IF(B381="",0,N(IFERROR(INDEX(Options!$J$6:$J$85,MATCH($B381,Options!$A$6:$A$85,0)),"")))</f>
        <v>0</v>
      </c>
      <c r="R381" s="25" t="n">
        <f aca="false">K381*Settings!$B$10+J381*Settings!$B$11+I381*Settings!$B$12+H381*Settings!$B$13</f>
        <v>0</v>
      </c>
      <c r="S381" s="25" t="n">
        <f aca="false">IFERROR(L381/Settings!$B$8,0)</f>
        <v>0</v>
      </c>
      <c r="T381" s="26" t="n">
        <f aca="false">IF(OR(B381="",P381="End of life"),0,W381*MIN(4,N381))</f>
        <v>0</v>
      </c>
      <c r="U381" s="27" t="n">
        <f aca="false">T381*Q381</f>
        <v>0</v>
      </c>
      <c r="V381" s="14" t="n">
        <f aca="false">IF(B381="",0,G381*N(IFERROR(INDEX(Options!$K$6:$K$85,MATCH($B381,Options!$A$6:$A$85,0)),"")))</f>
        <v>0</v>
      </c>
      <c r="W381" s="26" t="n">
        <f aca="false">IF(B381="",0,IF(N381&gt;=4,S381,(H381+I381+J381+K381)/(4-N381)))</f>
        <v>0</v>
      </c>
    </row>
    <row r="382" customFormat="false" ht="15" hidden="false" customHeight="false" outlineLevel="0" collapsed="false">
      <c r="A382" s="16"/>
      <c r="B382" s="16"/>
      <c r="C382" s="16"/>
      <c r="D382" s="16"/>
      <c r="E382" s="16"/>
      <c r="F382" s="16"/>
      <c r="G382" s="16"/>
      <c r="H382" s="16"/>
      <c r="I382" s="16"/>
      <c r="J382" s="16"/>
      <c r="K382" s="16"/>
      <c r="L382" s="16"/>
      <c r="M382" s="16"/>
      <c r="N382" s="16"/>
      <c r="O382" s="9" t="str">
        <f aca="false">IF(B382="","",IFERROR(INDEX(Options!$G$6:$G$85,MATCH($B382,Options!$A$6:$A$85,0)),""))</f>
        <v/>
      </c>
      <c r="P382" s="9" t="str">
        <f aca="false">IF(B382="","",IFERROR(INDEX(Options!$H$6:$H$85,MATCH($B382,Options!$A$6:$A$85,0)),""))</f>
        <v/>
      </c>
      <c r="Q382" s="24" t="n">
        <f aca="false">IF(B382="",0,N(IFERROR(INDEX(Options!$J$6:$J$85,MATCH($B382,Options!$A$6:$A$85,0)),"")))</f>
        <v>0</v>
      </c>
      <c r="R382" s="25" t="n">
        <f aca="false">K382*Settings!$B$10+J382*Settings!$B$11+I382*Settings!$B$12+H382*Settings!$B$13</f>
        <v>0</v>
      </c>
      <c r="S382" s="25" t="n">
        <f aca="false">IFERROR(L382/Settings!$B$8,0)</f>
        <v>0</v>
      </c>
      <c r="T382" s="26" t="n">
        <f aca="false">IF(OR(B382="",P382="End of life"),0,W382*MIN(4,N382))</f>
        <v>0</v>
      </c>
      <c r="U382" s="27" t="n">
        <f aca="false">T382*Q382</f>
        <v>0</v>
      </c>
      <c r="V382" s="14" t="n">
        <f aca="false">IF(B382="",0,G382*N(IFERROR(INDEX(Options!$K$6:$K$85,MATCH($B382,Options!$A$6:$A$85,0)),"")))</f>
        <v>0</v>
      </c>
      <c r="W382" s="26" t="n">
        <f aca="false">IF(B382="",0,IF(N382&gt;=4,S382,(H382+I382+J382+K382)/(4-N382)))</f>
        <v>0</v>
      </c>
    </row>
    <row r="383" customFormat="false" ht="15" hidden="false" customHeight="false" outlineLevel="0" collapsed="false">
      <c r="A383" s="16"/>
      <c r="B383" s="16"/>
      <c r="C383" s="16"/>
      <c r="D383" s="16"/>
      <c r="E383" s="16"/>
      <c r="F383" s="16"/>
      <c r="G383" s="16"/>
      <c r="H383" s="16"/>
      <c r="I383" s="16"/>
      <c r="J383" s="16"/>
      <c r="K383" s="16"/>
      <c r="L383" s="16"/>
      <c r="M383" s="16"/>
      <c r="N383" s="16"/>
      <c r="O383" s="9" t="str">
        <f aca="false">IF(B383="","",IFERROR(INDEX(Options!$G$6:$G$85,MATCH($B383,Options!$A$6:$A$85,0)),""))</f>
        <v/>
      </c>
      <c r="P383" s="9" t="str">
        <f aca="false">IF(B383="","",IFERROR(INDEX(Options!$H$6:$H$85,MATCH($B383,Options!$A$6:$A$85,0)),""))</f>
        <v/>
      </c>
      <c r="Q383" s="24" t="n">
        <f aca="false">IF(B383="",0,N(IFERROR(INDEX(Options!$J$6:$J$85,MATCH($B383,Options!$A$6:$A$85,0)),"")))</f>
        <v>0</v>
      </c>
      <c r="R383" s="25" t="n">
        <f aca="false">K383*Settings!$B$10+J383*Settings!$B$11+I383*Settings!$B$12+H383*Settings!$B$13</f>
        <v>0</v>
      </c>
      <c r="S383" s="25" t="n">
        <f aca="false">IFERROR(L383/Settings!$B$8,0)</f>
        <v>0</v>
      </c>
      <c r="T383" s="26" t="n">
        <f aca="false">IF(OR(B383="",P383="End of life"),0,W383*MIN(4,N383))</f>
        <v>0</v>
      </c>
      <c r="U383" s="27" t="n">
        <f aca="false">T383*Q383</f>
        <v>0</v>
      </c>
      <c r="V383" s="14" t="n">
        <f aca="false">IF(B383="",0,G383*N(IFERROR(INDEX(Options!$K$6:$K$85,MATCH($B383,Options!$A$6:$A$85,0)),"")))</f>
        <v>0</v>
      </c>
      <c r="W383" s="26" t="n">
        <f aca="false">IF(B383="",0,IF(N383&gt;=4,S383,(H383+I383+J383+K383)/(4-N383)))</f>
        <v>0</v>
      </c>
    </row>
    <row r="384" customFormat="false" ht="15" hidden="false" customHeight="false" outlineLevel="0" collapsed="false">
      <c r="A384" s="16"/>
      <c r="B384" s="16"/>
      <c r="C384" s="16"/>
      <c r="D384" s="16"/>
      <c r="E384" s="16"/>
      <c r="F384" s="16"/>
      <c r="G384" s="16"/>
      <c r="H384" s="16"/>
      <c r="I384" s="16"/>
      <c r="J384" s="16"/>
      <c r="K384" s="16"/>
      <c r="L384" s="16"/>
      <c r="M384" s="16"/>
      <c r="N384" s="16"/>
      <c r="O384" s="9" t="str">
        <f aca="false">IF(B384="","",IFERROR(INDEX(Options!$G$6:$G$85,MATCH($B384,Options!$A$6:$A$85,0)),""))</f>
        <v/>
      </c>
      <c r="P384" s="9" t="str">
        <f aca="false">IF(B384="","",IFERROR(INDEX(Options!$H$6:$H$85,MATCH($B384,Options!$A$6:$A$85,0)),""))</f>
        <v/>
      </c>
      <c r="Q384" s="24" t="n">
        <f aca="false">IF(B384="",0,N(IFERROR(INDEX(Options!$J$6:$J$85,MATCH($B384,Options!$A$6:$A$85,0)),"")))</f>
        <v>0</v>
      </c>
      <c r="R384" s="25" t="n">
        <f aca="false">K384*Settings!$B$10+J384*Settings!$B$11+I384*Settings!$B$12+H384*Settings!$B$13</f>
        <v>0</v>
      </c>
      <c r="S384" s="25" t="n">
        <f aca="false">IFERROR(L384/Settings!$B$8,0)</f>
        <v>0</v>
      </c>
      <c r="T384" s="26" t="n">
        <f aca="false">IF(OR(B384="",P384="End of life"),0,W384*MIN(4,N384))</f>
        <v>0</v>
      </c>
      <c r="U384" s="27" t="n">
        <f aca="false">T384*Q384</f>
        <v>0</v>
      </c>
      <c r="V384" s="14" t="n">
        <f aca="false">IF(B384="",0,G384*N(IFERROR(INDEX(Options!$K$6:$K$85,MATCH($B384,Options!$A$6:$A$85,0)),"")))</f>
        <v>0</v>
      </c>
      <c r="W384" s="26" t="n">
        <f aca="false">IF(B384="",0,IF(N384&gt;=4,S384,(H384+I384+J384+K384)/(4-N384)))</f>
        <v>0</v>
      </c>
    </row>
    <row r="385" customFormat="false" ht="15" hidden="false" customHeight="false" outlineLevel="0" collapsed="false">
      <c r="A385" s="16"/>
      <c r="B385" s="16"/>
      <c r="C385" s="16"/>
      <c r="D385" s="16"/>
      <c r="E385" s="16"/>
      <c r="F385" s="16"/>
      <c r="G385" s="16"/>
      <c r="H385" s="16"/>
      <c r="I385" s="16"/>
      <c r="J385" s="16"/>
      <c r="K385" s="16"/>
      <c r="L385" s="16"/>
      <c r="M385" s="16"/>
      <c r="N385" s="16"/>
      <c r="O385" s="9" t="str">
        <f aca="false">IF(B385="","",IFERROR(INDEX(Options!$G$6:$G$85,MATCH($B385,Options!$A$6:$A$85,0)),""))</f>
        <v/>
      </c>
      <c r="P385" s="9" t="str">
        <f aca="false">IF(B385="","",IFERROR(INDEX(Options!$H$6:$H$85,MATCH($B385,Options!$A$6:$A$85,0)),""))</f>
        <v/>
      </c>
      <c r="Q385" s="24" t="n">
        <f aca="false">IF(B385="",0,N(IFERROR(INDEX(Options!$J$6:$J$85,MATCH($B385,Options!$A$6:$A$85,0)),"")))</f>
        <v>0</v>
      </c>
      <c r="R385" s="25" t="n">
        <f aca="false">K385*Settings!$B$10+J385*Settings!$B$11+I385*Settings!$B$12+H385*Settings!$B$13</f>
        <v>0</v>
      </c>
      <c r="S385" s="25" t="n">
        <f aca="false">IFERROR(L385/Settings!$B$8,0)</f>
        <v>0</v>
      </c>
      <c r="T385" s="26" t="n">
        <f aca="false">IF(OR(B385="",P385="End of life"),0,W385*MIN(4,N385))</f>
        <v>0</v>
      </c>
      <c r="U385" s="27" t="n">
        <f aca="false">T385*Q385</f>
        <v>0</v>
      </c>
      <c r="V385" s="14" t="n">
        <f aca="false">IF(B385="",0,G385*N(IFERROR(INDEX(Options!$K$6:$K$85,MATCH($B385,Options!$A$6:$A$85,0)),"")))</f>
        <v>0</v>
      </c>
      <c r="W385" s="26" t="n">
        <f aca="false">IF(B385="",0,IF(N385&gt;=4,S385,(H385+I385+J385+K385)/(4-N385)))</f>
        <v>0</v>
      </c>
    </row>
    <row r="386" customFormat="false" ht="15" hidden="false" customHeight="false" outlineLevel="0" collapsed="false">
      <c r="A386" s="16"/>
      <c r="B386" s="16"/>
      <c r="C386" s="16"/>
      <c r="D386" s="16"/>
      <c r="E386" s="16"/>
      <c r="F386" s="16"/>
      <c r="G386" s="16"/>
      <c r="H386" s="16"/>
      <c r="I386" s="16"/>
      <c r="J386" s="16"/>
      <c r="K386" s="16"/>
      <c r="L386" s="16"/>
      <c r="M386" s="16"/>
      <c r="N386" s="16"/>
      <c r="O386" s="9" t="str">
        <f aca="false">IF(B386="","",IFERROR(INDEX(Options!$G$6:$G$85,MATCH($B386,Options!$A$6:$A$85,0)),""))</f>
        <v/>
      </c>
      <c r="P386" s="9" t="str">
        <f aca="false">IF(B386="","",IFERROR(INDEX(Options!$H$6:$H$85,MATCH($B386,Options!$A$6:$A$85,0)),""))</f>
        <v/>
      </c>
      <c r="Q386" s="24" t="n">
        <f aca="false">IF(B386="",0,N(IFERROR(INDEX(Options!$J$6:$J$85,MATCH($B386,Options!$A$6:$A$85,0)),"")))</f>
        <v>0</v>
      </c>
      <c r="R386" s="25" t="n">
        <f aca="false">K386*Settings!$B$10+J386*Settings!$B$11+I386*Settings!$B$12+H386*Settings!$B$13</f>
        <v>0</v>
      </c>
      <c r="S386" s="25" t="n">
        <f aca="false">IFERROR(L386/Settings!$B$8,0)</f>
        <v>0</v>
      </c>
      <c r="T386" s="26" t="n">
        <f aca="false">IF(OR(B386="",P386="End of life"),0,W386*MIN(4,N386))</f>
        <v>0</v>
      </c>
      <c r="U386" s="27" t="n">
        <f aca="false">T386*Q386</f>
        <v>0</v>
      </c>
      <c r="V386" s="14" t="n">
        <f aca="false">IF(B386="",0,G386*N(IFERROR(INDEX(Options!$K$6:$K$85,MATCH($B386,Options!$A$6:$A$85,0)),"")))</f>
        <v>0</v>
      </c>
      <c r="W386" s="26" t="n">
        <f aca="false">IF(B386="",0,IF(N386&gt;=4,S386,(H386+I386+J386+K386)/(4-N386)))</f>
        <v>0</v>
      </c>
    </row>
    <row r="387" customFormat="false" ht="15" hidden="false" customHeight="false" outlineLevel="0" collapsed="false">
      <c r="A387" s="16"/>
      <c r="B387" s="16"/>
      <c r="C387" s="16"/>
      <c r="D387" s="16"/>
      <c r="E387" s="16"/>
      <c r="F387" s="16"/>
      <c r="G387" s="16"/>
      <c r="H387" s="16"/>
      <c r="I387" s="16"/>
      <c r="J387" s="16"/>
      <c r="K387" s="16"/>
      <c r="L387" s="16"/>
      <c r="M387" s="16"/>
      <c r="N387" s="16"/>
      <c r="O387" s="9" t="str">
        <f aca="false">IF(B387="","",IFERROR(INDEX(Options!$G$6:$G$85,MATCH($B387,Options!$A$6:$A$85,0)),""))</f>
        <v/>
      </c>
      <c r="P387" s="9" t="str">
        <f aca="false">IF(B387="","",IFERROR(INDEX(Options!$H$6:$H$85,MATCH($B387,Options!$A$6:$A$85,0)),""))</f>
        <v/>
      </c>
      <c r="Q387" s="24" t="n">
        <f aca="false">IF(B387="",0,N(IFERROR(INDEX(Options!$J$6:$J$85,MATCH($B387,Options!$A$6:$A$85,0)),"")))</f>
        <v>0</v>
      </c>
      <c r="R387" s="25" t="n">
        <f aca="false">K387*Settings!$B$10+J387*Settings!$B$11+I387*Settings!$B$12+H387*Settings!$B$13</f>
        <v>0</v>
      </c>
      <c r="S387" s="25" t="n">
        <f aca="false">IFERROR(L387/Settings!$B$8,0)</f>
        <v>0</v>
      </c>
      <c r="T387" s="26" t="n">
        <f aca="false">IF(OR(B387="",P387="End of life"),0,W387*MIN(4,N387))</f>
        <v>0</v>
      </c>
      <c r="U387" s="27" t="n">
        <f aca="false">T387*Q387</f>
        <v>0</v>
      </c>
      <c r="V387" s="14" t="n">
        <f aca="false">IF(B387="",0,G387*N(IFERROR(INDEX(Options!$K$6:$K$85,MATCH($B387,Options!$A$6:$A$85,0)),"")))</f>
        <v>0</v>
      </c>
      <c r="W387" s="26" t="n">
        <f aca="false">IF(B387="",0,IF(N387&gt;=4,S387,(H387+I387+J387+K387)/(4-N387)))</f>
        <v>0</v>
      </c>
    </row>
    <row r="388" customFormat="false" ht="15" hidden="false" customHeight="false" outlineLevel="0" collapsed="false">
      <c r="A388" s="16"/>
      <c r="B388" s="16"/>
      <c r="C388" s="16"/>
      <c r="D388" s="16"/>
      <c r="E388" s="16"/>
      <c r="F388" s="16"/>
      <c r="G388" s="16"/>
      <c r="H388" s="16"/>
      <c r="I388" s="16"/>
      <c r="J388" s="16"/>
      <c r="K388" s="16"/>
      <c r="L388" s="16"/>
      <c r="M388" s="16"/>
      <c r="N388" s="16"/>
      <c r="O388" s="9" t="str">
        <f aca="false">IF(B388="","",IFERROR(INDEX(Options!$G$6:$G$85,MATCH($B388,Options!$A$6:$A$85,0)),""))</f>
        <v/>
      </c>
      <c r="P388" s="9" t="str">
        <f aca="false">IF(B388="","",IFERROR(INDEX(Options!$H$6:$H$85,MATCH($B388,Options!$A$6:$A$85,0)),""))</f>
        <v/>
      </c>
      <c r="Q388" s="24" t="n">
        <f aca="false">IF(B388="",0,N(IFERROR(INDEX(Options!$J$6:$J$85,MATCH($B388,Options!$A$6:$A$85,0)),"")))</f>
        <v>0</v>
      </c>
      <c r="R388" s="25" t="n">
        <f aca="false">K388*Settings!$B$10+J388*Settings!$B$11+I388*Settings!$B$12+H388*Settings!$B$13</f>
        <v>0</v>
      </c>
      <c r="S388" s="25" t="n">
        <f aca="false">IFERROR(L388/Settings!$B$8,0)</f>
        <v>0</v>
      </c>
      <c r="T388" s="26" t="n">
        <f aca="false">IF(OR(B388="",P388="End of life"),0,W388*MIN(4,N388))</f>
        <v>0</v>
      </c>
      <c r="U388" s="27" t="n">
        <f aca="false">T388*Q388</f>
        <v>0</v>
      </c>
      <c r="V388" s="14" t="n">
        <f aca="false">IF(B388="",0,G388*N(IFERROR(INDEX(Options!$K$6:$K$85,MATCH($B388,Options!$A$6:$A$85,0)),"")))</f>
        <v>0</v>
      </c>
      <c r="W388" s="26" t="n">
        <f aca="false">IF(B388="",0,IF(N388&gt;=4,S388,(H388+I388+J388+K388)/(4-N388)))</f>
        <v>0</v>
      </c>
    </row>
    <row r="389" customFormat="false" ht="15" hidden="false" customHeight="false" outlineLevel="0" collapsed="false">
      <c r="A389" s="16"/>
      <c r="B389" s="16"/>
      <c r="C389" s="16"/>
      <c r="D389" s="16"/>
      <c r="E389" s="16"/>
      <c r="F389" s="16"/>
      <c r="G389" s="16"/>
      <c r="H389" s="16"/>
      <c r="I389" s="16"/>
      <c r="J389" s="16"/>
      <c r="K389" s="16"/>
      <c r="L389" s="16"/>
      <c r="M389" s="16"/>
      <c r="N389" s="16"/>
      <c r="O389" s="9" t="str">
        <f aca="false">IF(B389="","",IFERROR(INDEX(Options!$G$6:$G$85,MATCH($B389,Options!$A$6:$A$85,0)),""))</f>
        <v/>
      </c>
      <c r="P389" s="9" t="str">
        <f aca="false">IF(B389="","",IFERROR(INDEX(Options!$H$6:$H$85,MATCH($B389,Options!$A$6:$A$85,0)),""))</f>
        <v/>
      </c>
      <c r="Q389" s="24" t="n">
        <f aca="false">IF(B389="",0,N(IFERROR(INDEX(Options!$J$6:$J$85,MATCH($B389,Options!$A$6:$A$85,0)),"")))</f>
        <v>0</v>
      </c>
      <c r="R389" s="25" t="n">
        <f aca="false">K389*Settings!$B$10+J389*Settings!$B$11+I389*Settings!$B$12+H389*Settings!$B$13</f>
        <v>0</v>
      </c>
      <c r="S389" s="25" t="n">
        <f aca="false">IFERROR(L389/Settings!$B$8,0)</f>
        <v>0</v>
      </c>
      <c r="T389" s="26" t="n">
        <f aca="false">IF(OR(B389="",P389="End of life"),0,W389*MIN(4,N389))</f>
        <v>0</v>
      </c>
      <c r="U389" s="27" t="n">
        <f aca="false">T389*Q389</f>
        <v>0</v>
      </c>
      <c r="V389" s="14" t="n">
        <f aca="false">IF(B389="",0,G389*N(IFERROR(INDEX(Options!$K$6:$K$85,MATCH($B389,Options!$A$6:$A$85,0)),"")))</f>
        <v>0</v>
      </c>
      <c r="W389" s="26" t="n">
        <f aca="false">IF(B389="",0,IF(N389&gt;=4,S389,(H389+I389+J389+K389)/(4-N389)))</f>
        <v>0</v>
      </c>
    </row>
    <row r="390" customFormat="false" ht="15" hidden="false" customHeight="false" outlineLevel="0" collapsed="false">
      <c r="A390" s="16"/>
      <c r="B390" s="16"/>
      <c r="C390" s="16"/>
      <c r="D390" s="16"/>
      <c r="E390" s="16"/>
      <c r="F390" s="16"/>
      <c r="G390" s="16"/>
      <c r="H390" s="16"/>
      <c r="I390" s="16"/>
      <c r="J390" s="16"/>
      <c r="K390" s="16"/>
      <c r="L390" s="16"/>
      <c r="M390" s="16"/>
      <c r="N390" s="16"/>
      <c r="O390" s="9" t="str">
        <f aca="false">IF(B390="","",IFERROR(INDEX(Options!$G$6:$G$85,MATCH($B390,Options!$A$6:$A$85,0)),""))</f>
        <v/>
      </c>
      <c r="P390" s="9" t="str">
        <f aca="false">IF(B390="","",IFERROR(INDEX(Options!$H$6:$H$85,MATCH($B390,Options!$A$6:$A$85,0)),""))</f>
        <v/>
      </c>
      <c r="Q390" s="24" t="n">
        <f aca="false">IF(B390="",0,N(IFERROR(INDEX(Options!$J$6:$J$85,MATCH($B390,Options!$A$6:$A$85,0)),"")))</f>
        <v>0</v>
      </c>
      <c r="R390" s="25" t="n">
        <f aca="false">K390*Settings!$B$10+J390*Settings!$B$11+I390*Settings!$B$12+H390*Settings!$B$13</f>
        <v>0</v>
      </c>
      <c r="S390" s="25" t="n">
        <f aca="false">IFERROR(L390/Settings!$B$8,0)</f>
        <v>0</v>
      </c>
      <c r="T390" s="26" t="n">
        <f aca="false">IF(OR(B390="",P390="End of life"),0,W390*MIN(4,N390))</f>
        <v>0</v>
      </c>
      <c r="U390" s="27" t="n">
        <f aca="false">T390*Q390</f>
        <v>0</v>
      </c>
      <c r="V390" s="14" t="n">
        <f aca="false">IF(B390="",0,G390*N(IFERROR(INDEX(Options!$K$6:$K$85,MATCH($B390,Options!$A$6:$A$85,0)),"")))</f>
        <v>0</v>
      </c>
      <c r="W390" s="26" t="n">
        <f aca="false">IF(B390="",0,IF(N390&gt;=4,S390,(H390+I390+J390+K390)/(4-N390)))</f>
        <v>0</v>
      </c>
    </row>
    <row r="391" customFormat="false" ht="15" hidden="false" customHeight="false" outlineLevel="0" collapsed="false">
      <c r="A391" s="16"/>
      <c r="B391" s="16"/>
      <c r="C391" s="16"/>
      <c r="D391" s="16"/>
      <c r="E391" s="16"/>
      <c r="F391" s="16"/>
      <c r="G391" s="16"/>
      <c r="H391" s="16"/>
      <c r="I391" s="16"/>
      <c r="J391" s="16"/>
      <c r="K391" s="16"/>
      <c r="L391" s="16"/>
      <c r="M391" s="16"/>
      <c r="N391" s="16"/>
      <c r="O391" s="9" t="str">
        <f aca="false">IF(B391="","",IFERROR(INDEX(Options!$G$6:$G$85,MATCH($B391,Options!$A$6:$A$85,0)),""))</f>
        <v/>
      </c>
      <c r="P391" s="9" t="str">
        <f aca="false">IF(B391="","",IFERROR(INDEX(Options!$H$6:$H$85,MATCH($B391,Options!$A$6:$A$85,0)),""))</f>
        <v/>
      </c>
      <c r="Q391" s="24" t="n">
        <f aca="false">IF(B391="",0,N(IFERROR(INDEX(Options!$J$6:$J$85,MATCH($B391,Options!$A$6:$A$85,0)),"")))</f>
        <v>0</v>
      </c>
      <c r="R391" s="25" t="n">
        <f aca="false">K391*Settings!$B$10+J391*Settings!$B$11+I391*Settings!$B$12+H391*Settings!$B$13</f>
        <v>0</v>
      </c>
      <c r="S391" s="25" t="n">
        <f aca="false">IFERROR(L391/Settings!$B$8,0)</f>
        <v>0</v>
      </c>
      <c r="T391" s="26" t="n">
        <f aca="false">IF(OR(B391="",P391="End of life"),0,W391*MIN(4,N391))</f>
        <v>0</v>
      </c>
      <c r="U391" s="27" t="n">
        <f aca="false">T391*Q391</f>
        <v>0</v>
      </c>
      <c r="V391" s="14" t="n">
        <f aca="false">IF(B391="",0,G391*N(IFERROR(INDEX(Options!$K$6:$K$85,MATCH($B391,Options!$A$6:$A$85,0)),"")))</f>
        <v>0</v>
      </c>
      <c r="W391" s="26" t="n">
        <f aca="false">IF(B391="",0,IF(N391&gt;=4,S391,(H391+I391+J391+K391)/(4-N391)))</f>
        <v>0</v>
      </c>
    </row>
    <row r="392" customFormat="false" ht="15" hidden="false" customHeight="false" outlineLevel="0" collapsed="false">
      <c r="A392" s="16"/>
      <c r="B392" s="16"/>
      <c r="C392" s="16"/>
      <c r="D392" s="16"/>
      <c r="E392" s="16"/>
      <c r="F392" s="16"/>
      <c r="G392" s="16"/>
      <c r="H392" s="16"/>
      <c r="I392" s="16"/>
      <c r="J392" s="16"/>
      <c r="K392" s="16"/>
      <c r="L392" s="16"/>
      <c r="M392" s="16"/>
      <c r="N392" s="16"/>
      <c r="O392" s="9" t="str">
        <f aca="false">IF(B392="","",IFERROR(INDEX(Options!$G$6:$G$85,MATCH($B392,Options!$A$6:$A$85,0)),""))</f>
        <v/>
      </c>
      <c r="P392" s="9" t="str">
        <f aca="false">IF(B392="","",IFERROR(INDEX(Options!$H$6:$H$85,MATCH($B392,Options!$A$6:$A$85,0)),""))</f>
        <v/>
      </c>
      <c r="Q392" s="24" t="n">
        <f aca="false">IF(B392="",0,N(IFERROR(INDEX(Options!$J$6:$J$85,MATCH($B392,Options!$A$6:$A$85,0)),"")))</f>
        <v>0</v>
      </c>
      <c r="R392" s="25" t="n">
        <f aca="false">K392*Settings!$B$10+J392*Settings!$B$11+I392*Settings!$B$12+H392*Settings!$B$13</f>
        <v>0</v>
      </c>
      <c r="S392" s="25" t="n">
        <f aca="false">IFERROR(L392/Settings!$B$8,0)</f>
        <v>0</v>
      </c>
      <c r="T392" s="26" t="n">
        <f aca="false">IF(OR(B392="",P392="End of life"),0,W392*MIN(4,N392))</f>
        <v>0</v>
      </c>
      <c r="U392" s="27" t="n">
        <f aca="false">T392*Q392</f>
        <v>0</v>
      </c>
      <c r="V392" s="14" t="n">
        <f aca="false">IF(B392="",0,G392*N(IFERROR(INDEX(Options!$K$6:$K$85,MATCH($B392,Options!$A$6:$A$85,0)),"")))</f>
        <v>0</v>
      </c>
      <c r="W392" s="26" t="n">
        <f aca="false">IF(B392="",0,IF(N392&gt;=4,S392,(H392+I392+J392+K392)/(4-N392)))</f>
        <v>0</v>
      </c>
    </row>
    <row r="393" customFormat="false" ht="15" hidden="false" customHeight="false" outlineLevel="0" collapsed="false">
      <c r="A393" s="16"/>
      <c r="B393" s="16"/>
      <c r="C393" s="16"/>
      <c r="D393" s="16"/>
      <c r="E393" s="16"/>
      <c r="F393" s="16"/>
      <c r="G393" s="16"/>
      <c r="H393" s="16"/>
      <c r="I393" s="16"/>
      <c r="J393" s="16"/>
      <c r="K393" s="16"/>
      <c r="L393" s="16"/>
      <c r="M393" s="16"/>
      <c r="N393" s="16"/>
      <c r="O393" s="9" t="str">
        <f aca="false">IF(B393="","",IFERROR(INDEX(Options!$G$6:$G$85,MATCH($B393,Options!$A$6:$A$85,0)),""))</f>
        <v/>
      </c>
      <c r="P393" s="9" t="str">
        <f aca="false">IF(B393="","",IFERROR(INDEX(Options!$H$6:$H$85,MATCH($B393,Options!$A$6:$A$85,0)),""))</f>
        <v/>
      </c>
      <c r="Q393" s="24" t="n">
        <f aca="false">IF(B393="",0,N(IFERROR(INDEX(Options!$J$6:$J$85,MATCH($B393,Options!$A$6:$A$85,0)),"")))</f>
        <v>0</v>
      </c>
      <c r="R393" s="25" t="n">
        <f aca="false">K393*Settings!$B$10+J393*Settings!$B$11+I393*Settings!$B$12+H393*Settings!$B$13</f>
        <v>0</v>
      </c>
      <c r="S393" s="25" t="n">
        <f aca="false">IFERROR(L393/Settings!$B$8,0)</f>
        <v>0</v>
      </c>
      <c r="T393" s="26" t="n">
        <f aca="false">IF(OR(B393="",P393="End of life"),0,W393*MIN(4,N393))</f>
        <v>0</v>
      </c>
      <c r="U393" s="27" t="n">
        <f aca="false">T393*Q393</f>
        <v>0</v>
      </c>
      <c r="V393" s="14" t="n">
        <f aca="false">IF(B393="",0,G393*N(IFERROR(INDEX(Options!$K$6:$K$85,MATCH($B393,Options!$A$6:$A$85,0)),"")))</f>
        <v>0</v>
      </c>
      <c r="W393" s="26" t="n">
        <f aca="false">IF(B393="",0,IF(N393&gt;=4,S393,(H393+I393+J393+K393)/(4-N393)))</f>
        <v>0</v>
      </c>
    </row>
    <row r="394" customFormat="false" ht="15" hidden="false" customHeight="false" outlineLevel="0" collapsed="false">
      <c r="A394" s="16"/>
      <c r="B394" s="16"/>
      <c r="C394" s="16"/>
      <c r="D394" s="16"/>
      <c r="E394" s="16"/>
      <c r="F394" s="16"/>
      <c r="G394" s="16"/>
      <c r="H394" s="16"/>
      <c r="I394" s="16"/>
      <c r="J394" s="16"/>
      <c r="K394" s="16"/>
      <c r="L394" s="16"/>
      <c r="M394" s="16"/>
      <c r="N394" s="16"/>
      <c r="O394" s="9" t="str">
        <f aca="false">IF(B394="","",IFERROR(INDEX(Options!$G$6:$G$85,MATCH($B394,Options!$A$6:$A$85,0)),""))</f>
        <v/>
      </c>
      <c r="P394" s="9" t="str">
        <f aca="false">IF(B394="","",IFERROR(INDEX(Options!$H$6:$H$85,MATCH($B394,Options!$A$6:$A$85,0)),""))</f>
        <v/>
      </c>
      <c r="Q394" s="24" t="n">
        <f aca="false">IF(B394="",0,N(IFERROR(INDEX(Options!$J$6:$J$85,MATCH($B394,Options!$A$6:$A$85,0)),"")))</f>
        <v>0</v>
      </c>
      <c r="R394" s="25" t="n">
        <f aca="false">K394*Settings!$B$10+J394*Settings!$B$11+I394*Settings!$B$12+H394*Settings!$B$13</f>
        <v>0</v>
      </c>
      <c r="S394" s="25" t="n">
        <f aca="false">IFERROR(L394/Settings!$B$8,0)</f>
        <v>0</v>
      </c>
      <c r="T394" s="26" t="n">
        <f aca="false">IF(OR(B394="",P394="End of life"),0,W394*MIN(4,N394))</f>
        <v>0</v>
      </c>
      <c r="U394" s="27" t="n">
        <f aca="false">T394*Q394</f>
        <v>0</v>
      </c>
      <c r="V394" s="14" t="n">
        <f aca="false">IF(B394="",0,G394*N(IFERROR(INDEX(Options!$K$6:$K$85,MATCH($B394,Options!$A$6:$A$85,0)),"")))</f>
        <v>0</v>
      </c>
      <c r="W394" s="26" t="n">
        <f aca="false">IF(B394="",0,IF(N394&gt;=4,S394,(H394+I394+J394+K394)/(4-N394)))</f>
        <v>0</v>
      </c>
    </row>
    <row r="395" customFormat="false" ht="15" hidden="false" customHeight="false" outlineLevel="0" collapsed="false">
      <c r="A395" s="16"/>
      <c r="B395" s="16"/>
      <c r="C395" s="16"/>
      <c r="D395" s="16"/>
      <c r="E395" s="16"/>
      <c r="F395" s="16"/>
      <c r="G395" s="16"/>
      <c r="H395" s="16"/>
      <c r="I395" s="16"/>
      <c r="J395" s="16"/>
      <c r="K395" s="16"/>
      <c r="L395" s="16"/>
      <c r="M395" s="16"/>
      <c r="N395" s="16"/>
      <c r="O395" s="9" t="str">
        <f aca="false">IF(B395="","",IFERROR(INDEX(Options!$G$6:$G$85,MATCH($B395,Options!$A$6:$A$85,0)),""))</f>
        <v/>
      </c>
      <c r="P395" s="9" t="str">
        <f aca="false">IF(B395="","",IFERROR(INDEX(Options!$H$6:$H$85,MATCH($B395,Options!$A$6:$A$85,0)),""))</f>
        <v/>
      </c>
      <c r="Q395" s="24" t="n">
        <f aca="false">IF(B395="",0,N(IFERROR(INDEX(Options!$J$6:$J$85,MATCH($B395,Options!$A$6:$A$85,0)),"")))</f>
        <v>0</v>
      </c>
      <c r="R395" s="25" t="n">
        <f aca="false">K395*Settings!$B$10+J395*Settings!$B$11+I395*Settings!$B$12+H395*Settings!$B$13</f>
        <v>0</v>
      </c>
      <c r="S395" s="25" t="n">
        <f aca="false">IFERROR(L395/Settings!$B$8,0)</f>
        <v>0</v>
      </c>
      <c r="T395" s="26" t="n">
        <f aca="false">IF(OR(B395="",P395="End of life"),0,W395*MIN(4,N395))</f>
        <v>0</v>
      </c>
      <c r="U395" s="27" t="n">
        <f aca="false">T395*Q395</f>
        <v>0</v>
      </c>
      <c r="V395" s="14" t="n">
        <f aca="false">IF(B395="",0,G395*N(IFERROR(INDEX(Options!$K$6:$K$85,MATCH($B395,Options!$A$6:$A$85,0)),"")))</f>
        <v>0</v>
      </c>
      <c r="W395" s="26" t="n">
        <f aca="false">IF(B395="",0,IF(N395&gt;=4,S395,(H395+I395+J395+K395)/(4-N395)))</f>
        <v>0</v>
      </c>
    </row>
    <row r="396" customFormat="false" ht="15" hidden="false" customHeight="false" outlineLevel="0" collapsed="false">
      <c r="A396" s="16"/>
      <c r="B396" s="16"/>
      <c r="C396" s="16"/>
      <c r="D396" s="16"/>
      <c r="E396" s="16"/>
      <c r="F396" s="16"/>
      <c r="G396" s="16"/>
      <c r="H396" s="16"/>
      <c r="I396" s="16"/>
      <c r="J396" s="16"/>
      <c r="K396" s="16"/>
      <c r="L396" s="16"/>
      <c r="M396" s="16"/>
      <c r="N396" s="16"/>
      <c r="O396" s="9" t="str">
        <f aca="false">IF(B396="","",IFERROR(INDEX(Options!$G$6:$G$85,MATCH($B396,Options!$A$6:$A$85,0)),""))</f>
        <v/>
      </c>
      <c r="P396" s="9" t="str">
        <f aca="false">IF(B396="","",IFERROR(INDEX(Options!$H$6:$H$85,MATCH($B396,Options!$A$6:$A$85,0)),""))</f>
        <v/>
      </c>
      <c r="Q396" s="24" t="n">
        <f aca="false">IF(B396="",0,N(IFERROR(INDEX(Options!$J$6:$J$85,MATCH($B396,Options!$A$6:$A$85,0)),"")))</f>
        <v>0</v>
      </c>
      <c r="R396" s="25" t="n">
        <f aca="false">K396*Settings!$B$10+J396*Settings!$B$11+I396*Settings!$B$12+H396*Settings!$B$13</f>
        <v>0</v>
      </c>
      <c r="S396" s="25" t="n">
        <f aca="false">IFERROR(L396/Settings!$B$8,0)</f>
        <v>0</v>
      </c>
      <c r="T396" s="26" t="n">
        <f aca="false">IF(OR(B396="",P396="End of life"),0,W396*MIN(4,N396))</f>
        <v>0</v>
      </c>
      <c r="U396" s="27" t="n">
        <f aca="false">T396*Q396</f>
        <v>0</v>
      </c>
      <c r="V396" s="14" t="n">
        <f aca="false">IF(B396="",0,G396*N(IFERROR(INDEX(Options!$K$6:$K$85,MATCH($B396,Options!$A$6:$A$85,0)),"")))</f>
        <v>0</v>
      </c>
      <c r="W396" s="26" t="n">
        <f aca="false">IF(B396="",0,IF(N396&gt;=4,S396,(H396+I396+J396+K396)/(4-N396)))</f>
        <v>0</v>
      </c>
    </row>
    <row r="397" customFormat="false" ht="15" hidden="false" customHeight="false" outlineLevel="0" collapsed="false">
      <c r="A397" s="16"/>
      <c r="B397" s="16"/>
      <c r="C397" s="16"/>
      <c r="D397" s="16"/>
      <c r="E397" s="16"/>
      <c r="F397" s="16"/>
      <c r="G397" s="16"/>
      <c r="H397" s="16"/>
      <c r="I397" s="16"/>
      <c r="J397" s="16"/>
      <c r="K397" s="16"/>
      <c r="L397" s="16"/>
      <c r="M397" s="16"/>
      <c r="N397" s="16"/>
      <c r="O397" s="9" t="str">
        <f aca="false">IF(B397="","",IFERROR(INDEX(Options!$G$6:$G$85,MATCH($B397,Options!$A$6:$A$85,0)),""))</f>
        <v/>
      </c>
      <c r="P397" s="9" t="str">
        <f aca="false">IF(B397="","",IFERROR(INDEX(Options!$H$6:$H$85,MATCH($B397,Options!$A$6:$A$85,0)),""))</f>
        <v/>
      </c>
      <c r="Q397" s="24" t="n">
        <f aca="false">IF(B397="",0,N(IFERROR(INDEX(Options!$J$6:$J$85,MATCH($B397,Options!$A$6:$A$85,0)),"")))</f>
        <v>0</v>
      </c>
      <c r="R397" s="25" t="n">
        <f aca="false">K397*Settings!$B$10+J397*Settings!$B$11+I397*Settings!$B$12+H397*Settings!$B$13</f>
        <v>0</v>
      </c>
      <c r="S397" s="25" t="n">
        <f aca="false">IFERROR(L397/Settings!$B$8,0)</f>
        <v>0</v>
      </c>
      <c r="T397" s="26" t="n">
        <f aca="false">IF(OR(B397="",P397="End of life"),0,W397*MIN(4,N397))</f>
        <v>0</v>
      </c>
      <c r="U397" s="27" t="n">
        <f aca="false">T397*Q397</f>
        <v>0</v>
      </c>
      <c r="V397" s="14" t="n">
        <f aca="false">IF(B397="",0,G397*N(IFERROR(INDEX(Options!$K$6:$K$85,MATCH($B397,Options!$A$6:$A$85,0)),"")))</f>
        <v>0</v>
      </c>
      <c r="W397" s="26" t="n">
        <f aca="false">IF(B397="",0,IF(N397&gt;=4,S397,(H397+I397+J397+K397)/(4-N397)))</f>
        <v>0</v>
      </c>
    </row>
    <row r="398" customFormat="false" ht="15" hidden="false" customHeight="false" outlineLevel="0" collapsed="false">
      <c r="A398" s="16"/>
      <c r="B398" s="16"/>
      <c r="C398" s="16"/>
      <c r="D398" s="16"/>
      <c r="E398" s="16"/>
      <c r="F398" s="16"/>
      <c r="G398" s="16"/>
      <c r="H398" s="16"/>
      <c r="I398" s="16"/>
      <c r="J398" s="16"/>
      <c r="K398" s="16"/>
      <c r="L398" s="16"/>
      <c r="M398" s="16"/>
      <c r="N398" s="16"/>
      <c r="O398" s="9" t="str">
        <f aca="false">IF(B398="","",IFERROR(INDEX(Options!$G$6:$G$85,MATCH($B398,Options!$A$6:$A$85,0)),""))</f>
        <v/>
      </c>
      <c r="P398" s="9" t="str">
        <f aca="false">IF(B398="","",IFERROR(INDEX(Options!$H$6:$H$85,MATCH($B398,Options!$A$6:$A$85,0)),""))</f>
        <v/>
      </c>
      <c r="Q398" s="24" t="n">
        <f aca="false">IF(B398="",0,N(IFERROR(INDEX(Options!$J$6:$J$85,MATCH($B398,Options!$A$6:$A$85,0)),"")))</f>
        <v>0</v>
      </c>
      <c r="R398" s="25" t="n">
        <f aca="false">K398*Settings!$B$10+J398*Settings!$B$11+I398*Settings!$B$12+H398*Settings!$B$13</f>
        <v>0</v>
      </c>
      <c r="S398" s="25" t="n">
        <f aca="false">IFERROR(L398/Settings!$B$8,0)</f>
        <v>0</v>
      </c>
      <c r="T398" s="26" t="n">
        <f aca="false">IF(OR(B398="",P398="End of life"),0,W398*MIN(4,N398))</f>
        <v>0</v>
      </c>
      <c r="U398" s="27" t="n">
        <f aca="false">T398*Q398</f>
        <v>0</v>
      </c>
      <c r="V398" s="14" t="n">
        <f aca="false">IF(B398="",0,G398*N(IFERROR(INDEX(Options!$K$6:$K$85,MATCH($B398,Options!$A$6:$A$85,0)),"")))</f>
        <v>0</v>
      </c>
      <c r="W398" s="26" t="n">
        <f aca="false">IF(B398="",0,IF(N398&gt;=4,S398,(H398+I398+J398+K398)/(4-N398)))</f>
        <v>0</v>
      </c>
    </row>
    <row r="399" customFormat="false" ht="15" hidden="false" customHeight="false" outlineLevel="0" collapsed="false">
      <c r="A399" s="16"/>
      <c r="B399" s="16"/>
      <c r="C399" s="16"/>
      <c r="D399" s="16"/>
      <c r="E399" s="16"/>
      <c r="F399" s="16"/>
      <c r="G399" s="16"/>
      <c r="H399" s="16"/>
      <c r="I399" s="16"/>
      <c r="J399" s="16"/>
      <c r="K399" s="16"/>
      <c r="L399" s="16"/>
      <c r="M399" s="16"/>
      <c r="N399" s="16"/>
      <c r="O399" s="9" t="str">
        <f aca="false">IF(B399="","",IFERROR(INDEX(Options!$G$6:$G$85,MATCH($B399,Options!$A$6:$A$85,0)),""))</f>
        <v/>
      </c>
      <c r="P399" s="9" t="str">
        <f aca="false">IF(B399="","",IFERROR(INDEX(Options!$H$6:$H$85,MATCH($B399,Options!$A$6:$A$85,0)),""))</f>
        <v/>
      </c>
      <c r="Q399" s="24" t="n">
        <f aca="false">IF(B399="",0,N(IFERROR(INDEX(Options!$J$6:$J$85,MATCH($B399,Options!$A$6:$A$85,0)),"")))</f>
        <v>0</v>
      </c>
      <c r="R399" s="25" t="n">
        <f aca="false">K399*Settings!$B$10+J399*Settings!$B$11+I399*Settings!$B$12+H399*Settings!$B$13</f>
        <v>0</v>
      </c>
      <c r="S399" s="25" t="n">
        <f aca="false">IFERROR(L399/Settings!$B$8,0)</f>
        <v>0</v>
      </c>
      <c r="T399" s="26" t="n">
        <f aca="false">IF(OR(B399="",P399="End of life"),0,W399*MIN(4,N399))</f>
        <v>0</v>
      </c>
      <c r="U399" s="27" t="n">
        <f aca="false">T399*Q399</f>
        <v>0</v>
      </c>
      <c r="V399" s="14" t="n">
        <f aca="false">IF(B399="",0,G399*N(IFERROR(INDEX(Options!$K$6:$K$85,MATCH($B399,Options!$A$6:$A$85,0)),"")))</f>
        <v>0</v>
      </c>
      <c r="W399" s="26" t="n">
        <f aca="false">IF(B399="",0,IF(N399&gt;=4,S399,(H399+I399+J399+K399)/(4-N399)))</f>
        <v>0</v>
      </c>
    </row>
    <row r="400" customFormat="false" ht="15" hidden="false" customHeight="false" outlineLevel="0" collapsed="false">
      <c r="A400" s="16"/>
      <c r="B400" s="16"/>
      <c r="C400" s="16"/>
      <c r="D400" s="16"/>
      <c r="E400" s="16"/>
      <c r="F400" s="16"/>
      <c r="G400" s="16"/>
      <c r="H400" s="16"/>
      <c r="I400" s="16"/>
      <c r="J400" s="16"/>
      <c r="K400" s="16"/>
      <c r="L400" s="16"/>
      <c r="M400" s="16"/>
      <c r="N400" s="16"/>
      <c r="O400" s="9" t="str">
        <f aca="false">IF(B400="","",IFERROR(INDEX(Options!$G$6:$G$85,MATCH($B400,Options!$A$6:$A$85,0)),""))</f>
        <v/>
      </c>
      <c r="P400" s="9" t="str">
        <f aca="false">IF(B400="","",IFERROR(INDEX(Options!$H$6:$H$85,MATCH($B400,Options!$A$6:$A$85,0)),""))</f>
        <v/>
      </c>
      <c r="Q400" s="24" t="n">
        <f aca="false">IF(B400="",0,N(IFERROR(INDEX(Options!$J$6:$J$85,MATCH($B400,Options!$A$6:$A$85,0)),"")))</f>
        <v>0</v>
      </c>
      <c r="R400" s="25" t="n">
        <f aca="false">K400*Settings!$B$10+J400*Settings!$B$11+I400*Settings!$B$12+H400*Settings!$B$13</f>
        <v>0</v>
      </c>
      <c r="S400" s="25" t="n">
        <f aca="false">IFERROR(L400/Settings!$B$8,0)</f>
        <v>0</v>
      </c>
      <c r="T400" s="26" t="n">
        <f aca="false">IF(OR(B400="",P400="End of life"),0,W400*MIN(4,N400))</f>
        <v>0</v>
      </c>
      <c r="U400" s="27" t="n">
        <f aca="false">T400*Q400</f>
        <v>0</v>
      </c>
      <c r="V400" s="14" t="n">
        <f aca="false">IF(B400="",0,G400*N(IFERROR(INDEX(Options!$K$6:$K$85,MATCH($B400,Options!$A$6:$A$85,0)),"")))</f>
        <v>0</v>
      </c>
      <c r="W400" s="26" t="n">
        <f aca="false">IF(B400="",0,IF(N400&gt;=4,S400,(H400+I400+J400+K400)/(4-N400)))</f>
        <v>0</v>
      </c>
    </row>
    <row r="401" customFormat="false" ht="15" hidden="false" customHeight="false" outlineLevel="0" collapsed="false">
      <c r="A401" s="16"/>
      <c r="B401" s="16"/>
      <c r="C401" s="16"/>
      <c r="D401" s="16"/>
      <c r="E401" s="16"/>
      <c r="F401" s="16"/>
      <c r="G401" s="16"/>
      <c r="H401" s="16"/>
      <c r="I401" s="16"/>
      <c r="J401" s="16"/>
      <c r="K401" s="16"/>
      <c r="L401" s="16"/>
      <c r="M401" s="16"/>
      <c r="N401" s="16"/>
      <c r="O401" s="9" t="str">
        <f aca="false">IF(B401="","",IFERROR(INDEX(Options!$G$6:$G$85,MATCH($B401,Options!$A$6:$A$85,0)),""))</f>
        <v/>
      </c>
      <c r="P401" s="9" t="str">
        <f aca="false">IF(B401="","",IFERROR(INDEX(Options!$H$6:$H$85,MATCH($B401,Options!$A$6:$A$85,0)),""))</f>
        <v/>
      </c>
      <c r="Q401" s="24" t="n">
        <f aca="false">IF(B401="",0,N(IFERROR(INDEX(Options!$J$6:$J$85,MATCH($B401,Options!$A$6:$A$85,0)),"")))</f>
        <v>0</v>
      </c>
      <c r="R401" s="25" t="n">
        <f aca="false">K401*Settings!$B$10+J401*Settings!$B$11+I401*Settings!$B$12+H401*Settings!$B$13</f>
        <v>0</v>
      </c>
      <c r="S401" s="25" t="n">
        <f aca="false">IFERROR(L401/Settings!$B$8,0)</f>
        <v>0</v>
      </c>
      <c r="T401" s="26" t="n">
        <f aca="false">IF(OR(B401="",P401="End of life"),0,W401*MIN(4,N401))</f>
        <v>0</v>
      </c>
      <c r="U401" s="27" t="n">
        <f aca="false">T401*Q401</f>
        <v>0</v>
      </c>
      <c r="V401" s="14" t="n">
        <f aca="false">IF(B401="",0,G401*N(IFERROR(INDEX(Options!$K$6:$K$85,MATCH($B401,Options!$A$6:$A$85,0)),"")))</f>
        <v>0</v>
      </c>
      <c r="W401" s="26" t="n">
        <f aca="false">IF(B401="",0,IF(N401&gt;=4,S401,(H401+I401+J401+K401)/(4-N401)))</f>
        <v>0</v>
      </c>
    </row>
    <row r="402" customFormat="false" ht="15" hidden="false" customHeight="false" outlineLevel="0" collapsed="false">
      <c r="A402" s="16"/>
      <c r="B402" s="16"/>
      <c r="C402" s="16"/>
      <c r="D402" s="16"/>
      <c r="E402" s="16"/>
      <c r="F402" s="16"/>
      <c r="G402" s="16"/>
      <c r="H402" s="16"/>
      <c r="I402" s="16"/>
      <c r="J402" s="16"/>
      <c r="K402" s="16"/>
      <c r="L402" s="16"/>
      <c r="M402" s="16"/>
      <c r="N402" s="16"/>
      <c r="O402" s="9" t="str">
        <f aca="false">IF(B402="","",IFERROR(INDEX(Options!$G$6:$G$85,MATCH($B402,Options!$A$6:$A$85,0)),""))</f>
        <v/>
      </c>
      <c r="P402" s="9" t="str">
        <f aca="false">IF(B402="","",IFERROR(INDEX(Options!$H$6:$H$85,MATCH($B402,Options!$A$6:$A$85,0)),""))</f>
        <v/>
      </c>
      <c r="Q402" s="24" t="n">
        <f aca="false">IF(B402="",0,N(IFERROR(INDEX(Options!$J$6:$J$85,MATCH($B402,Options!$A$6:$A$85,0)),"")))</f>
        <v>0</v>
      </c>
      <c r="R402" s="25" t="n">
        <f aca="false">K402*Settings!$B$10+J402*Settings!$B$11+I402*Settings!$B$12+H402*Settings!$B$13</f>
        <v>0</v>
      </c>
      <c r="S402" s="25" t="n">
        <f aca="false">IFERROR(L402/Settings!$B$8,0)</f>
        <v>0</v>
      </c>
      <c r="T402" s="26" t="n">
        <f aca="false">IF(OR(B402="",P402="End of life"),0,W402*MIN(4,N402))</f>
        <v>0</v>
      </c>
      <c r="U402" s="27" t="n">
        <f aca="false">T402*Q402</f>
        <v>0</v>
      </c>
      <c r="V402" s="14" t="n">
        <f aca="false">IF(B402="",0,G402*N(IFERROR(INDEX(Options!$K$6:$K$85,MATCH($B402,Options!$A$6:$A$85,0)),"")))</f>
        <v>0</v>
      </c>
      <c r="W402" s="26" t="n">
        <f aca="false">IF(B402="",0,IF(N402&gt;=4,S402,(H402+I402+J402+K402)/(4-N402)))</f>
        <v>0</v>
      </c>
    </row>
    <row r="403" customFormat="false" ht="15" hidden="false" customHeight="false" outlineLevel="0" collapsed="false">
      <c r="A403" s="16"/>
      <c r="B403" s="16"/>
      <c r="C403" s="16"/>
      <c r="D403" s="16"/>
      <c r="E403" s="16"/>
      <c r="F403" s="16"/>
      <c r="G403" s="16"/>
      <c r="H403" s="16"/>
      <c r="I403" s="16"/>
      <c r="J403" s="16"/>
      <c r="K403" s="16"/>
      <c r="L403" s="16"/>
      <c r="M403" s="16"/>
      <c r="N403" s="16"/>
      <c r="O403" s="9" t="str">
        <f aca="false">IF(B403="","",IFERROR(INDEX(Options!$G$6:$G$85,MATCH($B403,Options!$A$6:$A$85,0)),""))</f>
        <v/>
      </c>
      <c r="P403" s="9" t="str">
        <f aca="false">IF(B403="","",IFERROR(INDEX(Options!$H$6:$H$85,MATCH($B403,Options!$A$6:$A$85,0)),""))</f>
        <v/>
      </c>
      <c r="Q403" s="24" t="n">
        <f aca="false">IF(B403="",0,N(IFERROR(INDEX(Options!$J$6:$J$85,MATCH($B403,Options!$A$6:$A$85,0)),"")))</f>
        <v>0</v>
      </c>
      <c r="R403" s="25" t="n">
        <f aca="false">K403*Settings!$B$10+J403*Settings!$B$11+I403*Settings!$B$12+H403*Settings!$B$13</f>
        <v>0</v>
      </c>
      <c r="S403" s="25" t="n">
        <f aca="false">IFERROR(L403/Settings!$B$8,0)</f>
        <v>0</v>
      </c>
      <c r="T403" s="26" t="n">
        <f aca="false">IF(OR(B403="",P403="End of life"),0,W403*MIN(4,N403))</f>
        <v>0</v>
      </c>
      <c r="U403" s="27" t="n">
        <f aca="false">T403*Q403</f>
        <v>0</v>
      </c>
      <c r="V403" s="14" t="n">
        <f aca="false">IF(B403="",0,G403*N(IFERROR(INDEX(Options!$K$6:$K$85,MATCH($B403,Options!$A$6:$A$85,0)),"")))</f>
        <v>0</v>
      </c>
      <c r="W403" s="26" t="n">
        <f aca="false">IF(B403="",0,IF(N403&gt;=4,S403,(H403+I403+J403+K403)/(4-N403)))</f>
        <v>0</v>
      </c>
    </row>
    <row r="404" customFormat="false" ht="15" hidden="false" customHeight="false" outlineLevel="0" collapsed="false">
      <c r="A404" s="16"/>
      <c r="B404" s="16"/>
      <c r="C404" s="16"/>
      <c r="D404" s="16"/>
      <c r="E404" s="16"/>
      <c r="F404" s="16"/>
      <c r="G404" s="16"/>
      <c r="H404" s="16"/>
      <c r="I404" s="16"/>
      <c r="J404" s="16"/>
      <c r="K404" s="16"/>
      <c r="L404" s="16"/>
      <c r="M404" s="16"/>
      <c r="N404" s="16"/>
      <c r="O404" s="9" t="str">
        <f aca="false">IF(B404="","",IFERROR(INDEX(Options!$G$6:$G$85,MATCH($B404,Options!$A$6:$A$85,0)),""))</f>
        <v/>
      </c>
      <c r="P404" s="9" t="str">
        <f aca="false">IF(B404="","",IFERROR(INDEX(Options!$H$6:$H$85,MATCH($B404,Options!$A$6:$A$85,0)),""))</f>
        <v/>
      </c>
      <c r="Q404" s="24" t="n">
        <f aca="false">IF(B404="",0,N(IFERROR(INDEX(Options!$J$6:$J$85,MATCH($B404,Options!$A$6:$A$85,0)),"")))</f>
        <v>0</v>
      </c>
      <c r="R404" s="25" t="n">
        <f aca="false">K404*Settings!$B$10+J404*Settings!$B$11+I404*Settings!$B$12+H404*Settings!$B$13</f>
        <v>0</v>
      </c>
      <c r="S404" s="25" t="n">
        <f aca="false">IFERROR(L404/Settings!$B$8,0)</f>
        <v>0</v>
      </c>
      <c r="T404" s="26" t="n">
        <f aca="false">IF(OR(B404="",P404="End of life"),0,W404*MIN(4,N404))</f>
        <v>0</v>
      </c>
      <c r="U404" s="27" t="n">
        <f aca="false">T404*Q404</f>
        <v>0</v>
      </c>
      <c r="V404" s="14" t="n">
        <f aca="false">IF(B404="",0,G404*N(IFERROR(INDEX(Options!$K$6:$K$85,MATCH($B404,Options!$A$6:$A$85,0)),"")))</f>
        <v>0</v>
      </c>
      <c r="W404" s="26" t="n">
        <f aca="false">IF(B404="",0,IF(N404&gt;=4,S404,(H404+I404+J404+K404)/(4-N404)))</f>
        <v>0</v>
      </c>
    </row>
    <row r="405" customFormat="false" ht="15" hidden="false" customHeight="false" outlineLevel="0" collapsed="false">
      <c r="A405" s="16"/>
      <c r="B405" s="16"/>
      <c r="C405" s="16"/>
      <c r="D405" s="16"/>
      <c r="E405" s="16"/>
      <c r="F405" s="16"/>
      <c r="G405" s="16"/>
      <c r="H405" s="16"/>
      <c r="I405" s="16"/>
      <c r="J405" s="16"/>
      <c r="K405" s="16"/>
      <c r="L405" s="16"/>
      <c r="M405" s="16"/>
      <c r="N405" s="16"/>
      <c r="O405" s="9" t="str">
        <f aca="false">IF(B405="","",IFERROR(INDEX(Options!$G$6:$G$85,MATCH($B405,Options!$A$6:$A$85,0)),""))</f>
        <v/>
      </c>
      <c r="P405" s="9" t="str">
        <f aca="false">IF(B405="","",IFERROR(INDEX(Options!$H$6:$H$85,MATCH($B405,Options!$A$6:$A$85,0)),""))</f>
        <v/>
      </c>
      <c r="Q405" s="24" t="n">
        <f aca="false">IF(B405="",0,N(IFERROR(INDEX(Options!$J$6:$J$85,MATCH($B405,Options!$A$6:$A$85,0)),"")))</f>
        <v>0</v>
      </c>
      <c r="R405" s="25" t="n">
        <f aca="false">K405*Settings!$B$10+J405*Settings!$B$11+I405*Settings!$B$12+H405*Settings!$B$13</f>
        <v>0</v>
      </c>
      <c r="S405" s="25" t="n">
        <f aca="false">IFERROR(L405/Settings!$B$8,0)</f>
        <v>0</v>
      </c>
      <c r="T405" s="26" t="n">
        <f aca="false">IF(OR(B405="",P405="End of life"),0,W405*MIN(4,N405))</f>
        <v>0</v>
      </c>
      <c r="U405" s="27" t="n">
        <f aca="false">T405*Q405</f>
        <v>0</v>
      </c>
      <c r="V405" s="14" t="n">
        <f aca="false">IF(B405="",0,G405*N(IFERROR(INDEX(Options!$K$6:$K$85,MATCH($B405,Options!$A$6:$A$85,0)),"")))</f>
        <v>0</v>
      </c>
      <c r="W405" s="26" t="n">
        <f aca="false">IF(B405="",0,IF(N405&gt;=4,S405,(H405+I405+J405+K405)/(4-N405)))</f>
        <v>0</v>
      </c>
    </row>
    <row r="406" customFormat="false" ht="15" hidden="false" customHeight="false" outlineLevel="0" collapsed="false">
      <c r="A406" s="16"/>
      <c r="B406" s="16"/>
      <c r="C406" s="16"/>
      <c r="D406" s="16"/>
      <c r="E406" s="16"/>
      <c r="F406" s="16"/>
      <c r="G406" s="16"/>
      <c r="H406" s="16"/>
      <c r="I406" s="16"/>
      <c r="J406" s="16"/>
      <c r="K406" s="16"/>
      <c r="L406" s="16"/>
      <c r="M406" s="16"/>
      <c r="N406" s="16"/>
      <c r="O406" s="9" t="str">
        <f aca="false">IF(B406="","",IFERROR(INDEX(Options!$G$6:$G$85,MATCH($B406,Options!$A$6:$A$85,0)),""))</f>
        <v/>
      </c>
      <c r="P406" s="9" t="str">
        <f aca="false">IF(B406="","",IFERROR(INDEX(Options!$H$6:$H$85,MATCH($B406,Options!$A$6:$A$85,0)),""))</f>
        <v/>
      </c>
      <c r="Q406" s="24" t="n">
        <f aca="false">IF(B406="",0,N(IFERROR(INDEX(Options!$J$6:$J$85,MATCH($B406,Options!$A$6:$A$85,0)),"")))</f>
        <v>0</v>
      </c>
      <c r="R406" s="25" t="n">
        <f aca="false">K406*Settings!$B$10+J406*Settings!$B$11+I406*Settings!$B$12+H406*Settings!$B$13</f>
        <v>0</v>
      </c>
      <c r="S406" s="25" t="n">
        <f aca="false">IFERROR(L406/Settings!$B$8,0)</f>
        <v>0</v>
      </c>
      <c r="T406" s="26" t="n">
        <f aca="false">IF(OR(B406="",P406="End of life"),0,W406*MIN(4,N406))</f>
        <v>0</v>
      </c>
      <c r="U406" s="27" t="n">
        <f aca="false">T406*Q406</f>
        <v>0</v>
      </c>
      <c r="V406" s="14" t="n">
        <f aca="false">IF(B406="",0,G406*N(IFERROR(INDEX(Options!$K$6:$K$85,MATCH($B406,Options!$A$6:$A$85,0)),"")))</f>
        <v>0</v>
      </c>
      <c r="W406" s="26" t="n">
        <f aca="false">IF(B406="",0,IF(N406&gt;=4,S406,(H406+I406+J406+K406)/(4-N406)))</f>
        <v>0</v>
      </c>
    </row>
    <row r="407" customFormat="false" ht="15" hidden="false" customHeight="false" outlineLevel="0" collapsed="false">
      <c r="A407" s="16"/>
      <c r="B407" s="16"/>
      <c r="C407" s="16"/>
      <c r="D407" s="16"/>
      <c r="E407" s="16"/>
      <c r="F407" s="16"/>
      <c r="G407" s="16"/>
      <c r="H407" s="16"/>
      <c r="I407" s="16"/>
      <c r="J407" s="16"/>
      <c r="K407" s="16"/>
      <c r="L407" s="16"/>
      <c r="M407" s="16"/>
      <c r="N407" s="16"/>
      <c r="O407" s="9" t="str">
        <f aca="false">IF(B407="","",IFERROR(INDEX(Options!$G$6:$G$85,MATCH($B407,Options!$A$6:$A$85,0)),""))</f>
        <v/>
      </c>
      <c r="P407" s="9" t="str">
        <f aca="false">IF(B407="","",IFERROR(INDEX(Options!$H$6:$H$85,MATCH($B407,Options!$A$6:$A$85,0)),""))</f>
        <v/>
      </c>
      <c r="Q407" s="24" t="n">
        <f aca="false">IF(B407="",0,N(IFERROR(INDEX(Options!$J$6:$J$85,MATCH($B407,Options!$A$6:$A$85,0)),"")))</f>
        <v>0</v>
      </c>
      <c r="R407" s="25" t="n">
        <f aca="false">K407*Settings!$B$10+J407*Settings!$B$11+I407*Settings!$B$12+H407*Settings!$B$13</f>
        <v>0</v>
      </c>
      <c r="S407" s="25" t="n">
        <f aca="false">IFERROR(L407/Settings!$B$8,0)</f>
        <v>0</v>
      </c>
      <c r="T407" s="26" t="n">
        <f aca="false">IF(OR(B407="",P407="End of life"),0,W407*MIN(4,N407))</f>
        <v>0</v>
      </c>
      <c r="U407" s="27" t="n">
        <f aca="false">T407*Q407</f>
        <v>0</v>
      </c>
      <c r="V407" s="14" t="n">
        <f aca="false">IF(B407="",0,G407*N(IFERROR(INDEX(Options!$K$6:$K$85,MATCH($B407,Options!$A$6:$A$85,0)),"")))</f>
        <v>0</v>
      </c>
      <c r="W407" s="26" t="n">
        <f aca="false">IF(B407="",0,IF(N407&gt;=4,S407,(H407+I407+J407+K407)/(4-N407)))</f>
        <v>0</v>
      </c>
    </row>
    <row r="408" customFormat="false" ht="15" hidden="false" customHeight="false" outlineLevel="0" collapsed="false">
      <c r="A408" s="16"/>
      <c r="B408" s="16"/>
      <c r="C408" s="16"/>
      <c r="D408" s="16"/>
      <c r="E408" s="16"/>
      <c r="F408" s="16"/>
      <c r="G408" s="16"/>
      <c r="H408" s="16"/>
      <c r="I408" s="16"/>
      <c r="J408" s="16"/>
      <c r="K408" s="16"/>
      <c r="L408" s="16"/>
      <c r="M408" s="16"/>
      <c r="N408" s="16"/>
      <c r="O408" s="9" t="str">
        <f aca="false">IF(B408="","",IFERROR(INDEX(Options!$G$6:$G$85,MATCH($B408,Options!$A$6:$A$85,0)),""))</f>
        <v/>
      </c>
      <c r="P408" s="9" t="str">
        <f aca="false">IF(B408="","",IFERROR(INDEX(Options!$H$6:$H$85,MATCH($B408,Options!$A$6:$A$85,0)),""))</f>
        <v/>
      </c>
      <c r="Q408" s="24" t="n">
        <f aca="false">IF(B408="",0,N(IFERROR(INDEX(Options!$J$6:$J$85,MATCH($B408,Options!$A$6:$A$85,0)),"")))</f>
        <v>0</v>
      </c>
      <c r="R408" s="25" t="n">
        <f aca="false">K408*Settings!$B$10+J408*Settings!$B$11+I408*Settings!$B$12+H408*Settings!$B$13</f>
        <v>0</v>
      </c>
      <c r="S408" s="25" t="n">
        <f aca="false">IFERROR(L408/Settings!$B$8,0)</f>
        <v>0</v>
      </c>
      <c r="T408" s="26" t="n">
        <f aca="false">IF(OR(B408="",P408="End of life"),0,W408*MIN(4,N408))</f>
        <v>0</v>
      </c>
      <c r="U408" s="27" t="n">
        <f aca="false">T408*Q408</f>
        <v>0</v>
      </c>
      <c r="V408" s="14" t="n">
        <f aca="false">IF(B408="",0,G408*N(IFERROR(INDEX(Options!$K$6:$K$85,MATCH($B408,Options!$A$6:$A$85,0)),"")))</f>
        <v>0</v>
      </c>
      <c r="W408" s="26" t="n">
        <f aca="false">IF(B408="",0,IF(N408&gt;=4,S408,(H408+I408+J408+K408)/(4-N408)))</f>
        <v>0</v>
      </c>
    </row>
    <row r="409" customFormat="false" ht="15" hidden="false" customHeight="false" outlineLevel="0" collapsed="false">
      <c r="A409" s="16"/>
      <c r="B409" s="16"/>
      <c r="C409" s="16"/>
      <c r="D409" s="16"/>
      <c r="E409" s="16"/>
      <c r="F409" s="16"/>
      <c r="G409" s="16"/>
      <c r="H409" s="16"/>
      <c r="I409" s="16"/>
      <c r="J409" s="16"/>
      <c r="K409" s="16"/>
      <c r="L409" s="16"/>
      <c r="M409" s="16"/>
      <c r="N409" s="16"/>
      <c r="O409" s="9" t="str">
        <f aca="false">IF(B409="","",IFERROR(INDEX(Options!$G$6:$G$85,MATCH($B409,Options!$A$6:$A$85,0)),""))</f>
        <v/>
      </c>
      <c r="P409" s="9" t="str">
        <f aca="false">IF(B409="","",IFERROR(INDEX(Options!$H$6:$H$85,MATCH($B409,Options!$A$6:$A$85,0)),""))</f>
        <v/>
      </c>
      <c r="Q409" s="24" t="n">
        <f aca="false">IF(B409="",0,N(IFERROR(INDEX(Options!$J$6:$J$85,MATCH($B409,Options!$A$6:$A$85,0)),"")))</f>
        <v>0</v>
      </c>
      <c r="R409" s="25" t="n">
        <f aca="false">K409*Settings!$B$10+J409*Settings!$B$11+I409*Settings!$B$12+H409*Settings!$B$13</f>
        <v>0</v>
      </c>
      <c r="S409" s="25" t="n">
        <f aca="false">IFERROR(L409/Settings!$B$8,0)</f>
        <v>0</v>
      </c>
      <c r="T409" s="26" t="n">
        <f aca="false">IF(OR(B409="",P409="End of life"),0,W409*MIN(4,N409))</f>
        <v>0</v>
      </c>
      <c r="U409" s="27" t="n">
        <f aca="false">T409*Q409</f>
        <v>0</v>
      </c>
      <c r="V409" s="14" t="n">
        <f aca="false">IF(B409="",0,G409*N(IFERROR(INDEX(Options!$K$6:$K$85,MATCH($B409,Options!$A$6:$A$85,0)),"")))</f>
        <v>0</v>
      </c>
      <c r="W409" s="26" t="n">
        <f aca="false">IF(B409="",0,IF(N409&gt;=4,S409,(H409+I409+J409+K409)/(4-N409)))</f>
        <v>0</v>
      </c>
    </row>
    <row r="410" customFormat="false" ht="15" hidden="false" customHeight="false" outlineLevel="0" collapsed="false">
      <c r="A410" s="16"/>
      <c r="B410" s="16"/>
      <c r="C410" s="16"/>
      <c r="D410" s="16"/>
      <c r="E410" s="16"/>
      <c r="F410" s="16"/>
      <c r="G410" s="16"/>
      <c r="H410" s="16"/>
      <c r="I410" s="16"/>
      <c r="J410" s="16"/>
      <c r="K410" s="16"/>
      <c r="L410" s="16"/>
      <c r="M410" s="16"/>
      <c r="N410" s="16"/>
      <c r="O410" s="9" t="str">
        <f aca="false">IF(B410="","",IFERROR(INDEX(Options!$G$6:$G$85,MATCH($B410,Options!$A$6:$A$85,0)),""))</f>
        <v/>
      </c>
      <c r="P410" s="9" t="str">
        <f aca="false">IF(B410="","",IFERROR(INDEX(Options!$H$6:$H$85,MATCH($B410,Options!$A$6:$A$85,0)),""))</f>
        <v/>
      </c>
      <c r="Q410" s="24" t="n">
        <f aca="false">IF(B410="",0,N(IFERROR(INDEX(Options!$J$6:$J$85,MATCH($B410,Options!$A$6:$A$85,0)),"")))</f>
        <v>0</v>
      </c>
      <c r="R410" s="25" t="n">
        <f aca="false">K410*Settings!$B$10+J410*Settings!$B$11+I410*Settings!$B$12+H410*Settings!$B$13</f>
        <v>0</v>
      </c>
      <c r="S410" s="25" t="n">
        <f aca="false">IFERROR(L410/Settings!$B$8,0)</f>
        <v>0</v>
      </c>
      <c r="T410" s="26" t="n">
        <f aca="false">IF(OR(B410="",P410="End of life"),0,W410*MIN(4,N410))</f>
        <v>0</v>
      </c>
      <c r="U410" s="27" t="n">
        <f aca="false">T410*Q410</f>
        <v>0</v>
      </c>
      <c r="V410" s="14" t="n">
        <f aca="false">IF(B410="",0,G410*N(IFERROR(INDEX(Options!$K$6:$K$85,MATCH($B410,Options!$A$6:$A$85,0)),"")))</f>
        <v>0</v>
      </c>
      <c r="W410" s="26" t="n">
        <f aca="false">IF(B410="",0,IF(N410&gt;=4,S410,(H410+I410+J410+K410)/(4-N410)))</f>
        <v>0</v>
      </c>
    </row>
    <row r="411" customFormat="false" ht="15" hidden="false" customHeight="false" outlineLevel="0" collapsed="false">
      <c r="A411" s="16"/>
      <c r="B411" s="16"/>
      <c r="C411" s="16"/>
      <c r="D411" s="16"/>
      <c r="E411" s="16"/>
      <c r="F411" s="16"/>
      <c r="G411" s="16"/>
      <c r="H411" s="16"/>
      <c r="I411" s="16"/>
      <c r="J411" s="16"/>
      <c r="K411" s="16"/>
      <c r="L411" s="16"/>
      <c r="M411" s="16"/>
      <c r="N411" s="16"/>
      <c r="O411" s="9" t="str">
        <f aca="false">IF(B411="","",IFERROR(INDEX(Options!$G$6:$G$85,MATCH($B411,Options!$A$6:$A$85,0)),""))</f>
        <v/>
      </c>
      <c r="P411" s="9" t="str">
        <f aca="false">IF(B411="","",IFERROR(INDEX(Options!$H$6:$H$85,MATCH($B411,Options!$A$6:$A$85,0)),""))</f>
        <v/>
      </c>
      <c r="Q411" s="24" t="n">
        <f aca="false">IF(B411="",0,N(IFERROR(INDEX(Options!$J$6:$J$85,MATCH($B411,Options!$A$6:$A$85,0)),"")))</f>
        <v>0</v>
      </c>
      <c r="R411" s="25" t="n">
        <f aca="false">K411*Settings!$B$10+J411*Settings!$B$11+I411*Settings!$B$12+H411*Settings!$B$13</f>
        <v>0</v>
      </c>
      <c r="S411" s="25" t="n">
        <f aca="false">IFERROR(L411/Settings!$B$8,0)</f>
        <v>0</v>
      </c>
      <c r="T411" s="26" t="n">
        <f aca="false">IF(OR(B411="",P411="End of life"),0,W411*MIN(4,N411))</f>
        <v>0</v>
      </c>
      <c r="U411" s="27" t="n">
        <f aca="false">T411*Q411</f>
        <v>0</v>
      </c>
      <c r="V411" s="14" t="n">
        <f aca="false">IF(B411="",0,G411*N(IFERROR(INDEX(Options!$K$6:$K$85,MATCH($B411,Options!$A$6:$A$85,0)),"")))</f>
        <v>0</v>
      </c>
      <c r="W411" s="26" t="n">
        <f aca="false">IF(B411="",0,IF(N411&gt;=4,S411,(H411+I411+J411+K411)/(4-N411)))</f>
        <v>0</v>
      </c>
    </row>
    <row r="412" customFormat="false" ht="15" hidden="false" customHeight="false" outlineLevel="0" collapsed="false">
      <c r="A412" s="16"/>
      <c r="B412" s="16"/>
      <c r="C412" s="16"/>
      <c r="D412" s="16"/>
      <c r="E412" s="16"/>
      <c r="F412" s="16"/>
      <c r="G412" s="16"/>
      <c r="H412" s="16"/>
      <c r="I412" s="16"/>
      <c r="J412" s="16"/>
      <c r="K412" s="16"/>
      <c r="L412" s="16"/>
      <c r="M412" s="16"/>
      <c r="N412" s="16"/>
      <c r="O412" s="9" t="str">
        <f aca="false">IF(B412="","",IFERROR(INDEX(Options!$G$6:$G$85,MATCH($B412,Options!$A$6:$A$85,0)),""))</f>
        <v/>
      </c>
      <c r="P412" s="9" t="str">
        <f aca="false">IF(B412="","",IFERROR(INDEX(Options!$H$6:$H$85,MATCH($B412,Options!$A$6:$A$85,0)),""))</f>
        <v/>
      </c>
      <c r="Q412" s="24" t="n">
        <f aca="false">IF(B412="",0,N(IFERROR(INDEX(Options!$J$6:$J$85,MATCH($B412,Options!$A$6:$A$85,0)),"")))</f>
        <v>0</v>
      </c>
      <c r="R412" s="25" t="n">
        <f aca="false">K412*Settings!$B$10+J412*Settings!$B$11+I412*Settings!$B$12+H412*Settings!$B$13</f>
        <v>0</v>
      </c>
      <c r="S412" s="25" t="n">
        <f aca="false">IFERROR(L412/Settings!$B$8,0)</f>
        <v>0</v>
      </c>
      <c r="T412" s="26" t="n">
        <f aca="false">IF(OR(B412="",P412="End of life"),0,W412*MIN(4,N412))</f>
        <v>0</v>
      </c>
      <c r="U412" s="27" t="n">
        <f aca="false">T412*Q412</f>
        <v>0</v>
      </c>
      <c r="V412" s="14" t="n">
        <f aca="false">IF(B412="",0,G412*N(IFERROR(INDEX(Options!$K$6:$K$85,MATCH($B412,Options!$A$6:$A$85,0)),"")))</f>
        <v>0</v>
      </c>
      <c r="W412" s="26" t="n">
        <f aca="false">IF(B412="",0,IF(N412&gt;=4,S412,(H412+I412+J412+K412)/(4-N412)))</f>
        <v>0</v>
      </c>
    </row>
    <row r="413" customFormat="false" ht="15" hidden="false" customHeight="false" outlineLevel="0" collapsed="false">
      <c r="A413" s="16"/>
      <c r="B413" s="16"/>
      <c r="C413" s="16"/>
      <c r="D413" s="16"/>
      <c r="E413" s="16"/>
      <c r="F413" s="16"/>
      <c r="G413" s="16"/>
      <c r="H413" s="16"/>
      <c r="I413" s="16"/>
      <c r="J413" s="16"/>
      <c r="K413" s="16"/>
      <c r="L413" s="16"/>
      <c r="M413" s="16"/>
      <c r="N413" s="16"/>
      <c r="O413" s="9" t="str">
        <f aca="false">IF(B413="","",IFERROR(INDEX(Options!$G$6:$G$85,MATCH($B413,Options!$A$6:$A$85,0)),""))</f>
        <v/>
      </c>
      <c r="P413" s="9" t="str">
        <f aca="false">IF(B413="","",IFERROR(INDEX(Options!$H$6:$H$85,MATCH($B413,Options!$A$6:$A$85,0)),""))</f>
        <v/>
      </c>
      <c r="Q413" s="24" t="n">
        <f aca="false">IF(B413="",0,N(IFERROR(INDEX(Options!$J$6:$J$85,MATCH($B413,Options!$A$6:$A$85,0)),"")))</f>
        <v>0</v>
      </c>
      <c r="R413" s="25" t="n">
        <f aca="false">K413*Settings!$B$10+J413*Settings!$B$11+I413*Settings!$B$12+H413*Settings!$B$13</f>
        <v>0</v>
      </c>
      <c r="S413" s="25" t="n">
        <f aca="false">IFERROR(L413/Settings!$B$8,0)</f>
        <v>0</v>
      </c>
      <c r="T413" s="26" t="n">
        <f aca="false">IF(OR(B413="",P413="End of life"),0,W413*MIN(4,N413))</f>
        <v>0</v>
      </c>
      <c r="U413" s="27" t="n">
        <f aca="false">T413*Q413</f>
        <v>0</v>
      </c>
      <c r="V413" s="14" t="n">
        <f aca="false">IF(B413="",0,G413*N(IFERROR(INDEX(Options!$K$6:$K$85,MATCH($B413,Options!$A$6:$A$85,0)),"")))</f>
        <v>0</v>
      </c>
      <c r="W413" s="26" t="n">
        <f aca="false">IF(B413="",0,IF(N413&gt;=4,S413,(H413+I413+J413+K413)/(4-N413)))</f>
        <v>0</v>
      </c>
    </row>
    <row r="414" customFormat="false" ht="15" hidden="false" customHeight="false" outlineLevel="0" collapsed="false">
      <c r="A414" s="16"/>
      <c r="B414" s="16"/>
      <c r="C414" s="16"/>
      <c r="D414" s="16"/>
      <c r="E414" s="16"/>
      <c r="F414" s="16"/>
      <c r="G414" s="16"/>
      <c r="H414" s="16"/>
      <c r="I414" s="16"/>
      <c r="J414" s="16"/>
      <c r="K414" s="16"/>
      <c r="L414" s="16"/>
      <c r="M414" s="16"/>
      <c r="N414" s="16"/>
      <c r="O414" s="9" t="str">
        <f aca="false">IF(B414="","",IFERROR(INDEX(Options!$G$6:$G$85,MATCH($B414,Options!$A$6:$A$85,0)),""))</f>
        <v/>
      </c>
      <c r="P414" s="9" t="str">
        <f aca="false">IF(B414="","",IFERROR(INDEX(Options!$H$6:$H$85,MATCH($B414,Options!$A$6:$A$85,0)),""))</f>
        <v/>
      </c>
      <c r="Q414" s="24" t="n">
        <f aca="false">IF(B414="",0,N(IFERROR(INDEX(Options!$J$6:$J$85,MATCH($B414,Options!$A$6:$A$85,0)),"")))</f>
        <v>0</v>
      </c>
      <c r="R414" s="25" t="n">
        <f aca="false">K414*Settings!$B$10+J414*Settings!$B$11+I414*Settings!$B$12+H414*Settings!$B$13</f>
        <v>0</v>
      </c>
      <c r="S414" s="25" t="n">
        <f aca="false">IFERROR(L414/Settings!$B$8,0)</f>
        <v>0</v>
      </c>
      <c r="T414" s="26" t="n">
        <f aca="false">IF(OR(B414="",P414="End of life"),0,W414*MIN(4,N414))</f>
        <v>0</v>
      </c>
      <c r="U414" s="27" t="n">
        <f aca="false">T414*Q414</f>
        <v>0</v>
      </c>
      <c r="V414" s="14" t="n">
        <f aca="false">IF(B414="",0,G414*N(IFERROR(INDEX(Options!$K$6:$K$85,MATCH($B414,Options!$A$6:$A$85,0)),"")))</f>
        <v>0</v>
      </c>
      <c r="W414" s="26" t="n">
        <f aca="false">IF(B414="",0,IF(N414&gt;=4,S414,(H414+I414+J414+K414)/(4-N414)))</f>
        <v>0</v>
      </c>
    </row>
    <row r="415" customFormat="false" ht="15" hidden="false" customHeight="false" outlineLevel="0" collapsed="false">
      <c r="A415" s="16"/>
      <c r="B415" s="16"/>
      <c r="C415" s="16"/>
      <c r="D415" s="16"/>
      <c r="E415" s="16"/>
      <c r="F415" s="16"/>
      <c r="G415" s="16"/>
      <c r="H415" s="16"/>
      <c r="I415" s="16"/>
      <c r="J415" s="16"/>
      <c r="K415" s="16"/>
      <c r="L415" s="16"/>
      <c r="M415" s="16"/>
      <c r="N415" s="16"/>
      <c r="O415" s="9" t="str">
        <f aca="false">IF(B415="","",IFERROR(INDEX(Options!$G$6:$G$85,MATCH($B415,Options!$A$6:$A$85,0)),""))</f>
        <v/>
      </c>
      <c r="P415" s="9" t="str">
        <f aca="false">IF(B415="","",IFERROR(INDEX(Options!$H$6:$H$85,MATCH($B415,Options!$A$6:$A$85,0)),""))</f>
        <v/>
      </c>
      <c r="Q415" s="24" t="n">
        <f aca="false">IF(B415="",0,N(IFERROR(INDEX(Options!$J$6:$J$85,MATCH($B415,Options!$A$6:$A$85,0)),"")))</f>
        <v>0</v>
      </c>
      <c r="R415" s="25" t="n">
        <f aca="false">K415*Settings!$B$10+J415*Settings!$B$11+I415*Settings!$B$12+H415*Settings!$B$13</f>
        <v>0</v>
      </c>
      <c r="S415" s="25" t="n">
        <f aca="false">IFERROR(L415/Settings!$B$8,0)</f>
        <v>0</v>
      </c>
      <c r="T415" s="26" t="n">
        <f aca="false">IF(OR(B415="",P415="End of life"),0,W415*MIN(4,N415))</f>
        <v>0</v>
      </c>
      <c r="U415" s="27" t="n">
        <f aca="false">T415*Q415</f>
        <v>0</v>
      </c>
      <c r="V415" s="14" t="n">
        <f aca="false">IF(B415="",0,G415*N(IFERROR(INDEX(Options!$K$6:$K$85,MATCH($B415,Options!$A$6:$A$85,0)),"")))</f>
        <v>0</v>
      </c>
      <c r="W415" s="26" t="n">
        <f aca="false">IF(B415="",0,IF(N415&gt;=4,S415,(H415+I415+J415+K415)/(4-N415)))</f>
        <v>0</v>
      </c>
    </row>
    <row r="416" customFormat="false" ht="15" hidden="false" customHeight="false" outlineLevel="0" collapsed="false">
      <c r="A416" s="16"/>
      <c r="B416" s="16"/>
      <c r="C416" s="16"/>
      <c r="D416" s="16"/>
      <c r="E416" s="16"/>
      <c r="F416" s="16"/>
      <c r="G416" s="16"/>
      <c r="H416" s="16"/>
      <c r="I416" s="16"/>
      <c r="J416" s="16"/>
      <c r="K416" s="16"/>
      <c r="L416" s="16"/>
      <c r="M416" s="16"/>
      <c r="N416" s="16"/>
      <c r="O416" s="9" t="str">
        <f aca="false">IF(B416="","",IFERROR(INDEX(Options!$G$6:$G$85,MATCH($B416,Options!$A$6:$A$85,0)),""))</f>
        <v/>
      </c>
      <c r="P416" s="9" t="str">
        <f aca="false">IF(B416="","",IFERROR(INDEX(Options!$H$6:$H$85,MATCH($B416,Options!$A$6:$A$85,0)),""))</f>
        <v/>
      </c>
      <c r="Q416" s="24" t="n">
        <f aca="false">IF(B416="",0,N(IFERROR(INDEX(Options!$J$6:$J$85,MATCH($B416,Options!$A$6:$A$85,0)),"")))</f>
        <v>0</v>
      </c>
      <c r="R416" s="25" t="n">
        <f aca="false">K416*Settings!$B$10+J416*Settings!$B$11+I416*Settings!$B$12+H416*Settings!$B$13</f>
        <v>0</v>
      </c>
      <c r="S416" s="25" t="n">
        <f aca="false">IFERROR(L416/Settings!$B$8,0)</f>
        <v>0</v>
      </c>
      <c r="T416" s="26" t="n">
        <f aca="false">IF(OR(B416="",P416="End of life"),0,W416*MIN(4,N416))</f>
        <v>0</v>
      </c>
      <c r="U416" s="27" t="n">
        <f aca="false">T416*Q416</f>
        <v>0</v>
      </c>
      <c r="V416" s="14" t="n">
        <f aca="false">IF(B416="",0,G416*N(IFERROR(INDEX(Options!$K$6:$K$85,MATCH($B416,Options!$A$6:$A$85,0)),"")))</f>
        <v>0</v>
      </c>
      <c r="W416" s="26" t="n">
        <f aca="false">IF(B416="",0,IF(N416&gt;=4,S416,(H416+I416+J416+K416)/(4-N416)))</f>
        <v>0</v>
      </c>
    </row>
    <row r="417" customFormat="false" ht="15" hidden="false" customHeight="false" outlineLevel="0" collapsed="false">
      <c r="A417" s="16"/>
      <c r="B417" s="16"/>
      <c r="C417" s="16"/>
      <c r="D417" s="16"/>
      <c r="E417" s="16"/>
      <c r="F417" s="16"/>
      <c r="G417" s="16"/>
      <c r="H417" s="16"/>
      <c r="I417" s="16"/>
      <c r="J417" s="16"/>
      <c r="K417" s="16"/>
      <c r="L417" s="16"/>
      <c r="M417" s="16"/>
      <c r="N417" s="16"/>
      <c r="O417" s="9" t="str">
        <f aca="false">IF(B417="","",IFERROR(INDEX(Options!$G$6:$G$85,MATCH($B417,Options!$A$6:$A$85,0)),""))</f>
        <v/>
      </c>
      <c r="P417" s="9" t="str">
        <f aca="false">IF(B417="","",IFERROR(INDEX(Options!$H$6:$H$85,MATCH($B417,Options!$A$6:$A$85,0)),""))</f>
        <v/>
      </c>
      <c r="Q417" s="24" t="n">
        <f aca="false">IF(B417="",0,N(IFERROR(INDEX(Options!$J$6:$J$85,MATCH($B417,Options!$A$6:$A$85,0)),"")))</f>
        <v>0</v>
      </c>
      <c r="R417" s="25" t="n">
        <f aca="false">K417*Settings!$B$10+J417*Settings!$B$11+I417*Settings!$B$12+H417*Settings!$B$13</f>
        <v>0</v>
      </c>
      <c r="S417" s="25" t="n">
        <f aca="false">IFERROR(L417/Settings!$B$8,0)</f>
        <v>0</v>
      </c>
      <c r="T417" s="26" t="n">
        <f aca="false">IF(OR(B417="",P417="End of life"),0,W417*MIN(4,N417))</f>
        <v>0</v>
      </c>
      <c r="U417" s="27" t="n">
        <f aca="false">T417*Q417</f>
        <v>0</v>
      </c>
      <c r="V417" s="14" t="n">
        <f aca="false">IF(B417="",0,G417*N(IFERROR(INDEX(Options!$K$6:$K$85,MATCH($B417,Options!$A$6:$A$85,0)),"")))</f>
        <v>0</v>
      </c>
      <c r="W417" s="26" t="n">
        <f aca="false">IF(B417="",0,IF(N417&gt;=4,S417,(H417+I417+J417+K417)/(4-N417)))</f>
        <v>0</v>
      </c>
    </row>
    <row r="418" customFormat="false" ht="15" hidden="false" customHeight="false" outlineLevel="0" collapsed="false">
      <c r="A418" s="16"/>
      <c r="B418" s="16"/>
      <c r="C418" s="16"/>
      <c r="D418" s="16"/>
      <c r="E418" s="16"/>
      <c r="F418" s="16"/>
      <c r="G418" s="16"/>
      <c r="H418" s="16"/>
      <c r="I418" s="16"/>
      <c r="J418" s="16"/>
      <c r="K418" s="16"/>
      <c r="L418" s="16"/>
      <c r="M418" s="16"/>
      <c r="N418" s="16"/>
      <c r="O418" s="9" t="str">
        <f aca="false">IF(B418="","",IFERROR(INDEX(Options!$G$6:$G$85,MATCH($B418,Options!$A$6:$A$85,0)),""))</f>
        <v/>
      </c>
      <c r="P418" s="9" t="str">
        <f aca="false">IF(B418="","",IFERROR(INDEX(Options!$H$6:$H$85,MATCH($B418,Options!$A$6:$A$85,0)),""))</f>
        <v/>
      </c>
      <c r="Q418" s="24" t="n">
        <f aca="false">IF(B418="",0,N(IFERROR(INDEX(Options!$J$6:$J$85,MATCH($B418,Options!$A$6:$A$85,0)),"")))</f>
        <v>0</v>
      </c>
      <c r="R418" s="25" t="n">
        <f aca="false">K418*Settings!$B$10+J418*Settings!$B$11+I418*Settings!$B$12+H418*Settings!$B$13</f>
        <v>0</v>
      </c>
      <c r="S418" s="25" t="n">
        <f aca="false">IFERROR(L418/Settings!$B$8,0)</f>
        <v>0</v>
      </c>
      <c r="T418" s="26" t="n">
        <f aca="false">IF(OR(B418="",P418="End of life"),0,W418*MIN(4,N418))</f>
        <v>0</v>
      </c>
      <c r="U418" s="27" t="n">
        <f aca="false">T418*Q418</f>
        <v>0</v>
      </c>
      <c r="V418" s="14" t="n">
        <f aca="false">IF(B418="",0,G418*N(IFERROR(INDEX(Options!$K$6:$K$85,MATCH($B418,Options!$A$6:$A$85,0)),"")))</f>
        <v>0</v>
      </c>
      <c r="W418" s="26" t="n">
        <f aca="false">IF(B418="",0,IF(N418&gt;=4,S418,(H418+I418+J418+K418)/(4-N418)))</f>
        <v>0</v>
      </c>
    </row>
    <row r="419" customFormat="false" ht="15" hidden="false" customHeight="false" outlineLevel="0" collapsed="false">
      <c r="A419" s="16"/>
      <c r="B419" s="16"/>
      <c r="C419" s="16"/>
      <c r="D419" s="16"/>
      <c r="E419" s="16"/>
      <c r="F419" s="16"/>
      <c r="G419" s="16"/>
      <c r="H419" s="16"/>
      <c r="I419" s="16"/>
      <c r="J419" s="16"/>
      <c r="K419" s="16"/>
      <c r="L419" s="16"/>
      <c r="M419" s="16"/>
      <c r="N419" s="16"/>
      <c r="O419" s="9" t="str">
        <f aca="false">IF(B419="","",IFERROR(INDEX(Options!$G$6:$G$85,MATCH($B419,Options!$A$6:$A$85,0)),""))</f>
        <v/>
      </c>
      <c r="P419" s="9" t="str">
        <f aca="false">IF(B419="","",IFERROR(INDEX(Options!$H$6:$H$85,MATCH($B419,Options!$A$6:$A$85,0)),""))</f>
        <v/>
      </c>
      <c r="Q419" s="24" t="n">
        <f aca="false">IF(B419="",0,N(IFERROR(INDEX(Options!$J$6:$J$85,MATCH($B419,Options!$A$6:$A$85,0)),"")))</f>
        <v>0</v>
      </c>
      <c r="R419" s="25" t="n">
        <f aca="false">K419*Settings!$B$10+J419*Settings!$B$11+I419*Settings!$B$12+H419*Settings!$B$13</f>
        <v>0</v>
      </c>
      <c r="S419" s="25" t="n">
        <f aca="false">IFERROR(L419/Settings!$B$8,0)</f>
        <v>0</v>
      </c>
      <c r="T419" s="26" t="n">
        <f aca="false">IF(OR(B419="",P419="End of life"),0,W419*MIN(4,N419))</f>
        <v>0</v>
      </c>
      <c r="U419" s="27" t="n">
        <f aca="false">T419*Q419</f>
        <v>0</v>
      </c>
      <c r="V419" s="14" t="n">
        <f aca="false">IF(B419="",0,G419*N(IFERROR(INDEX(Options!$K$6:$K$85,MATCH($B419,Options!$A$6:$A$85,0)),"")))</f>
        <v>0</v>
      </c>
      <c r="W419" s="26" t="n">
        <f aca="false">IF(B419="",0,IF(N419&gt;=4,S419,(H419+I419+J419+K419)/(4-N419)))</f>
        <v>0</v>
      </c>
    </row>
    <row r="420" customFormat="false" ht="15" hidden="false" customHeight="false" outlineLevel="0" collapsed="false">
      <c r="A420" s="16"/>
      <c r="B420" s="16"/>
      <c r="C420" s="16"/>
      <c r="D420" s="16"/>
      <c r="E420" s="16"/>
      <c r="F420" s="16"/>
      <c r="G420" s="16"/>
      <c r="H420" s="16"/>
      <c r="I420" s="16"/>
      <c r="J420" s="16"/>
      <c r="K420" s="16"/>
      <c r="L420" s="16"/>
      <c r="M420" s="16"/>
      <c r="N420" s="16"/>
      <c r="O420" s="9" t="str">
        <f aca="false">IF(B420="","",IFERROR(INDEX(Options!$G$6:$G$85,MATCH($B420,Options!$A$6:$A$85,0)),""))</f>
        <v/>
      </c>
      <c r="P420" s="9" t="str">
        <f aca="false">IF(B420="","",IFERROR(INDEX(Options!$H$6:$H$85,MATCH($B420,Options!$A$6:$A$85,0)),""))</f>
        <v/>
      </c>
      <c r="Q420" s="24" t="n">
        <f aca="false">IF(B420="",0,N(IFERROR(INDEX(Options!$J$6:$J$85,MATCH($B420,Options!$A$6:$A$85,0)),"")))</f>
        <v>0</v>
      </c>
      <c r="R420" s="25" t="n">
        <f aca="false">K420*Settings!$B$10+J420*Settings!$B$11+I420*Settings!$B$12+H420*Settings!$B$13</f>
        <v>0</v>
      </c>
      <c r="S420" s="25" t="n">
        <f aca="false">IFERROR(L420/Settings!$B$8,0)</f>
        <v>0</v>
      </c>
      <c r="T420" s="26" t="n">
        <f aca="false">IF(OR(B420="",P420="End of life"),0,W420*MIN(4,N420))</f>
        <v>0</v>
      </c>
      <c r="U420" s="27" t="n">
        <f aca="false">T420*Q420</f>
        <v>0</v>
      </c>
      <c r="V420" s="14" t="n">
        <f aca="false">IF(B420="",0,G420*N(IFERROR(INDEX(Options!$K$6:$K$85,MATCH($B420,Options!$A$6:$A$85,0)),"")))</f>
        <v>0</v>
      </c>
      <c r="W420" s="26" t="n">
        <f aca="false">IF(B420="",0,IF(N420&gt;=4,S420,(H420+I420+J420+K420)/(4-N420)))</f>
        <v>0</v>
      </c>
    </row>
    <row r="421" customFormat="false" ht="15" hidden="false" customHeight="false" outlineLevel="0" collapsed="false">
      <c r="A421" s="16"/>
      <c r="B421" s="16"/>
      <c r="C421" s="16"/>
      <c r="D421" s="16"/>
      <c r="E421" s="16"/>
      <c r="F421" s="16"/>
      <c r="G421" s="16"/>
      <c r="H421" s="16"/>
      <c r="I421" s="16"/>
      <c r="J421" s="16"/>
      <c r="K421" s="16"/>
      <c r="L421" s="16"/>
      <c r="M421" s="16"/>
      <c r="N421" s="16"/>
      <c r="O421" s="9" t="str">
        <f aca="false">IF(B421="","",IFERROR(INDEX(Options!$G$6:$G$85,MATCH($B421,Options!$A$6:$A$85,0)),""))</f>
        <v/>
      </c>
      <c r="P421" s="9" t="str">
        <f aca="false">IF(B421="","",IFERROR(INDEX(Options!$H$6:$H$85,MATCH($B421,Options!$A$6:$A$85,0)),""))</f>
        <v/>
      </c>
      <c r="Q421" s="24" t="n">
        <f aca="false">IF(B421="",0,N(IFERROR(INDEX(Options!$J$6:$J$85,MATCH($B421,Options!$A$6:$A$85,0)),"")))</f>
        <v>0</v>
      </c>
      <c r="R421" s="25" t="n">
        <f aca="false">K421*Settings!$B$10+J421*Settings!$B$11+I421*Settings!$B$12+H421*Settings!$B$13</f>
        <v>0</v>
      </c>
      <c r="S421" s="25" t="n">
        <f aca="false">IFERROR(L421/Settings!$B$8,0)</f>
        <v>0</v>
      </c>
      <c r="T421" s="26" t="n">
        <f aca="false">IF(OR(B421="",P421="End of life"),0,W421*MIN(4,N421))</f>
        <v>0</v>
      </c>
      <c r="U421" s="27" t="n">
        <f aca="false">T421*Q421</f>
        <v>0</v>
      </c>
      <c r="V421" s="14" t="n">
        <f aca="false">IF(B421="",0,G421*N(IFERROR(INDEX(Options!$K$6:$K$85,MATCH($B421,Options!$A$6:$A$85,0)),"")))</f>
        <v>0</v>
      </c>
      <c r="W421" s="26" t="n">
        <f aca="false">IF(B421="",0,IF(N421&gt;=4,S421,(H421+I421+J421+K421)/(4-N421)))</f>
        <v>0</v>
      </c>
    </row>
    <row r="422" customFormat="false" ht="15" hidden="false" customHeight="false" outlineLevel="0" collapsed="false">
      <c r="A422" s="16"/>
      <c r="B422" s="16"/>
      <c r="C422" s="16"/>
      <c r="D422" s="16"/>
      <c r="E422" s="16"/>
      <c r="F422" s="16"/>
      <c r="G422" s="16"/>
      <c r="H422" s="16"/>
      <c r="I422" s="16"/>
      <c r="J422" s="16"/>
      <c r="K422" s="16"/>
      <c r="L422" s="16"/>
      <c r="M422" s="16"/>
      <c r="N422" s="16"/>
      <c r="O422" s="9" t="str">
        <f aca="false">IF(B422="","",IFERROR(INDEX(Options!$G$6:$G$85,MATCH($B422,Options!$A$6:$A$85,0)),""))</f>
        <v/>
      </c>
      <c r="P422" s="9" t="str">
        <f aca="false">IF(B422="","",IFERROR(INDEX(Options!$H$6:$H$85,MATCH($B422,Options!$A$6:$A$85,0)),""))</f>
        <v/>
      </c>
      <c r="Q422" s="24" t="n">
        <f aca="false">IF(B422="",0,N(IFERROR(INDEX(Options!$J$6:$J$85,MATCH($B422,Options!$A$6:$A$85,0)),"")))</f>
        <v>0</v>
      </c>
      <c r="R422" s="25" t="n">
        <f aca="false">K422*Settings!$B$10+J422*Settings!$B$11+I422*Settings!$B$12+H422*Settings!$B$13</f>
        <v>0</v>
      </c>
      <c r="S422" s="25" t="n">
        <f aca="false">IFERROR(L422/Settings!$B$8,0)</f>
        <v>0</v>
      </c>
      <c r="T422" s="26" t="n">
        <f aca="false">IF(OR(B422="",P422="End of life"),0,W422*MIN(4,N422))</f>
        <v>0</v>
      </c>
      <c r="U422" s="27" t="n">
        <f aca="false">T422*Q422</f>
        <v>0</v>
      </c>
      <c r="V422" s="14" t="n">
        <f aca="false">IF(B422="",0,G422*N(IFERROR(INDEX(Options!$K$6:$K$85,MATCH($B422,Options!$A$6:$A$85,0)),"")))</f>
        <v>0</v>
      </c>
      <c r="W422" s="26" t="n">
        <f aca="false">IF(B422="",0,IF(N422&gt;=4,S422,(H422+I422+J422+K422)/(4-N422)))</f>
        <v>0</v>
      </c>
    </row>
    <row r="423" customFormat="false" ht="15" hidden="false" customHeight="false" outlineLevel="0" collapsed="false">
      <c r="A423" s="16"/>
      <c r="B423" s="16"/>
      <c r="C423" s="16"/>
      <c r="D423" s="16"/>
      <c r="E423" s="16"/>
      <c r="F423" s="16"/>
      <c r="G423" s="16"/>
      <c r="H423" s="16"/>
      <c r="I423" s="16"/>
      <c r="J423" s="16"/>
      <c r="K423" s="16"/>
      <c r="L423" s="16"/>
      <c r="M423" s="16"/>
      <c r="N423" s="16"/>
      <c r="O423" s="9" t="str">
        <f aca="false">IF(B423="","",IFERROR(INDEX(Options!$G$6:$G$85,MATCH($B423,Options!$A$6:$A$85,0)),""))</f>
        <v/>
      </c>
      <c r="P423" s="9" t="str">
        <f aca="false">IF(B423="","",IFERROR(INDEX(Options!$H$6:$H$85,MATCH($B423,Options!$A$6:$A$85,0)),""))</f>
        <v/>
      </c>
      <c r="Q423" s="24" t="n">
        <f aca="false">IF(B423="",0,N(IFERROR(INDEX(Options!$J$6:$J$85,MATCH($B423,Options!$A$6:$A$85,0)),"")))</f>
        <v>0</v>
      </c>
      <c r="R423" s="25" t="n">
        <f aca="false">K423*Settings!$B$10+J423*Settings!$B$11+I423*Settings!$B$12+H423*Settings!$B$13</f>
        <v>0</v>
      </c>
      <c r="S423" s="25" t="n">
        <f aca="false">IFERROR(L423/Settings!$B$8,0)</f>
        <v>0</v>
      </c>
      <c r="T423" s="26" t="n">
        <f aca="false">IF(OR(B423="",P423="End of life"),0,W423*MIN(4,N423))</f>
        <v>0</v>
      </c>
      <c r="U423" s="27" t="n">
        <f aca="false">T423*Q423</f>
        <v>0</v>
      </c>
      <c r="V423" s="14" t="n">
        <f aca="false">IF(B423="",0,G423*N(IFERROR(INDEX(Options!$K$6:$K$85,MATCH($B423,Options!$A$6:$A$85,0)),"")))</f>
        <v>0</v>
      </c>
      <c r="W423" s="26" t="n">
        <f aca="false">IF(B423="",0,IF(N423&gt;=4,S423,(H423+I423+J423+K423)/(4-N423)))</f>
        <v>0</v>
      </c>
    </row>
    <row r="424" customFormat="false" ht="15" hidden="false" customHeight="false" outlineLevel="0" collapsed="false">
      <c r="A424" s="16"/>
      <c r="B424" s="16"/>
      <c r="C424" s="16"/>
      <c r="D424" s="16"/>
      <c r="E424" s="16"/>
      <c r="F424" s="16"/>
      <c r="G424" s="16"/>
      <c r="H424" s="16"/>
      <c r="I424" s="16"/>
      <c r="J424" s="16"/>
      <c r="K424" s="16"/>
      <c r="L424" s="16"/>
      <c r="M424" s="16"/>
      <c r="N424" s="16"/>
      <c r="O424" s="9" t="str">
        <f aca="false">IF(B424="","",IFERROR(INDEX(Options!$G$6:$G$85,MATCH($B424,Options!$A$6:$A$85,0)),""))</f>
        <v/>
      </c>
      <c r="P424" s="9" t="str">
        <f aca="false">IF(B424="","",IFERROR(INDEX(Options!$H$6:$H$85,MATCH($B424,Options!$A$6:$A$85,0)),""))</f>
        <v/>
      </c>
      <c r="Q424" s="24" t="n">
        <f aca="false">IF(B424="",0,N(IFERROR(INDEX(Options!$J$6:$J$85,MATCH($B424,Options!$A$6:$A$85,0)),"")))</f>
        <v>0</v>
      </c>
      <c r="R424" s="25" t="n">
        <f aca="false">K424*Settings!$B$10+J424*Settings!$B$11+I424*Settings!$B$12+H424*Settings!$B$13</f>
        <v>0</v>
      </c>
      <c r="S424" s="25" t="n">
        <f aca="false">IFERROR(L424/Settings!$B$8,0)</f>
        <v>0</v>
      </c>
      <c r="T424" s="26" t="n">
        <f aca="false">IF(OR(B424="",P424="End of life"),0,W424*MIN(4,N424))</f>
        <v>0</v>
      </c>
      <c r="U424" s="27" t="n">
        <f aca="false">T424*Q424</f>
        <v>0</v>
      </c>
      <c r="V424" s="14" t="n">
        <f aca="false">IF(B424="",0,G424*N(IFERROR(INDEX(Options!$K$6:$K$85,MATCH($B424,Options!$A$6:$A$85,0)),"")))</f>
        <v>0</v>
      </c>
      <c r="W424" s="26" t="n">
        <f aca="false">IF(B424="",0,IF(N424&gt;=4,S424,(H424+I424+J424+K424)/(4-N424)))</f>
        <v>0</v>
      </c>
    </row>
    <row r="425" customFormat="false" ht="15" hidden="false" customHeight="false" outlineLevel="0" collapsed="false">
      <c r="A425" s="16"/>
      <c r="B425" s="16"/>
      <c r="C425" s="16"/>
      <c r="D425" s="16"/>
      <c r="E425" s="16"/>
      <c r="F425" s="16"/>
      <c r="G425" s="16"/>
      <c r="H425" s="16"/>
      <c r="I425" s="16"/>
      <c r="J425" s="16"/>
      <c r="K425" s="16"/>
      <c r="L425" s="16"/>
      <c r="M425" s="16"/>
      <c r="N425" s="16"/>
      <c r="O425" s="9" t="str">
        <f aca="false">IF(B425="","",IFERROR(INDEX(Options!$G$6:$G$85,MATCH($B425,Options!$A$6:$A$85,0)),""))</f>
        <v/>
      </c>
      <c r="P425" s="9" t="str">
        <f aca="false">IF(B425="","",IFERROR(INDEX(Options!$H$6:$H$85,MATCH($B425,Options!$A$6:$A$85,0)),""))</f>
        <v/>
      </c>
      <c r="Q425" s="24" t="n">
        <f aca="false">IF(B425="",0,N(IFERROR(INDEX(Options!$J$6:$J$85,MATCH($B425,Options!$A$6:$A$85,0)),"")))</f>
        <v>0</v>
      </c>
      <c r="R425" s="25" t="n">
        <f aca="false">K425*Settings!$B$10+J425*Settings!$B$11+I425*Settings!$B$12+H425*Settings!$B$13</f>
        <v>0</v>
      </c>
      <c r="S425" s="25" t="n">
        <f aca="false">IFERROR(L425/Settings!$B$8,0)</f>
        <v>0</v>
      </c>
      <c r="T425" s="26" t="n">
        <f aca="false">IF(OR(B425="",P425="End of life"),0,W425*MIN(4,N425))</f>
        <v>0</v>
      </c>
      <c r="U425" s="27" t="n">
        <f aca="false">T425*Q425</f>
        <v>0</v>
      </c>
      <c r="V425" s="14" t="n">
        <f aca="false">IF(B425="",0,G425*N(IFERROR(INDEX(Options!$K$6:$K$85,MATCH($B425,Options!$A$6:$A$85,0)),"")))</f>
        <v>0</v>
      </c>
      <c r="W425" s="26" t="n">
        <f aca="false">IF(B425="",0,IF(N425&gt;=4,S425,(H425+I425+J425+K425)/(4-N425)))</f>
        <v>0</v>
      </c>
    </row>
    <row r="426" customFormat="false" ht="15" hidden="false" customHeight="false" outlineLevel="0" collapsed="false">
      <c r="A426" s="16"/>
      <c r="B426" s="16"/>
      <c r="C426" s="16"/>
      <c r="D426" s="16"/>
      <c r="E426" s="16"/>
      <c r="F426" s="16"/>
      <c r="G426" s="16"/>
      <c r="H426" s="16"/>
      <c r="I426" s="16"/>
      <c r="J426" s="16"/>
      <c r="K426" s="16"/>
      <c r="L426" s="16"/>
      <c r="M426" s="16"/>
      <c r="N426" s="16"/>
      <c r="O426" s="9" t="str">
        <f aca="false">IF(B426="","",IFERROR(INDEX(Options!$G$6:$G$85,MATCH($B426,Options!$A$6:$A$85,0)),""))</f>
        <v/>
      </c>
      <c r="P426" s="9" t="str">
        <f aca="false">IF(B426="","",IFERROR(INDEX(Options!$H$6:$H$85,MATCH($B426,Options!$A$6:$A$85,0)),""))</f>
        <v/>
      </c>
      <c r="Q426" s="24" t="n">
        <f aca="false">IF(B426="",0,N(IFERROR(INDEX(Options!$J$6:$J$85,MATCH($B426,Options!$A$6:$A$85,0)),"")))</f>
        <v>0</v>
      </c>
      <c r="R426" s="25" t="n">
        <f aca="false">K426*Settings!$B$10+J426*Settings!$B$11+I426*Settings!$B$12+H426*Settings!$B$13</f>
        <v>0</v>
      </c>
      <c r="S426" s="25" t="n">
        <f aca="false">IFERROR(L426/Settings!$B$8,0)</f>
        <v>0</v>
      </c>
      <c r="T426" s="26" t="n">
        <f aca="false">IF(OR(B426="",P426="End of life"),0,W426*MIN(4,N426))</f>
        <v>0</v>
      </c>
      <c r="U426" s="27" t="n">
        <f aca="false">T426*Q426</f>
        <v>0</v>
      </c>
      <c r="V426" s="14" t="n">
        <f aca="false">IF(B426="",0,G426*N(IFERROR(INDEX(Options!$K$6:$K$85,MATCH($B426,Options!$A$6:$A$85,0)),"")))</f>
        <v>0</v>
      </c>
      <c r="W426" s="26" t="n">
        <f aca="false">IF(B426="",0,IF(N426&gt;=4,S426,(H426+I426+J426+K426)/(4-N426)))</f>
        <v>0</v>
      </c>
    </row>
    <row r="427" customFormat="false" ht="15" hidden="false" customHeight="false" outlineLevel="0" collapsed="false">
      <c r="A427" s="16"/>
      <c r="B427" s="16"/>
      <c r="C427" s="16"/>
      <c r="D427" s="16"/>
      <c r="E427" s="16"/>
      <c r="F427" s="16"/>
      <c r="G427" s="16"/>
      <c r="H427" s="16"/>
      <c r="I427" s="16"/>
      <c r="J427" s="16"/>
      <c r="K427" s="16"/>
      <c r="L427" s="16"/>
      <c r="M427" s="16"/>
      <c r="N427" s="16"/>
      <c r="O427" s="9" t="str">
        <f aca="false">IF(B427="","",IFERROR(INDEX(Options!$G$6:$G$85,MATCH($B427,Options!$A$6:$A$85,0)),""))</f>
        <v/>
      </c>
      <c r="P427" s="9" t="str">
        <f aca="false">IF(B427="","",IFERROR(INDEX(Options!$H$6:$H$85,MATCH($B427,Options!$A$6:$A$85,0)),""))</f>
        <v/>
      </c>
      <c r="Q427" s="24" t="n">
        <f aca="false">IF(B427="",0,N(IFERROR(INDEX(Options!$J$6:$J$85,MATCH($B427,Options!$A$6:$A$85,0)),"")))</f>
        <v>0</v>
      </c>
      <c r="R427" s="25" t="n">
        <f aca="false">K427*Settings!$B$10+J427*Settings!$B$11+I427*Settings!$B$12+H427*Settings!$B$13</f>
        <v>0</v>
      </c>
      <c r="S427" s="25" t="n">
        <f aca="false">IFERROR(L427/Settings!$B$8,0)</f>
        <v>0</v>
      </c>
      <c r="T427" s="26" t="n">
        <f aca="false">IF(OR(B427="",P427="End of life"),0,W427*MIN(4,N427))</f>
        <v>0</v>
      </c>
      <c r="U427" s="27" t="n">
        <f aca="false">T427*Q427</f>
        <v>0</v>
      </c>
      <c r="V427" s="14" t="n">
        <f aca="false">IF(B427="",0,G427*N(IFERROR(INDEX(Options!$K$6:$K$85,MATCH($B427,Options!$A$6:$A$85,0)),"")))</f>
        <v>0</v>
      </c>
      <c r="W427" s="26" t="n">
        <f aca="false">IF(B427="",0,IF(N427&gt;=4,S427,(H427+I427+J427+K427)/(4-N427)))</f>
        <v>0</v>
      </c>
    </row>
    <row r="428" customFormat="false" ht="15" hidden="false" customHeight="false" outlineLevel="0" collapsed="false">
      <c r="A428" s="16"/>
      <c r="B428" s="16"/>
      <c r="C428" s="16"/>
      <c r="D428" s="16"/>
      <c r="E428" s="16"/>
      <c r="F428" s="16"/>
      <c r="G428" s="16"/>
      <c r="H428" s="16"/>
      <c r="I428" s="16"/>
      <c r="J428" s="16"/>
      <c r="K428" s="16"/>
      <c r="L428" s="16"/>
      <c r="M428" s="16"/>
      <c r="N428" s="16"/>
      <c r="O428" s="9" t="str">
        <f aca="false">IF(B428="","",IFERROR(INDEX(Options!$G$6:$G$85,MATCH($B428,Options!$A$6:$A$85,0)),""))</f>
        <v/>
      </c>
      <c r="P428" s="9" t="str">
        <f aca="false">IF(B428="","",IFERROR(INDEX(Options!$H$6:$H$85,MATCH($B428,Options!$A$6:$A$85,0)),""))</f>
        <v/>
      </c>
      <c r="Q428" s="24" t="n">
        <f aca="false">IF(B428="",0,N(IFERROR(INDEX(Options!$J$6:$J$85,MATCH($B428,Options!$A$6:$A$85,0)),"")))</f>
        <v>0</v>
      </c>
      <c r="R428" s="25" t="n">
        <f aca="false">K428*Settings!$B$10+J428*Settings!$B$11+I428*Settings!$B$12+H428*Settings!$B$13</f>
        <v>0</v>
      </c>
      <c r="S428" s="25" t="n">
        <f aca="false">IFERROR(L428/Settings!$B$8,0)</f>
        <v>0</v>
      </c>
      <c r="T428" s="26" t="n">
        <f aca="false">IF(OR(B428="",P428="End of life"),0,W428*MIN(4,N428))</f>
        <v>0</v>
      </c>
      <c r="U428" s="27" t="n">
        <f aca="false">T428*Q428</f>
        <v>0</v>
      </c>
      <c r="V428" s="14" t="n">
        <f aca="false">IF(B428="",0,G428*N(IFERROR(INDEX(Options!$K$6:$K$85,MATCH($B428,Options!$A$6:$A$85,0)),"")))</f>
        <v>0</v>
      </c>
      <c r="W428" s="26" t="n">
        <f aca="false">IF(B428="",0,IF(N428&gt;=4,S428,(H428+I428+J428+K428)/(4-N428)))</f>
        <v>0</v>
      </c>
    </row>
    <row r="429" customFormat="false" ht="15" hidden="false" customHeight="false" outlineLevel="0" collapsed="false">
      <c r="A429" s="16"/>
      <c r="B429" s="16"/>
      <c r="C429" s="16"/>
      <c r="D429" s="16"/>
      <c r="E429" s="16"/>
      <c r="F429" s="16"/>
      <c r="G429" s="16"/>
      <c r="H429" s="16"/>
      <c r="I429" s="16"/>
      <c r="J429" s="16"/>
      <c r="K429" s="16"/>
      <c r="L429" s="16"/>
      <c r="M429" s="16"/>
      <c r="N429" s="16"/>
      <c r="O429" s="9" t="str">
        <f aca="false">IF(B429="","",IFERROR(INDEX(Options!$G$6:$G$85,MATCH($B429,Options!$A$6:$A$85,0)),""))</f>
        <v/>
      </c>
      <c r="P429" s="9" t="str">
        <f aca="false">IF(B429="","",IFERROR(INDEX(Options!$H$6:$H$85,MATCH($B429,Options!$A$6:$A$85,0)),""))</f>
        <v/>
      </c>
      <c r="Q429" s="24" t="n">
        <f aca="false">IF(B429="",0,N(IFERROR(INDEX(Options!$J$6:$J$85,MATCH($B429,Options!$A$6:$A$85,0)),"")))</f>
        <v>0</v>
      </c>
      <c r="R429" s="25" t="n">
        <f aca="false">K429*Settings!$B$10+J429*Settings!$B$11+I429*Settings!$B$12+H429*Settings!$B$13</f>
        <v>0</v>
      </c>
      <c r="S429" s="25" t="n">
        <f aca="false">IFERROR(L429/Settings!$B$8,0)</f>
        <v>0</v>
      </c>
      <c r="T429" s="26" t="n">
        <f aca="false">IF(OR(B429="",P429="End of life"),0,W429*MIN(4,N429))</f>
        <v>0</v>
      </c>
      <c r="U429" s="27" t="n">
        <f aca="false">T429*Q429</f>
        <v>0</v>
      </c>
      <c r="V429" s="14" t="n">
        <f aca="false">IF(B429="",0,G429*N(IFERROR(INDEX(Options!$K$6:$K$85,MATCH($B429,Options!$A$6:$A$85,0)),"")))</f>
        <v>0</v>
      </c>
      <c r="W429" s="26" t="n">
        <f aca="false">IF(B429="",0,IF(N429&gt;=4,S429,(H429+I429+J429+K429)/(4-N429)))</f>
        <v>0</v>
      </c>
    </row>
    <row r="430" customFormat="false" ht="15" hidden="false" customHeight="false" outlineLevel="0" collapsed="false">
      <c r="A430" s="16"/>
      <c r="B430" s="16"/>
      <c r="C430" s="16"/>
      <c r="D430" s="16"/>
      <c r="E430" s="16"/>
      <c r="F430" s="16"/>
      <c r="G430" s="16"/>
      <c r="H430" s="16"/>
      <c r="I430" s="16"/>
      <c r="J430" s="16"/>
      <c r="K430" s="16"/>
      <c r="L430" s="16"/>
      <c r="M430" s="16"/>
      <c r="N430" s="16"/>
      <c r="O430" s="9" t="str">
        <f aca="false">IF(B430="","",IFERROR(INDEX(Options!$G$6:$G$85,MATCH($B430,Options!$A$6:$A$85,0)),""))</f>
        <v/>
      </c>
      <c r="P430" s="9" t="str">
        <f aca="false">IF(B430="","",IFERROR(INDEX(Options!$H$6:$H$85,MATCH($B430,Options!$A$6:$A$85,0)),""))</f>
        <v/>
      </c>
      <c r="Q430" s="24" t="n">
        <f aca="false">IF(B430="",0,N(IFERROR(INDEX(Options!$J$6:$J$85,MATCH($B430,Options!$A$6:$A$85,0)),"")))</f>
        <v>0</v>
      </c>
      <c r="R430" s="25" t="n">
        <f aca="false">K430*Settings!$B$10+J430*Settings!$B$11+I430*Settings!$B$12+H430*Settings!$B$13</f>
        <v>0</v>
      </c>
      <c r="S430" s="25" t="n">
        <f aca="false">IFERROR(L430/Settings!$B$8,0)</f>
        <v>0</v>
      </c>
      <c r="T430" s="26" t="n">
        <f aca="false">IF(OR(B430="",P430="End of life"),0,W430*MIN(4,N430))</f>
        <v>0</v>
      </c>
      <c r="U430" s="27" t="n">
        <f aca="false">T430*Q430</f>
        <v>0</v>
      </c>
      <c r="V430" s="14" t="n">
        <f aca="false">IF(B430="",0,G430*N(IFERROR(INDEX(Options!$K$6:$K$85,MATCH($B430,Options!$A$6:$A$85,0)),"")))</f>
        <v>0</v>
      </c>
      <c r="W430" s="26" t="n">
        <f aca="false">IF(B430="",0,IF(N430&gt;=4,S430,(H430+I430+J430+K430)/(4-N430)))</f>
        <v>0</v>
      </c>
    </row>
    <row r="431" customFormat="false" ht="15" hidden="false" customHeight="false" outlineLevel="0" collapsed="false">
      <c r="A431" s="16"/>
      <c r="B431" s="16"/>
      <c r="C431" s="16"/>
      <c r="D431" s="16"/>
      <c r="E431" s="16"/>
      <c r="F431" s="16"/>
      <c r="G431" s="16"/>
      <c r="H431" s="16"/>
      <c r="I431" s="16"/>
      <c r="J431" s="16"/>
      <c r="K431" s="16"/>
      <c r="L431" s="16"/>
      <c r="M431" s="16"/>
      <c r="N431" s="16"/>
      <c r="O431" s="9" t="str">
        <f aca="false">IF(B431="","",IFERROR(INDEX(Options!$G$6:$G$85,MATCH($B431,Options!$A$6:$A$85,0)),""))</f>
        <v/>
      </c>
      <c r="P431" s="9" t="str">
        <f aca="false">IF(B431="","",IFERROR(INDEX(Options!$H$6:$H$85,MATCH($B431,Options!$A$6:$A$85,0)),""))</f>
        <v/>
      </c>
      <c r="Q431" s="24" t="n">
        <f aca="false">IF(B431="",0,N(IFERROR(INDEX(Options!$J$6:$J$85,MATCH($B431,Options!$A$6:$A$85,0)),"")))</f>
        <v>0</v>
      </c>
      <c r="R431" s="25" t="n">
        <f aca="false">K431*Settings!$B$10+J431*Settings!$B$11+I431*Settings!$B$12+H431*Settings!$B$13</f>
        <v>0</v>
      </c>
      <c r="S431" s="25" t="n">
        <f aca="false">IFERROR(L431/Settings!$B$8,0)</f>
        <v>0</v>
      </c>
      <c r="T431" s="26" t="n">
        <f aca="false">IF(OR(B431="",P431="End of life"),0,W431*MIN(4,N431))</f>
        <v>0</v>
      </c>
      <c r="U431" s="27" t="n">
        <f aca="false">T431*Q431</f>
        <v>0</v>
      </c>
      <c r="V431" s="14" t="n">
        <f aca="false">IF(B431="",0,G431*N(IFERROR(INDEX(Options!$K$6:$K$85,MATCH($B431,Options!$A$6:$A$85,0)),"")))</f>
        <v>0</v>
      </c>
      <c r="W431" s="26" t="n">
        <f aca="false">IF(B431="",0,IF(N431&gt;=4,S431,(H431+I431+J431+K431)/(4-N431)))</f>
        <v>0</v>
      </c>
    </row>
    <row r="432" customFormat="false" ht="15" hidden="false" customHeight="false" outlineLevel="0" collapsed="false">
      <c r="A432" s="16"/>
      <c r="B432" s="16"/>
      <c r="C432" s="16"/>
      <c r="D432" s="16"/>
      <c r="E432" s="16"/>
      <c r="F432" s="16"/>
      <c r="G432" s="16"/>
      <c r="H432" s="16"/>
      <c r="I432" s="16"/>
      <c r="J432" s="16"/>
      <c r="K432" s="16"/>
      <c r="L432" s="16"/>
      <c r="M432" s="16"/>
      <c r="N432" s="16"/>
      <c r="O432" s="9" t="str">
        <f aca="false">IF(B432="","",IFERROR(INDEX(Options!$G$6:$G$85,MATCH($B432,Options!$A$6:$A$85,0)),""))</f>
        <v/>
      </c>
      <c r="P432" s="9" t="str">
        <f aca="false">IF(B432="","",IFERROR(INDEX(Options!$H$6:$H$85,MATCH($B432,Options!$A$6:$A$85,0)),""))</f>
        <v/>
      </c>
      <c r="Q432" s="24" t="n">
        <f aca="false">IF(B432="",0,N(IFERROR(INDEX(Options!$J$6:$J$85,MATCH($B432,Options!$A$6:$A$85,0)),"")))</f>
        <v>0</v>
      </c>
      <c r="R432" s="25" t="n">
        <f aca="false">K432*Settings!$B$10+J432*Settings!$B$11+I432*Settings!$B$12+H432*Settings!$B$13</f>
        <v>0</v>
      </c>
      <c r="S432" s="25" t="n">
        <f aca="false">IFERROR(L432/Settings!$B$8,0)</f>
        <v>0</v>
      </c>
      <c r="T432" s="26" t="n">
        <f aca="false">IF(OR(B432="",P432="End of life"),0,W432*MIN(4,N432))</f>
        <v>0</v>
      </c>
      <c r="U432" s="27" t="n">
        <f aca="false">T432*Q432</f>
        <v>0</v>
      </c>
      <c r="V432" s="14" t="n">
        <f aca="false">IF(B432="",0,G432*N(IFERROR(INDEX(Options!$K$6:$K$85,MATCH($B432,Options!$A$6:$A$85,0)),"")))</f>
        <v>0</v>
      </c>
      <c r="W432" s="26" t="n">
        <f aca="false">IF(B432="",0,IF(N432&gt;=4,S432,(H432+I432+J432+K432)/(4-N432)))</f>
        <v>0</v>
      </c>
    </row>
    <row r="433" customFormat="false" ht="15" hidden="false" customHeight="false" outlineLevel="0" collapsed="false">
      <c r="A433" s="16"/>
      <c r="B433" s="16"/>
      <c r="C433" s="16"/>
      <c r="D433" s="16"/>
      <c r="E433" s="16"/>
      <c r="F433" s="16"/>
      <c r="G433" s="16"/>
      <c r="H433" s="16"/>
      <c r="I433" s="16"/>
      <c r="J433" s="16"/>
      <c r="K433" s="16"/>
      <c r="L433" s="16"/>
      <c r="M433" s="16"/>
      <c r="N433" s="16"/>
      <c r="O433" s="9" t="str">
        <f aca="false">IF(B433="","",IFERROR(INDEX(Options!$G$6:$G$85,MATCH($B433,Options!$A$6:$A$85,0)),""))</f>
        <v/>
      </c>
      <c r="P433" s="9" t="str">
        <f aca="false">IF(B433="","",IFERROR(INDEX(Options!$H$6:$H$85,MATCH($B433,Options!$A$6:$A$85,0)),""))</f>
        <v/>
      </c>
      <c r="Q433" s="24" t="n">
        <f aca="false">IF(B433="",0,N(IFERROR(INDEX(Options!$J$6:$J$85,MATCH($B433,Options!$A$6:$A$85,0)),"")))</f>
        <v>0</v>
      </c>
      <c r="R433" s="25" t="n">
        <f aca="false">K433*Settings!$B$10+J433*Settings!$B$11+I433*Settings!$B$12+H433*Settings!$B$13</f>
        <v>0</v>
      </c>
      <c r="S433" s="25" t="n">
        <f aca="false">IFERROR(L433/Settings!$B$8,0)</f>
        <v>0</v>
      </c>
      <c r="T433" s="26" t="n">
        <f aca="false">IF(OR(B433="",P433="End of life"),0,W433*MIN(4,N433))</f>
        <v>0</v>
      </c>
      <c r="U433" s="27" t="n">
        <f aca="false">T433*Q433</f>
        <v>0</v>
      </c>
      <c r="V433" s="14" t="n">
        <f aca="false">IF(B433="",0,G433*N(IFERROR(INDEX(Options!$K$6:$K$85,MATCH($B433,Options!$A$6:$A$85,0)),"")))</f>
        <v>0</v>
      </c>
      <c r="W433" s="26" t="n">
        <f aca="false">IF(B433="",0,IF(N433&gt;=4,S433,(H433+I433+J433+K433)/(4-N433)))</f>
        <v>0</v>
      </c>
    </row>
    <row r="434" customFormat="false" ht="15" hidden="false" customHeight="false" outlineLevel="0" collapsed="false">
      <c r="A434" s="16"/>
      <c r="B434" s="16"/>
      <c r="C434" s="16"/>
      <c r="D434" s="16"/>
      <c r="E434" s="16"/>
      <c r="F434" s="16"/>
      <c r="G434" s="16"/>
      <c r="H434" s="16"/>
      <c r="I434" s="16"/>
      <c r="J434" s="16"/>
      <c r="K434" s="16"/>
      <c r="L434" s="16"/>
      <c r="M434" s="16"/>
      <c r="N434" s="16"/>
      <c r="O434" s="9" t="str">
        <f aca="false">IF(B434="","",IFERROR(INDEX(Options!$G$6:$G$85,MATCH($B434,Options!$A$6:$A$85,0)),""))</f>
        <v/>
      </c>
      <c r="P434" s="9" t="str">
        <f aca="false">IF(B434="","",IFERROR(INDEX(Options!$H$6:$H$85,MATCH($B434,Options!$A$6:$A$85,0)),""))</f>
        <v/>
      </c>
      <c r="Q434" s="24" t="n">
        <f aca="false">IF(B434="",0,N(IFERROR(INDEX(Options!$J$6:$J$85,MATCH($B434,Options!$A$6:$A$85,0)),"")))</f>
        <v>0</v>
      </c>
      <c r="R434" s="25" t="n">
        <f aca="false">K434*Settings!$B$10+J434*Settings!$B$11+I434*Settings!$B$12+H434*Settings!$B$13</f>
        <v>0</v>
      </c>
      <c r="S434" s="25" t="n">
        <f aca="false">IFERROR(L434/Settings!$B$8,0)</f>
        <v>0</v>
      </c>
      <c r="T434" s="26" t="n">
        <f aca="false">IF(OR(B434="",P434="End of life"),0,W434*MIN(4,N434))</f>
        <v>0</v>
      </c>
      <c r="U434" s="27" t="n">
        <f aca="false">T434*Q434</f>
        <v>0</v>
      </c>
      <c r="V434" s="14" t="n">
        <f aca="false">IF(B434="",0,G434*N(IFERROR(INDEX(Options!$K$6:$K$85,MATCH($B434,Options!$A$6:$A$85,0)),"")))</f>
        <v>0</v>
      </c>
      <c r="W434" s="26" t="n">
        <f aca="false">IF(B434="",0,IF(N434&gt;=4,S434,(H434+I434+J434+K434)/(4-N434)))</f>
        <v>0</v>
      </c>
    </row>
    <row r="435" customFormat="false" ht="15" hidden="false" customHeight="false" outlineLevel="0" collapsed="false">
      <c r="A435" s="16"/>
      <c r="B435" s="16"/>
      <c r="C435" s="16"/>
      <c r="D435" s="16"/>
      <c r="E435" s="16"/>
      <c r="F435" s="16"/>
      <c r="G435" s="16"/>
      <c r="H435" s="16"/>
      <c r="I435" s="16"/>
      <c r="J435" s="16"/>
      <c r="K435" s="16"/>
      <c r="L435" s="16"/>
      <c r="M435" s="16"/>
      <c r="N435" s="16"/>
      <c r="O435" s="9" t="str">
        <f aca="false">IF(B435="","",IFERROR(INDEX(Options!$G$6:$G$85,MATCH($B435,Options!$A$6:$A$85,0)),""))</f>
        <v/>
      </c>
      <c r="P435" s="9" t="str">
        <f aca="false">IF(B435="","",IFERROR(INDEX(Options!$H$6:$H$85,MATCH($B435,Options!$A$6:$A$85,0)),""))</f>
        <v/>
      </c>
      <c r="Q435" s="24" t="n">
        <f aca="false">IF(B435="",0,N(IFERROR(INDEX(Options!$J$6:$J$85,MATCH($B435,Options!$A$6:$A$85,0)),"")))</f>
        <v>0</v>
      </c>
      <c r="R435" s="25" t="n">
        <f aca="false">K435*Settings!$B$10+J435*Settings!$B$11+I435*Settings!$B$12+H435*Settings!$B$13</f>
        <v>0</v>
      </c>
      <c r="S435" s="25" t="n">
        <f aca="false">IFERROR(L435/Settings!$B$8,0)</f>
        <v>0</v>
      </c>
      <c r="T435" s="26" t="n">
        <f aca="false">IF(OR(B435="",P435="End of life"),0,W435*MIN(4,N435))</f>
        <v>0</v>
      </c>
      <c r="U435" s="27" t="n">
        <f aca="false">T435*Q435</f>
        <v>0</v>
      </c>
      <c r="V435" s="14" t="n">
        <f aca="false">IF(B435="",0,G435*N(IFERROR(INDEX(Options!$K$6:$K$85,MATCH($B435,Options!$A$6:$A$85,0)),"")))</f>
        <v>0</v>
      </c>
      <c r="W435" s="26" t="n">
        <f aca="false">IF(B435="",0,IF(N435&gt;=4,S435,(H435+I435+J435+K435)/(4-N435)))</f>
        <v>0</v>
      </c>
    </row>
    <row r="436" customFormat="false" ht="15" hidden="false" customHeight="false" outlineLevel="0" collapsed="false">
      <c r="A436" s="16"/>
      <c r="B436" s="16"/>
      <c r="C436" s="16"/>
      <c r="D436" s="16"/>
      <c r="E436" s="16"/>
      <c r="F436" s="16"/>
      <c r="G436" s="16"/>
      <c r="H436" s="16"/>
      <c r="I436" s="16"/>
      <c r="J436" s="16"/>
      <c r="K436" s="16"/>
      <c r="L436" s="16"/>
      <c r="M436" s="16"/>
      <c r="N436" s="16"/>
      <c r="O436" s="9" t="str">
        <f aca="false">IF(B436="","",IFERROR(INDEX(Options!$G$6:$G$85,MATCH($B436,Options!$A$6:$A$85,0)),""))</f>
        <v/>
      </c>
      <c r="P436" s="9" t="str">
        <f aca="false">IF(B436="","",IFERROR(INDEX(Options!$H$6:$H$85,MATCH($B436,Options!$A$6:$A$85,0)),""))</f>
        <v/>
      </c>
      <c r="Q436" s="24" t="n">
        <f aca="false">IF(B436="",0,N(IFERROR(INDEX(Options!$J$6:$J$85,MATCH($B436,Options!$A$6:$A$85,0)),"")))</f>
        <v>0</v>
      </c>
      <c r="R436" s="25" t="n">
        <f aca="false">K436*Settings!$B$10+J436*Settings!$B$11+I436*Settings!$B$12+H436*Settings!$B$13</f>
        <v>0</v>
      </c>
      <c r="S436" s="25" t="n">
        <f aca="false">IFERROR(L436/Settings!$B$8,0)</f>
        <v>0</v>
      </c>
      <c r="T436" s="26" t="n">
        <f aca="false">IF(OR(B436="",P436="End of life"),0,W436*MIN(4,N436))</f>
        <v>0</v>
      </c>
      <c r="U436" s="27" t="n">
        <f aca="false">T436*Q436</f>
        <v>0</v>
      </c>
      <c r="V436" s="14" t="n">
        <f aca="false">IF(B436="",0,G436*N(IFERROR(INDEX(Options!$K$6:$K$85,MATCH($B436,Options!$A$6:$A$85,0)),"")))</f>
        <v>0</v>
      </c>
      <c r="W436" s="26" t="n">
        <f aca="false">IF(B436="",0,IF(N436&gt;=4,S436,(H436+I436+J436+K436)/(4-N436)))</f>
        <v>0</v>
      </c>
    </row>
    <row r="437" customFormat="false" ht="15" hidden="false" customHeight="false" outlineLevel="0" collapsed="false">
      <c r="A437" s="16"/>
      <c r="B437" s="16"/>
      <c r="C437" s="16"/>
      <c r="D437" s="16"/>
      <c r="E437" s="16"/>
      <c r="F437" s="16"/>
      <c r="G437" s="16"/>
      <c r="H437" s="16"/>
      <c r="I437" s="16"/>
      <c r="J437" s="16"/>
      <c r="K437" s="16"/>
      <c r="L437" s="16"/>
      <c r="M437" s="16"/>
      <c r="N437" s="16"/>
      <c r="O437" s="9" t="str">
        <f aca="false">IF(B437="","",IFERROR(INDEX(Options!$G$6:$G$85,MATCH($B437,Options!$A$6:$A$85,0)),""))</f>
        <v/>
      </c>
      <c r="P437" s="9" t="str">
        <f aca="false">IF(B437="","",IFERROR(INDEX(Options!$H$6:$H$85,MATCH($B437,Options!$A$6:$A$85,0)),""))</f>
        <v/>
      </c>
      <c r="Q437" s="24" t="n">
        <f aca="false">IF(B437="",0,N(IFERROR(INDEX(Options!$J$6:$J$85,MATCH($B437,Options!$A$6:$A$85,0)),"")))</f>
        <v>0</v>
      </c>
      <c r="R437" s="25" t="n">
        <f aca="false">K437*Settings!$B$10+J437*Settings!$B$11+I437*Settings!$B$12+H437*Settings!$B$13</f>
        <v>0</v>
      </c>
      <c r="S437" s="25" t="n">
        <f aca="false">IFERROR(L437/Settings!$B$8,0)</f>
        <v>0</v>
      </c>
      <c r="T437" s="26" t="n">
        <f aca="false">IF(OR(B437="",P437="End of life"),0,W437*MIN(4,N437))</f>
        <v>0</v>
      </c>
      <c r="U437" s="27" t="n">
        <f aca="false">T437*Q437</f>
        <v>0</v>
      </c>
      <c r="V437" s="14" t="n">
        <f aca="false">IF(B437="",0,G437*N(IFERROR(INDEX(Options!$K$6:$K$85,MATCH($B437,Options!$A$6:$A$85,0)),"")))</f>
        <v>0</v>
      </c>
      <c r="W437" s="26" t="n">
        <f aca="false">IF(B437="",0,IF(N437&gt;=4,S437,(H437+I437+J437+K437)/(4-N437)))</f>
        <v>0</v>
      </c>
    </row>
    <row r="438" customFormat="false" ht="15" hidden="false" customHeight="false" outlineLevel="0" collapsed="false">
      <c r="A438" s="16"/>
      <c r="B438" s="16"/>
      <c r="C438" s="16"/>
      <c r="D438" s="16"/>
      <c r="E438" s="16"/>
      <c r="F438" s="16"/>
      <c r="G438" s="16"/>
      <c r="H438" s="16"/>
      <c r="I438" s="16"/>
      <c r="J438" s="16"/>
      <c r="K438" s="16"/>
      <c r="L438" s="16"/>
      <c r="M438" s="16"/>
      <c r="N438" s="16"/>
      <c r="O438" s="9" t="str">
        <f aca="false">IF(B438="","",IFERROR(INDEX(Options!$G$6:$G$85,MATCH($B438,Options!$A$6:$A$85,0)),""))</f>
        <v/>
      </c>
      <c r="P438" s="9" t="str">
        <f aca="false">IF(B438="","",IFERROR(INDEX(Options!$H$6:$H$85,MATCH($B438,Options!$A$6:$A$85,0)),""))</f>
        <v/>
      </c>
      <c r="Q438" s="24" t="n">
        <f aca="false">IF(B438="",0,N(IFERROR(INDEX(Options!$J$6:$J$85,MATCH($B438,Options!$A$6:$A$85,0)),"")))</f>
        <v>0</v>
      </c>
      <c r="R438" s="25" t="n">
        <f aca="false">K438*Settings!$B$10+J438*Settings!$B$11+I438*Settings!$B$12+H438*Settings!$B$13</f>
        <v>0</v>
      </c>
      <c r="S438" s="25" t="n">
        <f aca="false">IFERROR(L438/Settings!$B$8,0)</f>
        <v>0</v>
      </c>
      <c r="T438" s="26" t="n">
        <f aca="false">IF(OR(B438="",P438="End of life"),0,W438*MIN(4,N438))</f>
        <v>0</v>
      </c>
      <c r="U438" s="27" t="n">
        <f aca="false">T438*Q438</f>
        <v>0</v>
      </c>
      <c r="V438" s="14" t="n">
        <f aca="false">IF(B438="",0,G438*N(IFERROR(INDEX(Options!$K$6:$K$85,MATCH($B438,Options!$A$6:$A$85,0)),"")))</f>
        <v>0</v>
      </c>
      <c r="W438" s="26" t="n">
        <f aca="false">IF(B438="",0,IF(N438&gt;=4,S438,(H438+I438+J438+K438)/(4-N438)))</f>
        <v>0</v>
      </c>
    </row>
    <row r="439" customFormat="false" ht="15" hidden="false" customHeight="false" outlineLevel="0" collapsed="false">
      <c r="A439" s="16"/>
      <c r="B439" s="16"/>
      <c r="C439" s="16"/>
      <c r="D439" s="16"/>
      <c r="E439" s="16"/>
      <c r="F439" s="16"/>
      <c r="G439" s="16"/>
      <c r="H439" s="16"/>
      <c r="I439" s="16"/>
      <c r="J439" s="16"/>
      <c r="K439" s="16"/>
      <c r="L439" s="16"/>
      <c r="M439" s="16"/>
      <c r="N439" s="16"/>
      <c r="O439" s="9" t="str">
        <f aca="false">IF(B439="","",IFERROR(INDEX(Options!$G$6:$G$85,MATCH($B439,Options!$A$6:$A$85,0)),""))</f>
        <v/>
      </c>
      <c r="P439" s="9" t="str">
        <f aca="false">IF(B439="","",IFERROR(INDEX(Options!$H$6:$H$85,MATCH($B439,Options!$A$6:$A$85,0)),""))</f>
        <v/>
      </c>
      <c r="Q439" s="24" t="n">
        <f aca="false">IF(B439="",0,N(IFERROR(INDEX(Options!$J$6:$J$85,MATCH($B439,Options!$A$6:$A$85,0)),"")))</f>
        <v>0</v>
      </c>
      <c r="R439" s="25" t="n">
        <f aca="false">K439*Settings!$B$10+J439*Settings!$B$11+I439*Settings!$B$12+H439*Settings!$B$13</f>
        <v>0</v>
      </c>
      <c r="S439" s="25" t="n">
        <f aca="false">IFERROR(L439/Settings!$B$8,0)</f>
        <v>0</v>
      </c>
      <c r="T439" s="26" t="n">
        <f aca="false">IF(OR(B439="",P439="End of life"),0,W439*MIN(4,N439))</f>
        <v>0</v>
      </c>
      <c r="U439" s="27" t="n">
        <f aca="false">T439*Q439</f>
        <v>0</v>
      </c>
      <c r="V439" s="14" t="n">
        <f aca="false">IF(B439="",0,G439*N(IFERROR(INDEX(Options!$K$6:$K$85,MATCH($B439,Options!$A$6:$A$85,0)),"")))</f>
        <v>0</v>
      </c>
      <c r="W439" s="26" t="n">
        <f aca="false">IF(B439="",0,IF(N439&gt;=4,S439,(H439+I439+J439+K439)/(4-N439)))</f>
        <v>0</v>
      </c>
    </row>
    <row r="440" customFormat="false" ht="15" hidden="false" customHeight="false" outlineLevel="0" collapsed="false">
      <c r="A440" s="16"/>
      <c r="B440" s="16"/>
      <c r="C440" s="16"/>
      <c r="D440" s="16"/>
      <c r="E440" s="16"/>
      <c r="F440" s="16"/>
      <c r="G440" s="16"/>
      <c r="H440" s="16"/>
      <c r="I440" s="16"/>
      <c r="J440" s="16"/>
      <c r="K440" s="16"/>
      <c r="L440" s="16"/>
      <c r="M440" s="16"/>
      <c r="N440" s="16"/>
      <c r="O440" s="9" t="str">
        <f aca="false">IF(B440="","",IFERROR(INDEX(Options!$G$6:$G$85,MATCH($B440,Options!$A$6:$A$85,0)),""))</f>
        <v/>
      </c>
      <c r="P440" s="9" t="str">
        <f aca="false">IF(B440="","",IFERROR(INDEX(Options!$H$6:$H$85,MATCH($B440,Options!$A$6:$A$85,0)),""))</f>
        <v/>
      </c>
      <c r="Q440" s="24" t="n">
        <f aca="false">IF(B440="",0,N(IFERROR(INDEX(Options!$J$6:$J$85,MATCH($B440,Options!$A$6:$A$85,0)),"")))</f>
        <v>0</v>
      </c>
      <c r="R440" s="25" t="n">
        <f aca="false">K440*Settings!$B$10+J440*Settings!$B$11+I440*Settings!$B$12+H440*Settings!$B$13</f>
        <v>0</v>
      </c>
      <c r="S440" s="25" t="n">
        <f aca="false">IFERROR(L440/Settings!$B$8,0)</f>
        <v>0</v>
      </c>
      <c r="T440" s="26" t="n">
        <f aca="false">IF(OR(B440="",P440="End of life"),0,W440*MIN(4,N440))</f>
        <v>0</v>
      </c>
      <c r="U440" s="27" t="n">
        <f aca="false">T440*Q440</f>
        <v>0</v>
      </c>
      <c r="V440" s="14" t="n">
        <f aca="false">IF(B440="",0,G440*N(IFERROR(INDEX(Options!$K$6:$K$85,MATCH($B440,Options!$A$6:$A$85,0)),"")))</f>
        <v>0</v>
      </c>
      <c r="W440" s="26" t="n">
        <f aca="false">IF(B440="",0,IF(N440&gt;=4,S440,(H440+I440+J440+K440)/(4-N440)))</f>
        <v>0</v>
      </c>
    </row>
    <row r="441" customFormat="false" ht="15" hidden="false" customHeight="false" outlineLevel="0" collapsed="false">
      <c r="A441" s="16"/>
      <c r="B441" s="16"/>
      <c r="C441" s="16"/>
      <c r="D441" s="16"/>
      <c r="E441" s="16"/>
      <c r="F441" s="16"/>
      <c r="G441" s="16"/>
      <c r="H441" s="16"/>
      <c r="I441" s="16"/>
      <c r="J441" s="16"/>
      <c r="K441" s="16"/>
      <c r="L441" s="16"/>
      <c r="M441" s="16"/>
      <c r="N441" s="16"/>
      <c r="O441" s="9" t="str">
        <f aca="false">IF(B441="","",IFERROR(INDEX(Options!$G$6:$G$85,MATCH($B441,Options!$A$6:$A$85,0)),""))</f>
        <v/>
      </c>
      <c r="P441" s="9" t="str">
        <f aca="false">IF(B441="","",IFERROR(INDEX(Options!$H$6:$H$85,MATCH($B441,Options!$A$6:$A$85,0)),""))</f>
        <v/>
      </c>
      <c r="Q441" s="24" t="n">
        <f aca="false">IF(B441="",0,N(IFERROR(INDEX(Options!$J$6:$J$85,MATCH($B441,Options!$A$6:$A$85,0)),"")))</f>
        <v>0</v>
      </c>
      <c r="R441" s="25" t="n">
        <f aca="false">K441*Settings!$B$10+J441*Settings!$B$11+I441*Settings!$B$12+H441*Settings!$B$13</f>
        <v>0</v>
      </c>
      <c r="S441" s="25" t="n">
        <f aca="false">IFERROR(L441/Settings!$B$8,0)</f>
        <v>0</v>
      </c>
      <c r="T441" s="26" t="n">
        <f aca="false">IF(OR(B441="",P441="End of life"),0,W441*MIN(4,N441))</f>
        <v>0</v>
      </c>
      <c r="U441" s="27" t="n">
        <f aca="false">T441*Q441</f>
        <v>0</v>
      </c>
      <c r="V441" s="14" t="n">
        <f aca="false">IF(B441="",0,G441*N(IFERROR(INDEX(Options!$K$6:$K$85,MATCH($B441,Options!$A$6:$A$85,0)),"")))</f>
        <v>0</v>
      </c>
      <c r="W441" s="26" t="n">
        <f aca="false">IF(B441="",0,IF(N441&gt;=4,S441,(H441+I441+J441+K441)/(4-N441)))</f>
        <v>0</v>
      </c>
    </row>
    <row r="442" customFormat="false" ht="15" hidden="false" customHeight="false" outlineLevel="0" collapsed="false">
      <c r="A442" s="16"/>
      <c r="B442" s="16"/>
      <c r="C442" s="16"/>
      <c r="D442" s="16"/>
      <c r="E442" s="16"/>
      <c r="F442" s="16"/>
      <c r="G442" s="16"/>
      <c r="H442" s="16"/>
      <c r="I442" s="16"/>
      <c r="J442" s="16"/>
      <c r="K442" s="16"/>
      <c r="L442" s="16"/>
      <c r="M442" s="16"/>
      <c r="N442" s="16"/>
      <c r="O442" s="9" t="str">
        <f aca="false">IF(B442="","",IFERROR(INDEX(Options!$G$6:$G$85,MATCH($B442,Options!$A$6:$A$85,0)),""))</f>
        <v/>
      </c>
      <c r="P442" s="9" t="str">
        <f aca="false">IF(B442="","",IFERROR(INDEX(Options!$H$6:$H$85,MATCH($B442,Options!$A$6:$A$85,0)),""))</f>
        <v/>
      </c>
      <c r="Q442" s="24" t="n">
        <f aca="false">IF(B442="",0,N(IFERROR(INDEX(Options!$J$6:$J$85,MATCH($B442,Options!$A$6:$A$85,0)),"")))</f>
        <v>0</v>
      </c>
      <c r="R442" s="25" t="n">
        <f aca="false">K442*Settings!$B$10+J442*Settings!$B$11+I442*Settings!$B$12+H442*Settings!$B$13</f>
        <v>0</v>
      </c>
      <c r="S442" s="25" t="n">
        <f aca="false">IFERROR(L442/Settings!$B$8,0)</f>
        <v>0</v>
      </c>
      <c r="T442" s="26" t="n">
        <f aca="false">IF(OR(B442="",P442="End of life"),0,W442*MIN(4,N442))</f>
        <v>0</v>
      </c>
      <c r="U442" s="27" t="n">
        <f aca="false">T442*Q442</f>
        <v>0</v>
      </c>
      <c r="V442" s="14" t="n">
        <f aca="false">IF(B442="",0,G442*N(IFERROR(INDEX(Options!$K$6:$K$85,MATCH($B442,Options!$A$6:$A$85,0)),"")))</f>
        <v>0</v>
      </c>
      <c r="W442" s="26" t="n">
        <f aca="false">IF(B442="",0,IF(N442&gt;=4,S442,(H442+I442+J442+K442)/(4-N442)))</f>
        <v>0</v>
      </c>
    </row>
    <row r="443" customFormat="false" ht="15" hidden="false" customHeight="false" outlineLevel="0" collapsed="false">
      <c r="A443" s="16"/>
      <c r="B443" s="16"/>
      <c r="C443" s="16"/>
      <c r="D443" s="16"/>
      <c r="E443" s="16"/>
      <c r="F443" s="16"/>
      <c r="G443" s="16"/>
      <c r="H443" s="16"/>
      <c r="I443" s="16"/>
      <c r="J443" s="16"/>
      <c r="K443" s="16"/>
      <c r="L443" s="16"/>
      <c r="M443" s="16"/>
      <c r="N443" s="16"/>
      <c r="O443" s="9" t="str">
        <f aca="false">IF(B443="","",IFERROR(INDEX(Options!$G$6:$G$85,MATCH($B443,Options!$A$6:$A$85,0)),""))</f>
        <v/>
      </c>
      <c r="P443" s="9" t="str">
        <f aca="false">IF(B443="","",IFERROR(INDEX(Options!$H$6:$H$85,MATCH($B443,Options!$A$6:$A$85,0)),""))</f>
        <v/>
      </c>
      <c r="Q443" s="24" t="n">
        <f aca="false">IF(B443="",0,N(IFERROR(INDEX(Options!$J$6:$J$85,MATCH($B443,Options!$A$6:$A$85,0)),"")))</f>
        <v>0</v>
      </c>
      <c r="R443" s="25" t="n">
        <f aca="false">K443*Settings!$B$10+J443*Settings!$B$11+I443*Settings!$B$12+H443*Settings!$B$13</f>
        <v>0</v>
      </c>
      <c r="S443" s="25" t="n">
        <f aca="false">IFERROR(L443/Settings!$B$8,0)</f>
        <v>0</v>
      </c>
      <c r="T443" s="26" t="n">
        <f aca="false">IF(OR(B443="",P443="End of life"),0,W443*MIN(4,N443))</f>
        <v>0</v>
      </c>
      <c r="U443" s="27" t="n">
        <f aca="false">T443*Q443</f>
        <v>0</v>
      </c>
      <c r="V443" s="14" t="n">
        <f aca="false">IF(B443="",0,G443*N(IFERROR(INDEX(Options!$K$6:$K$85,MATCH($B443,Options!$A$6:$A$85,0)),"")))</f>
        <v>0</v>
      </c>
      <c r="W443" s="26" t="n">
        <f aca="false">IF(B443="",0,IF(N443&gt;=4,S443,(H443+I443+J443+K443)/(4-N443)))</f>
        <v>0</v>
      </c>
    </row>
    <row r="444" customFormat="false" ht="15" hidden="false" customHeight="false" outlineLevel="0" collapsed="false">
      <c r="A444" s="16"/>
      <c r="B444" s="16"/>
      <c r="C444" s="16"/>
      <c r="D444" s="16"/>
      <c r="E444" s="16"/>
      <c r="F444" s="16"/>
      <c r="G444" s="16"/>
      <c r="H444" s="16"/>
      <c r="I444" s="16"/>
      <c r="J444" s="16"/>
      <c r="K444" s="16"/>
      <c r="L444" s="16"/>
      <c r="M444" s="16"/>
      <c r="N444" s="16"/>
      <c r="O444" s="9" t="str">
        <f aca="false">IF(B444="","",IFERROR(INDEX(Options!$G$6:$G$85,MATCH($B444,Options!$A$6:$A$85,0)),""))</f>
        <v/>
      </c>
      <c r="P444" s="9" t="str">
        <f aca="false">IF(B444="","",IFERROR(INDEX(Options!$H$6:$H$85,MATCH($B444,Options!$A$6:$A$85,0)),""))</f>
        <v/>
      </c>
      <c r="Q444" s="24" t="n">
        <f aca="false">IF(B444="",0,N(IFERROR(INDEX(Options!$J$6:$J$85,MATCH($B444,Options!$A$6:$A$85,0)),"")))</f>
        <v>0</v>
      </c>
      <c r="R444" s="25" t="n">
        <f aca="false">K444*Settings!$B$10+J444*Settings!$B$11+I444*Settings!$B$12+H444*Settings!$B$13</f>
        <v>0</v>
      </c>
      <c r="S444" s="25" t="n">
        <f aca="false">IFERROR(L444/Settings!$B$8,0)</f>
        <v>0</v>
      </c>
      <c r="T444" s="26" t="n">
        <f aca="false">IF(OR(B444="",P444="End of life"),0,W444*MIN(4,N444))</f>
        <v>0</v>
      </c>
      <c r="U444" s="27" t="n">
        <f aca="false">T444*Q444</f>
        <v>0</v>
      </c>
      <c r="V444" s="14" t="n">
        <f aca="false">IF(B444="",0,G444*N(IFERROR(INDEX(Options!$K$6:$K$85,MATCH($B444,Options!$A$6:$A$85,0)),"")))</f>
        <v>0</v>
      </c>
      <c r="W444" s="26" t="n">
        <f aca="false">IF(B444="",0,IF(N444&gt;=4,S444,(H444+I444+J444+K444)/(4-N444)))</f>
        <v>0</v>
      </c>
    </row>
    <row r="445" customFormat="false" ht="15" hidden="false" customHeight="false" outlineLevel="0" collapsed="false">
      <c r="A445" s="16"/>
      <c r="B445" s="16"/>
      <c r="C445" s="16"/>
      <c r="D445" s="16"/>
      <c r="E445" s="16"/>
      <c r="F445" s="16"/>
      <c r="G445" s="16"/>
      <c r="H445" s="16"/>
      <c r="I445" s="16"/>
      <c r="J445" s="16"/>
      <c r="K445" s="16"/>
      <c r="L445" s="16"/>
      <c r="M445" s="16"/>
      <c r="N445" s="16"/>
      <c r="O445" s="9" t="str">
        <f aca="false">IF(B445="","",IFERROR(INDEX(Options!$G$6:$G$85,MATCH($B445,Options!$A$6:$A$85,0)),""))</f>
        <v/>
      </c>
      <c r="P445" s="9" t="str">
        <f aca="false">IF(B445="","",IFERROR(INDEX(Options!$H$6:$H$85,MATCH($B445,Options!$A$6:$A$85,0)),""))</f>
        <v/>
      </c>
      <c r="Q445" s="24" t="n">
        <f aca="false">IF(B445="",0,N(IFERROR(INDEX(Options!$J$6:$J$85,MATCH($B445,Options!$A$6:$A$85,0)),"")))</f>
        <v>0</v>
      </c>
      <c r="R445" s="25" t="n">
        <f aca="false">K445*Settings!$B$10+J445*Settings!$B$11+I445*Settings!$B$12+H445*Settings!$B$13</f>
        <v>0</v>
      </c>
      <c r="S445" s="25" t="n">
        <f aca="false">IFERROR(L445/Settings!$B$8,0)</f>
        <v>0</v>
      </c>
      <c r="T445" s="26" t="n">
        <f aca="false">IF(OR(B445="",P445="End of life"),0,W445*MIN(4,N445))</f>
        <v>0</v>
      </c>
      <c r="U445" s="27" t="n">
        <f aca="false">T445*Q445</f>
        <v>0</v>
      </c>
      <c r="V445" s="14" t="n">
        <f aca="false">IF(B445="",0,G445*N(IFERROR(INDEX(Options!$K$6:$K$85,MATCH($B445,Options!$A$6:$A$85,0)),"")))</f>
        <v>0</v>
      </c>
      <c r="W445" s="26" t="n">
        <f aca="false">IF(B445="",0,IF(N445&gt;=4,S445,(H445+I445+J445+K445)/(4-N445)))</f>
        <v>0</v>
      </c>
    </row>
    <row r="446" customFormat="false" ht="15" hidden="false" customHeight="false" outlineLevel="0" collapsed="false">
      <c r="A446" s="16"/>
      <c r="B446" s="16"/>
      <c r="C446" s="16"/>
      <c r="D446" s="16"/>
      <c r="E446" s="16"/>
      <c r="F446" s="16"/>
      <c r="G446" s="16"/>
      <c r="H446" s="16"/>
      <c r="I446" s="16"/>
      <c r="J446" s="16"/>
      <c r="K446" s="16"/>
      <c r="L446" s="16"/>
      <c r="M446" s="16"/>
      <c r="N446" s="16"/>
      <c r="O446" s="9" t="str">
        <f aca="false">IF(B446="","",IFERROR(INDEX(Options!$G$6:$G$85,MATCH($B446,Options!$A$6:$A$85,0)),""))</f>
        <v/>
      </c>
      <c r="P446" s="9" t="str">
        <f aca="false">IF(B446="","",IFERROR(INDEX(Options!$H$6:$H$85,MATCH($B446,Options!$A$6:$A$85,0)),""))</f>
        <v/>
      </c>
      <c r="Q446" s="24" t="n">
        <f aca="false">IF(B446="",0,N(IFERROR(INDEX(Options!$J$6:$J$85,MATCH($B446,Options!$A$6:$A$85,0)),"")))</f>
        <v>0</v>
      </c>
      <c r="R446" s="25" t="n">
        <f aca="false">K446*Settings!$B$10+J446*Settings!$B$11+I446*Settings!$B$12+H446*Settings!$B$13</f>
        <v>0</v>
      </c>
      <c r="S446" s="25" t="n">
        <f aca="false">IFERROR(L446/Settings!$B$8,0)</f>
        <v>0</v>
      </c>
      <c r="T446" s="26" t="n">
        <f aca="false">IF(OR(B446="",P446="End of life"),0,W446*MIN(4,N446))</f>
        <v>0</v>
      </c>
      <c r="U446" s="27" t="n">
        <f aca="false">T446*Q446</f>
        <v>0</v>
      </c>
      <c r="V446" s="14" t="n">
        <f aca="false">IF(B446="",0,G446*N(IFERROR(INDEX(Options!$K$6:$K$85,MATCH($B446,Options!$A$6:$A$85,0)),"")))</f>
        <v>0</v>
      </c>
      <c r="W446" s="26" t="n">
        <f aca="false">IF(B446="",0,IF(N446&gt;=4,S446,(H446+I446+J446+K446)/(4-N446)))</f>
        <v>0</v>
      </c>
    </row>
    <row r="447" customFormat="false" ht="15" hidden="false" customHeight="false" outlineLevel="0" collapsed="false">
      <c r="A447" s="16"/>
      <c r="B447" s="16"/>
      <c r="C447" s="16"/>
      <c r="D447" s="16"/>
      <c r="E447" s="16"/>
      <c r="F447" s="16"/>
      <c r="G447" s="16"/>
      <c r="H447" s="16"/>
      <c r="I447" s="16"/>
      <c r="J447" s="16"/>
      <c r="K447" s="16"/>
      <c r="L447" s="16"/>
      <c r="M447" s="16"/>
      <c r="N447" s="16"/>
      <c r="O447" s="9" t="str">
        <f aca="false">IF(B447="","",IFERROR(INDEX(Options!$G$6:$G$85,MATCH($B447,Options!$A$6:$A$85,0)),""))</f>
        <v/>
      </c>
      <c r="P447" s="9" t="str">
        <f aca="false">IF(B447="","",IFERROR(INDEX(Options!$H$6:$H$85,MATCH($B447,Options!$A$6:$A$85,0)),""))</f>
        <v/>
      </c>
      <c r="Q447" s="24" t="n">
        <f aca="false">IF(B447="",0,N(IFERROR(INDEX(Options!$J$6:$J$85,MATCH($B447,Options!$A$6:$A$85,0)),"")))</f>
        <v>0</v>
      </c>
      <c r="R447" s="25" t="n">
        <f aca="false">K447*Settings!$B$10+J447*Settings!$B$11+I447*Settings!$B$12+H447*Settings!$B$13</f>
        <v>0</v>
      </c>
      <c r="S447" s="25" t="n">
        <f aca="false">IFERROR(L447/Settings!$B$8,0)</f>
        <v>0</v>
      </c>
      <c r="T447" s="26" t="n">
        <f aca="false">IF(OR(B447="",P447="End of life"),0,W447*MIN(4,N447))</f>
        <v>0</v>
      </c>
      <c r="U447" s="27" t="n">
        <f aca="false">T447*Q447</f>
        <v>0</v>
      </c>
      <c r="V447" s="14" t="n">
        <f aca="false">IF(B447="",0,G447*N(IFERROR(INDEX(Options!$K$6:$K$85,MATCH($B447,Options!$A$6:$A$85,0)),"")))</f>
        <v>0</v>
      </c>
      <c r="W447" s="26" t="n">
        <f aca="false">IF(B447="",0,IF(N447&gt;=4,S447,(H447+I447+J447+K447)/(4-N447)))</f>
        <v>0</v>
      </c>
    </row>
    <row r="448" customFormat="false" ht="15" hidden="false" customHeight="false" outlineLevel="0" collapsed="false">
      <c r="A448" s="16"/>
      <c r="B448" s="16"/>
      <c r="C448" s="16"/>
      <c r="D448" s="16"/>
      <c r="E448" s="16"/>
      <c r="F448" s="16"/>
      <c r="G448" s="16"/>
      <c r="H448" s="16"/>
      <c r="I448" s="16"/>
      <c r="J448" s="16"/>
      <c r="K448" s="16"/>
      <c r="L448" s="16"/>
      <c r="M448" s="16"/>
      <c r="N448" s="16"/>
      <c r="O448" s="9" t="str">
        <f aca="false">IF(B448="","",IFERROR(INDEX(Options!$G$6:$G$85,MATCH($B448,Options!$A$6:$A$85,0)),""))</f>
        <v/>
      </c>
      <c r="P448" s="9" t="str">
        <f aca="false">IF(B448="","",IFERROR(INDEX(Options!$H$6:$H$85,MATCH($B448,Options!$A$6:$A$85,0)),""))</f>
        <v/>
      </c>
      <c r="Q448" s="24" t="n">
        <f aca="false">IF(B448="",0,N(IFERROR(INDEX(Options!$J$6:$J$85,MATCH($B448,Options!$A$6:$A$85,0)),"")))</f>
        <v>0</v>
      </c>
      <c r="R448" s="25" t="n">
        <f aca="false">K448*Settings!$B$10+J448*Settings!$B$11+I448*Settings!$B$12+H448*Settings!$B$13</f>
        <v>0</v>
      </c>
      <c r="S448" s="25" t="n">
        <f aca="false">IFERROR(L448/Settings!$B$8,0)</f>
        <v>0</v>
      </c>
      <c r="T448" s="26" t="n">
        <f aca="false">IF(OR(B448="",P448="End of life"),0,W448*MIN(4,N448))</f>
        <v>0</v>
      </c>
      <c r="U448" s="27" t="n">
        <f aca="false">T448*Q448</f>
        <v>0</v>
      </c>
      <c r="V448" s="14" t="n">
        <f aca="false">IF(B448="",0,G448*N(IFERROR(INDEX(Options!$K$6:$K$85,MATCH($B448,Options!$A$6:$A$85,0)),"")))</f>
        <v>0</v>
      </c>
      <c r="W448" s="26" t="n">
        <f aca="false">IF(B448="",0,IF(N448&gt;=4,S448,(H448+I448+J448+K448)/(4-N448)))</f>
        <v>0</v>
      </c>
    </row>
    <row r="449" customFormat="false" ht="15" hidden="false" customHeight="false" outlineLevel="0" collapsed="false">
      <c r="A449" s="16"/>
      <c r="B449" s="16"/>
      <c r="C449" s="16"/>
      <c r="D449" s="16"/>
      <c r="E449" s="16"/>
      <c r="F449" s="16"/>
      <c r="G449" s="16"/>
      <c r="H449" s="16"/>
      <c r="I449" s="16"/>
      <c r="J449" s="16"/>
      <c r="K449" s="16"/>
      <c r="L449" s="16"/>
      <c r="M449" s="16"/>
      <c r="N449" s="16"/>
      <c r="O449" s="9" t="str">
        <f aca="false">IF(B449="","",IFERROR(INDEX(Options!$G$6:$G$85,MATCH($B449,Options!$A$6:$A$85,0)),""))</f>
        <v/>
      </c>
      <c r="P449" s="9" t="str">
        <f aca="false">IF(B449="","",IFERROR(INDEX(Options!$H$6:$H$85,MATCH($B449,Options!$A$6:$A$85,0)),""))</f>
        <v/>
      </c>
      <c r="Q449" s="24" t="n">
        <f aca="false">IF(B449="",0,N(IFERROR(INDEX(Options!$J$6:$J$85,MATCH($B449,Options!$A$6:$A$85,0)),"")))</f>
        <v>0</v>
      </c>
      <c r="R449" s="25" t="n">
        <f aca="false">K449*Settings!$B$10+J449*Settings!$B$11+I449*Settings!$B$12+H449*Settings!$B$13</f>
        <v>0</v>
      </c>
      <c r="S449" s="25" t="n">
        <f aca="false">IFERROR(L449/Settings!$B$8,0)</f>
        <v>0</v>
      </c>
      <c r="T449" s="26" t="n">
        <f aca="false">IF(OR(B449="",P449="End of life"),0,W449*MIN(4,N449))</f>
        <v>0</v>
      </c>
      <c r="U449" s="27" t="n">
        <f aca="false">T449*Q449</f>
        <v>0</v>
      </c>
      <c r="V449" s="14" t="n">
        <f aca="false">IF(B449="",0,G449*N(IFERROR(INDEX(Options!$K$6:$K$85,MATCH($B449,Options!$A$6:$A$85,0)),"")))</f>
        <v>0</v>
      </c>
      <c r="W449" s="26" t="n">
        <f aca="false">IF(B449="",0,IF(N449&gt;=4,S449,(H449+I449+J449+K449)/(4-N449)))</f>
        <v>0</v>
      </c>
    </row>
    <row r="450" customFormat="false" ht="15" hidden="false" customHeight="false" outlineLevel="0" collapsed="false">
      <c r="A450" s="16"/>
      <c r="B450" s="16"/>
      <c r="C450" s="16"/>
      <c r="D450" s="16"/>
      <c r="E450" s="16"/>
      <c r="F450" s="16"/>
      <c r="G450" s="16"/>
      <c r="H450" s="16"/>
      <c r="I450" s="16"/>
      <c r="J450" s="16"/>
      <c r="K450" s="16"/>
      <c r="L450" s="16"/>
      <c r="M450" s="16"/>
      <c r="N450" s="16"/>
      <c r="O450" s="9" t="str">
        <f aca="false">IF(B450="","",IFERROR(INDEX(Options!$G$6:$G$85,MATCH($B450,Options!$A$6:$A$85,0)),""))</f>
        <v/>
      </c>
      <c r="P450" s="9" t="str">
        <f aca="false">IF(B450="","",IFERROR(INDEX(Options!$H$6:$H$85,MATCH($B450,Options!$A$6:$A$85,0)),""))</f>
        <v/>
      </c>
      <c r="Q450" s="24" t="n">
        <f aca="false">IF(B450="",0,N(IFERROR(INDEX(Options!$J$6:$J$85,MATCH($B450,Options!$A$6:$A$85,0)),"")))</f>
        <v>0</v>
      </c>
      <c r="R450" s="25" t="n">
        <f aca="false">K450*Settings!$B$10+J450*Settings!$B$11+I450*Settings!$B$12+H450*Settings!$B$13</f>
        <v>0</v>
      </c>
      <c r="S450" s="25" t="n">
        <f aca="false">IFERROR(L450/Settings!$B$8,0)</f>
        <v>0</v>
      </c>
      <c r="T450" s="26" t="n">
        <f aca="false">IF(OR(B450="",P450="End of life"),0,W450*MIN(4,N450))</f>
        <v>0</v>
      </c>
      <c r="U450" s="27" t="n">
        <f aca="false">T450*Q450</f>
        <v>0</v>
      </c>
      <c r="V450" s="14" t="n">
        <f aca="false">IF(B450="",0,G450*N(IFERROR(INDEX(Options!$K$6:$K$85,MATCH($B450,Options!$A$6:$A$85,0)),"")))</f>
        <v>0</v>
      </c>
      <c r="W450" s="26" t="n">
        <f aca="false">IF(B450="",0,IF(N450&gt;=4,S450,(H450+I450+J450+K450)/(4-N450)))</f>
        <v>0</v>
      </c>
    </row>
    <row r="451" customFormat="false" ht="15" hidden="false" customHeight="false" outlineLevel="0" collapsed="false">
      <c r="A451" s="16"/>
      <c r="B451" s="16"/>
      <c r="C451" s="16"/>
      <c r="D451" s="16"/>
      <c r="E451" s="16"/>
      <c r="F451" s="16"/>
      <c r="G451" s="16"/>
      <c r="H451" s="16"/>
      <c r="I451" s="16"/>
      <c r="J451" s="16"/>
      <c r="K451" s="16"/>
      <c r="L451" s="16"/>
      <c r="M451" s="16"/>
      <c r="N451" s="16"/>
      <c r="O451" s="9" t="str">
        <f aca="false">IF(B451="","",IFERROR(INDEX(Options!$G$6:$G$85,MATCH($B451,Options!$A$6:$A$85,0)),""))</f>
        <v/>
      </c>
      <c r="P451" s="9" t="str">
        <f aca="false">IF(B451="","",IFERROR(INDEX(Options!$H$6:$H$85,MATCH($B451,Options!$A$6:$A$85,0)),""))</f>
        <v/>
      </c>
      <c r="Q451" s="24" t="n">
        <f aca="false">IF(B451="",0,N(IFERROR(INDEX(Options!$J$6:$J$85,MATCH($B451,Options!$A$6:$A$85,0)),"")))</f>
        <v>0</v>
      </c>
      <c r="R451" s="25" t="n">
        <f aca="false">K451*Settings!$B$10+J451*Settings!$B$11+I451*Settings!$B$12+H451*Settings!$B$13</f>
        <v>0</v>
      </c>
      <c r="S451" s="25" t="n">
        <f aca="false">IFERROR(L451/Settings!$B$8,0)</f>
        <v>0</v>
      </c>
      <c r="T451" s="26" t="n">
        <f aca="false">IF(OR(B451="",P451="End of life"),0,W451*MIN(4,N451))</f>
        <v>0</v>
      </c>
      <c r="U451" s="27" t="n">
        <f aca="false">T451*Q451</f>
        <v>0</v>
      </c>
      <c r="V451" s="14" t="n">
        <f aca="false">IF(B451="",0,G451*N(IFERROR(INDEX(Options!$K$6:$K$85,MATCH($B451,Options!$A$6:$A$85,0)),"")))</f>
        <v>0</v>
      </c>
      <c r="W451" s="26" t="n">
        <f aca="false">IF(B451="",0,IF(N451&gt;=4,S451,(H451+I451+J451+K451)/(4-N451)))</f>
        <v>0</v>
      </c>
    </row>
    <row r="452" customFormat="false" ht="15" hidden="false" customHeight="false" outlineLevel="0" collapsed="false">
      <c r="A452" s="16"/>
      <c r="B452" s="16"/>
      <c r="C452" s="16"/>
      <c r="D452" s="16"/>
      <c r="E452" s="16"/>
      <c r="F452" s="16"/>
      <c r="G452" s="16"/>
      <c r="H452" s="16"/>
      <c r="I452" s="16"/>
      <c r="J452" s="16"/>
      <c r="K452" s="16"/>
      <c r="L452" s="16"/>
      <c r="M452" s="16"/>
      <c r="N452" s="16"/>
      <c r="O452" s="9" t="str">
        <f aca="false">IF(B452="","",IFERROR(INDEX(Options!$G$6:$G$85,MATCH($B452,Options!$A$6:$A$85,0)),""))</f>
        <v/>
      </c>
      <c r="P452" s="9" t="str">
        <f aca="false">IF(B452="","",IFERROR(INDEX(Options!$H$6:$H$85,MATCH($B452,Options!$A$6:$A$85,0)),""))</f>
        <v/>
      </c>
      <c r="Q452" s="24" t="n">
        <f aca="false">IF(B452="",0,N(IFERROR(INDEX(Options!$J$6:$J$85,MATCH($B452,Options!$A$6:$A$85,0)),"")))</f>
        <v>0</v>
      </c>
      <c r="R452" s="25" t="n">
        <f aca="false">K452*Settings!$B$10+J452*Settings!$B$11+I452*Settings!$B$12+H452*Settings!$B$13</f>
        <v>0</v>
      </c>
      <c r="S452" s="25" t="n">
        <f aca="false">IFERROR(L452/Settings!$B$8,0)</f>
        <v>0</v>
      </c>
      <c r="T452" s="26" t="n">
        <f aca="false">IF(OR(B452="",P452="End of life"),0,W452*MIN(4,N452))</f>
        <v>0</v>
      </c>
      <c r="U452" s="27" t="n">
        <f aca="false">T452*Q452</f>
        <v>0</v>
      </c>
      <c r="V452" s="14" t="n">
        <f aca="false">IF(B452="",0,G452*N(IFERROR(INDEX(Options!$K$6:$K$85,MATCH($B452,Options!$A$6:$A$85,0)),"")))</f>
        <v>0</v>
      </c>
      <c r="W452" s="26" t="n">
        <f aca="false">IF(B452="",0,IF(N452&gt;=4,S452,(H452+I452+J452+K452)/(4-N452)))</f>
        <v>0</v>
      </c>
    </row>
    <row r="453" customFormat="false" ht="15" hidden="false" customHeight="false" outlineLevel="0" collapsed="false">
      <c r="A453" s="16"/>
      <c r="B453" s="16"/>
      <c r="C453" s="16"/>
      <c r="D453" s="16"/>
      <c r="E453" s="16"/>
      <c r="F453" s="16"/>
      <c r="G453" s="16"/>
      <c r="H453" s="16"/>
      <c r="I453" s="16"/>
      <c r="J453" s="16"/>
      <c r="K453" s="16"/>
      <c r="L453" s="16"/>
      <c r="M453" s="16"/>
      <c r="N453" s="16"/>
      <c r="O453" s="9" t="str">
        <f aca="false">IF(B453="","",IFERROR(INDEX(Options!$G$6:$G$85,MATCH($B453,Options!$A$6:$A$85,0)),""))</f>
        <v/>
      </c>
      <c r="P453" s="9" t="str">
        <f aca="false">IF(B453="","",IFERROR(INDEX(Options!$H$6:$H$85,MATCH($B453,Options!$A$6:$A$85,0)),""))</f>
        <v/>
      </c>
      <c r="Q453" s="24" t="n">
        <f aca="false">IF(B453="",0,N(IFERROR(INDEX(Options!$J$6:$J$85,MATCH($B453,Options!$A$6:$A$85,0)),"")))</f>
        <v>0</v>
      </c>
      <c r="R453" s="25" t="n">
        <f aca="false">K453*Settings!$B$10+J453*Settings!$B$11+I453*Settings!$B$12+H453*Settings!$B$13</f>
        <v>0</v>
      </c>
      <c r="S453" s="25" t="n">
        <f aca="false">IFERROR(L453/Settings!$B$8,0)</f>
        <v>0</v>
      </c>
      <c r="T453" s="26" t="n">
        <f aca="false">IF(OR(B453="",P453="End of life"),0,W453*MIN(4,N453))</f>
        <v>0</v>
      </c>
      <c r="U453" s="27" t="n">
        <f aca="false">T453*Q453</f>
        <v>0</v>
      </c>
      <c r="V453" s="14" t="n">
        <f aca="false">IF(B453="",0,G453*N(IFERROR(INDEX(Options!$K$6:$K$85,MATCH($B453,Options!$A$6:$A$85,0)),"")))</f>
        <v>0</v>
      </c>
      <c r="W453" s="26" t="n">
        <f aca="false">IF(B453="",0,IF(N453&gt;=4,S453,(H453+I453+J453+K453)/(4-N453)))</f>
        <v>0</v>
      </c>
    </row>
    <row r="454" customFormat="false" ht="15" hidden="false" customHeight="false" outlineLevel="0" collapsed="false">
      <c r="A454" s="16"/>
      <c r="B454" s="16"/>
      <c r="C454" s="16"/>
      <c r="D454" s="16"/>
      <c r="E454" s="16"/>
      <c r="F454" s="16"/>
      <c r="G454" s="16"/>
      <c r="H454" s="16"/>
      <c r="I454" s="16"/>
      <c r="J454" s="16"/>
      <c r="K454" s="16"/>
      <c r="L454" s="16"/>
      <c r="M454" s="16"/>
      <c r="N454" s="16"/>
      <c r="O454" s="9" t="str">
        <f aca="false">IF(B454="","",IFERROR(INDEX(Options!$G$6:$G$85,MATCH($B454,Options!$A$6:$A$85,0)),""))</f>
        <v/>
      </c>
      <c r="P454" s="9" t="str">
        <f aca="false">IF(B454="","",IFERROR(INDEX(Options!$H$6:$H$85,MATCH($B454,Options!$A$6:$A$85,0)),""))</f>
        <v/>
      </c>
      <c r="Q454" s="24" t="n">
        <f aca="false">IF(B454="",0,N(IFERROR(INDEX(Options!$J$6:$J$85,MATCH($B454,Options!$A$6:$A$85,0)),"")))</f>
        <v>0</v>
      </c>
      <c r="R454" s="25" t="n">
        <f aca="false">K454*Settings!$B$10+J454*Settings!$B$11+I454*Settings!$B$12+H454*Settings!$B$13</f>
        <v>0</v>
      </c>
      <c r="S454" s="25" t="n">
        <f aca="false">IFERROR(L454/Settings!$B$8,0)</f>
        <v>0</v>
      </c>
      <c r="T454" s="26" t="n">
        <f aca="false">IF(OR(B454="",P454="End of life"),0,W454*MIN(4,N454))</f>
        <v>0</v>
      </c>
      <c r="U454" s="27" t="n">
        <f aca="false">T454*Q454</f>
        <v>0</v>
      </c>
      <c r="V454" s="14" t="n">
        <f aca="false">IF(B454="",0,G454*N(IFERROR(INDEX(Options!$K$6:$K$85,MATCH($B454,Options!$A$6:$A$85,0)),"")))</f>
        <v>0</v>
      </c>
      <c r="W454" s="26" t="n">
        <f aca="false">IF(B454="",0,IF(N454&gt;=4,S454,(H454+I454+J454+K454)/(4-N454)))</f>
        <v>0</v>
      </c>
    </row>
    <row r="455" customFormat="false" ht="15" hidden="false" customHeight="false" outlineLevel="0" collapsed="false">
      <c r="A455" s="16"/>
      <c r="B455" s="16"/>
      <c r="C455" s="16"/>
      <c r="D455" s="16"/>
      <c r="E455" s="16"/>
      <c r="F455" s="16"/>
      <c r="G455" s="16"/>
      <c r="H455" s="16"/>
      <c r="I455" s="16"/>
      <c r="J455" s="16"/>
      <c r="K455" s="16"/>
      <c r="L455" s="16"/>
      <c r="M455" s="16"/>
      <c r="N455" s="16"/>
      <c r="O455" s="9" t="str">
        <f aca="false">IF(B455="","",IFERROR(INDEX(Options!$G$6:$G$85,MATCH($B455,Options!$A$6:$A$85,0)),""))</f>
        <v/>
      </c>
      <c r="P455" s="9" t="str">
        <f aca="false">IF(B455="","",IFERROR(INDEX(Options!$H$6:$H$85,MATCH($B455,Options!$A$6:$A$85,0)),""))</f>
        <v/>
      </c>
      <c r="Q455" s="24" t="n">
        <f aca="false">IF(B455="",0,N(IFERROR(INDEX(Options!$J$6:$J$85,MATCH($B455,Options!$A$6:$A$85,0)),"")))</f>
        <v>0</v>
      </c>
      <c r="R455" s="25" t="n">
        <f aca="false">K455*Settings!$B$10+J455*Settings!$B$11+I455*Settings!$B$12+H455*Settings!$B$13</f>
        <v>0</v>
      </c>
      <c r="S455" s="25" t="n">
        <f aca="false">IFERROR(L455/Settings!$B$8,0)</f>
        <v>0</v>
      </c>
      <c r="T455" s="26" t="n">
        <f aca="false">IF(OR(B455="",P455="End of life"),0,W455*MIN(4,N455))</f>
        <v>0</v>
      </c>
      <c r="U455" s="27" t="n">
        <f aca="false">T455*Q455</f>
        <v>0</v>
      </c>
      <c r="V455" s="14" t="n">
        <f aca="false">IF(B455="",0,G455*N(IFERROR(INDEX(Options!$K$6:$K$85,MATCH($B455,Options!$A$6:$A$85,0)),"")))</f>
        <v>0</v>
      </c>
      <c r="W455" s="26" t="n">
        <f aca="false">IF(B455="",0,IF(N455&gt;=4,S455,(H455+I455+J455+K455)/(4-N455)))</f>
        <v>0</v>
      </c>
    </row>
    <row r="456" customFormat="false" ht="15" hidden="false" customHeight="false" outlineLevel="0" collapsed="false">
      <c r="A456" s="16"/>
      <c r="B456" s="16"/>
      <c r="C456" s="16"/>
      <c r="D456" s="16"/>
      <c r="E456" s="16"/>
      <c r="F456" s="16"/>
      <c r="G456" s="16"/>
      <c r="H456" s="16"/>
      <c r="I456" s="16"/>
      <c r="J456" s="16"/>
      <c r="K456" s="16"/>
      <c r="L456" s="16"/>
      <c r="M456" s="16"/>
      <c r="N456" s="16"/>
      <c r="O456" s="9" t="str">
        <f aca="false">IF(B456="","",IFERROR(INDEX(Options!$G$6:$G$85,MATCH($B456,Options!$A$6:$A$85,0)),""))</f>
        <v/>
      </c>
      <c r="P456" s="9" t="str">
        <f aca="false">IF(B456="","",IFERROR(INDEX(Options!$H$6:$H$85,MATCH($B456,Options!$A$6:$A$85,0)),""))</f>
        <v/>
      </c>
      <c r="Q456" s="24" t="n">
        <f aca="false">IF(B456="",0,N(IFERROR(INDEX(Options!$J$6:$J$85,MATCH($B456,Options!$A$6:$A$85,0)),"")))</f>
        <v>0</v>
      </c>
      <c r="R456" s="25" t="n">
        <f aca="false">K456*Settings!$B$10+J456*Settings!$B$11+I456*Settings!$B$12+H456*Settings!$B$13</f>
        <v>0</v>
      </c>
      <c r="S456" s="25" t="n">
        <f aca="false">IFERROR(L456/Settings!$B$8,0)</f>
        <v>0</v>
      </c>
      <c r="T456" s="26" t="n">
        <f aca="false">IF(OR(B456="",P456="End of life"),0,W456*MIN(4,N456))</f>
        <v>0</v>
      </c>
      <c r="U456" s="27" t="n">
        <f aca="false">T456*Q456</f>
        <v>0</v>
      </c>
      <c r="V456" s="14" t="n">
        <f aca="false">IF(B456="",0,G456*N(IFERROR(INDEX(Options!$K$6:$K$85,MATCH($B456,Options!$A$6:$A$85,0)),"")))</f>
        <v>0</v>
      </c>
      <c r="W456" s="26" t="n">
        <f aca="false">IF(B456="",0,IF(N456&gt;=4,S456,(H456+I456+J456+K456)/(4-N456)))</f>
        <v>0</v>
      </c>
    </row>
    <row r="457" customFormat="false" ht="15" hidden="false" customHeight="false" outlineLevel="0" collapsed="false">
      <c r="A457" s="16"/>
      <c r="B457" s="16"/>
      <c r="C457" s="16"/>
      <c r="D457" s="16"/>
      <c r="E457" s="16"/>
      <c r="F457" s="16"/>
      <c r="G457" s="16"/>
      <c r="H457" s="16"/>
      <c r="I457" s="16"/>
      <c r="J457" s="16"/>
      <c r="K457" s="16"/>
      <c r="L457" s="16"/>
      <c r="M457" s="16"/>
      <c r="N457" s="16"/>
      <c r="O457" s="9" t="str">
        <f aca="false">IF(B457="","",IFERROR(INDEX(Options!$G$6:$G$85,MATCH($B457,Options!$A$6:$A$85,0)),""))</f>
        <v/>
      </c>
      <c r="P457" s="9" t="str">
        <f aca="false">IF(B457="","",IFERROR(INDEX(Options!$H$6:$H$85,MATCH($B457,Options!$A$6:$A$85,0)),""))</f>
        <v/>
      </c>
      <c r="Q457" s="24" t="n">
        <f aca="false">IF(B457="",0,N(IFERROR(INDEX(Options!$J$6:$J$85,MATCH($B457,Options!$A$6:$A$85,0)),"")))</f>
        <v>0</v>
      </c>
      <c r="R457" s="25" t="n">
        <f aca="false">K457*Settings!$B$10+J457*Settings!$B$11+I457*Settings!$B$12+H457*Settings!$B$13</f>
        <v>0</v>
      </c>
      <c r="S457" s="25" t="n">
        <f aca="false">IFERROR(L457/Settings!$B$8,0)</f>
        <v>0</v>
      </c>
      <c r="T457" s="26" t="n">
        <f aca="false">IF(OR(B457="",P457="End of life"),0,W457*MIN(4,N457))</f>
        <v>0</v>
      </c>
      <c r="U457" s="27" t="n">
        <f aca="false">T457*Q457</f>
        <v>0</v>
      </c>
      <c r="V457" s="14" t="n">
        <f aca="false">IF(B457="",0,G457*N(IFERROR(INDEX(Options!$K$6:$K$85,MATCH($B457,Options!$A$6:$A$85,0)),"")))</f>
        <v>0</v>
      </c>
      <c r="W457" s="26" t="n">
        <f aca="false">IF(B457="",0,IF(N457&gt;=4,S457,(H457+I457+J457+K457)/(4-N457)))</f>
        <v>0</v>
      </c>
    </row>
    <row r="458" customFormat="false" ht="15" hidden="false" customHeight="false" outlineLevel="0" collapsed="false">
      <c r="A458" s="16"/>
      <c r="B458" s="16"/>
      <c r="C458" s="16"/>
      <c r="D458" s="16"/>
      <c r="E458" s="16"/>
      <c r="F458" s="16"/>
      <c r="G458" s="16"/>
      <c r="H458" s="16"/>
      <c r="I458" s="16"/>
      <c r="J458" s="16"/>
      <c r="K458" s="16"/>
      <c r="L458" s="16"/>
      <c r="M458" s="16"/>
      <c r="N458" s="16"/>
      <c r="O458" s="9" t="str">
        <f aca="false">IF(B458="","",IFERROR(INDEX(Options!$G$6:$G$85,MATCH($B458,Options!$A$6:$A$85,0)),""))</f>
        <v/>
      </c>
      <c r="P458" s="9" t="str">
        <f aca="false">IF(B458="","",IFERROR(INDEX(Options!$H$6:$H$85,MATCH($B458,Options!$A$6:$A$85,0)),""))</f>
        <v/>
      </c>
      <c r="Q458" s="24" t="n">
        <f aca="false">IF(B458="",0,N(IFERROR(INDEX(Options!$J$6:$J$85,MATCH($B458,Options!$A$6:$A$85,0)),"")))</f>
        <v>0</v>
      </c>
      <c r="R458" s="25" t="n">
        <f aca="false">K458*Settings!$B$10+J458*Settings!$B$11+I458*Settings!$B$12+H458*Settings!$B$13</f>
        <v>0</v>
      </c>
      <c r="S458" s="25" t="n">
        <f aca="false">IFERROR(L458/Settings!$B$8,0)</f>
        <v>0</v>
      </c>
      <c r="T458" s="26" t="n">
        <f aca="false">IF(OR(B458="",P458="End of life"),0,W458*MIN(4,N458))</f>
        <v>0</v>
      </c>
      <c r="U458" s="27" t="n">
        <f aca="false">T458*Q458</f>
        <v>0</v>
      </c>
      <c r="V458" s="14" t="n">
        <f aca="false">IF(B458="",0,G458*N(IFERROR(INDEX(Options!$K$6:$K$85,MATCH($B458,Options!$A$6:$A$85,0)),"")))</f>
        <v>0</v>
      </c>
      <c r="W458" s="26" t="n">
        <f aca="false">IF(B458="",0,IF(N458&gt;=4,S458,(H458+I458+J458+K458)/(4-N458)))</f>
        <v>0</v>
      </c>
    </row>
    <row r="459" customFormat="false" ht="15" hidden="false" customHeight="false" outlineLevel="0" collapsed="false">
      <c r="A459" s="16"/>
      <c r="B459" s="16"/>
      <c r="C459" s="16"/>
      <c r="D459" s="16"/>
      <c r="E459" s="16"/>
      <c r="F459" s="16"/>
      <c r="G459" s="16"/>
      <c r="H459" s="16"/>
      <c r="I459" s="16"/>
      <c r="J459" s="16"/>
      <c r="K459" s="16"/>
      <c r="L459" s="16"/>
      <c r="M459" s="16"/>
      <c r="N459" s="16"/>
      <c r="O459" s="9" t="str">
        <f aca="false">IF(B459="","",IFERROR(INDEX(Options!$G$6:$G$85,MATCH($B459,Options!$A$6:$A$85,0)),""))</f>
        <v/>
      </c>
      <c r="P459" s="9" t="str">
        <f aca="false">IF(B459="","",IFERROR(INDEX(Options!$H$6:$H$85,MATCH($B459,Options!$A$6:$A$85,0)),""))</f>
        <v/>
      </c>
      <c r="Q459" s="24" t="n">
        <f aca="false">IF(B459="",0,N(IFERROR(INDEX(Options!$J$6:$J$85,MATCH($B459,Options!$A$6:$A$85,0)),"")))</f>
        <v>0</v>
      </c>
      <c r="R459" s="25" t="n">
        <f aca="false">K459*Settings!$B$10+J459*Settings!$B$11+I459*Settings!$B$12+H459*Settings!$B$13</f>
        <v>0</v>
      </c>
      <c r="S459" s="25" t="n">
        <f aca="false">IFERROR(L459/Settings!$B$8,0)</f>
        <v>0</v>
      </c>
      <c r="T459" s="26" t="n">
        <f aca="false">IF(OR(B459="",P459="End of life"),0,W459*MIN(4,N459))</f>
        <v>0</v>
      </c>
      <c r="U459" s="27" t="n">
        <f aca="false">T459*Q459</f>
        <v>0</v>
      </c>
      <c r="V459" s="14" t="n">
        <f aca="false">IF(B459="",0,G459*N(IFERROR(INDEX(Options!$K$6:$K$85,MATCH($B459,Options!$A$6:$A$85,0)),"")))</f>
        <v>0</v>
      </c>
      <c r="W459" s="26" t="n">
        <f aca="false">IF(B459="",0,IF(N459&gt;=4,S459,(H459+I459+J459+K459)/(4-N459)))</f>
        <v>0</v>
      </c>
    </row>
    <row r="460" customFormat="false" ht="15" hidden="false" customHeight="false" outlineLevel="0" collapsed="false">
      <c r="A460" s="16"/>
      <c r="B460" s="16"/>
      <c r="C460" s="16"/>
      <c r="D460" s="16"/>
      <c r="E460" s="16"/>
      <c r="F460" s="16"/>
      <c r="G460" s="16"/>
      <c r="H460" s="16"/>
      <c r="I460" s="16"/>
      <c r="J460" s="16"/>
      <c r="K460" s="16"/>
      <c r="L460" s="16"/>
      <c r="M460" s="16"/>
      <c r="N460" s="16"/>
      <c r="O460" s="9" t="str">
        <f aca="false">IF(B460="","",IFERROR(INDEX(Options!$G$6:$G$85,MATCH($B460,Options!$A$6:$A$85,0)),""))</f>
        <v/>
      </c>
      <c r="P460" s="9" t="str">
        <f aca="false">IF(B460="","",IFERROR(INDEX(Options!$H$6:$H$85,MATCH($B460,Options!$A$6:$A$85,0)),""))</f>
        <v/>
      </c>
      <c r="Q460" s="24" t="n">
        <f aca="false">IF(B460="",0,N(IFERROR(INDEX(Options!$J$6:$J$85,MATCH($B460,Options!$A$6:$A$85,0)),"")))</f>
        <v>0</v>
      </c>
      <c r="R460" s="25" t="n">
        <f aca="false">K460*Settings!$B$10+J460*Settings!$B$11+I460*Settings!$B$12+H460*Settings!$B$13</f>
        <v>0</v>
      </c>
      <c r="S460" s="25" t="n">
        <f aca="false">IFERROR(L460/Settings!$B$8,0)</f>
        <v>0</v>
      </c>
      <c r="T460" s="26" t="n">
        <f aca="false">IF(OR(B460="",P460="End of life"),0,W460*MIN(4,N460))</f>
        <v>0</v>
      </c>
      <c r="U460" s="27" t="n">
        <f aca="false">T460*Q460</f>
        <v>0</v>
      </c>
      <c r="V460" s="14" t="n">
        <f aca="false">IF(B460="",0,G460*N(IFERROR(INDEX(Options!$K$6:$K$85,MATCH($B460,Options!$A$6:$A$85,0)),"")))</f>
        <v>0</v>
      </c>
      <c r="W460" s="26" t="n">
        <f aca="false">IF(B460="",0,IF(N460&gt;=4,S460,(H460+I460+J460+K460)/(4-N460)))</f>
        <v>0</v>
      </c>
    </row>
    <row r="461" customFormat="false" ht="15" hidden="false" customHeight="false" outlineLevel="0" collapsed="false">
      <c r="A461" s="16"/>
      <c r="B461" s="16"/>
      <c r="C461" s="16"/>
      <c r="D461" s="16"/>
      <c r="E461" s="16"/>
      <c r="F461" s="16"/>
      <c r="G461" s="16"/>
      <c r="H461" s="16"/>
      <c r="I461" s="16"/>
      <c r="J461" s="16"/>
      <c r="K461" s="16"/>
      <c r="L461" s="16"/>
      <c r="M461" s="16"/>
      <c r="N461" s="16"/>
      <c r="O461" s="9" t="str">
        <f aca="false">IF(B461="","",IFERROR(INDEX(Options!$G$6:$G$85,MATCH($B461,Options!$A$6:$A$85,0)),""))</f>
        <v/>
      </c>
      <c r="P461" s="9" t="str">
        <f aca="false">IF(B461="","",IFERROR(INDEX(Options!$H$6:$H$85,MATCH($B461,Options!$A$6:$A$85,0)),""))</f>
        <v/>
      </c>
      <c r="Q461" s="24" t="n">
        <f aca="false">IF(B461="",0,N(IFERROR(INDEX(Options!$J$6:$J$85,MATCH($B461,Options!$A$6:$A$85,0)),"")))</f>
        <v>0</v>
      </c>
      <c r="R461" s="25" t="n">
        <f aca="false">K461*Settings!$B$10+J461*Settings!$B$11+I461*Settings!$B$12+H461*Settings!$B$13</f>
        <v>0</v>
      </c>
      <c r="S461" s="25" t="n">
        <f aca="false">IFERROR(L461/Settings!$B$8,0)</f>
        <v>0</v>
      </c>
      <c r="T461" s="26" t="n">
        <f aca="false">IF(OR(B461="",P461="End of life"),0,W461*MIN(4,N461))</f>
        <v>0</v>
      </c>
      <c r="U461" s="27" t="n">
        <f aca="false">T461*Q461</f>
        <v>0</v>
      </c>
      <c r="V461" s="14" t="n">
        <f aca="false">IF(B461="",0,G461*N(IFERROR(INDEX(Options!$K$6:$K$85,MATCH($B461,Options!$A$6:$A$85,0)),"")))</f>
        <v>0</v>
      </c>
      <c r="W461" s="26" t="n">
        <f aca="false">IF(B461="",0,IF(N461&gt;=4,S461,(H461+I461+J461+K461)/(4-N461)))</f>
        <v>0</v>
      </c>
    </row>
    <row r="462" customFormat="false" ht="15" hidden="false" customHeight="false" outlineLevel="0" collapsed="false">
      <c r="A462" s="16"/>
      <c r="B462" s="16"/>
      <c r="C462" s="16"/>
      <c r="D462" s="16"/>
      <c r="E462" s="16"/>
      <c r="F462" s="16"/>
      <c r="G462" s="16"/>
      <c r="H462" s="16"/>
      <c r="I462" s="16"/>
      <c r="J462" s="16"/>
      <c r="K462" s="16"/>
      <c r="L462" s="16"/>
      <c r="M462" s="16"/>
      <c r="N462" s="16"/>
      <c r="O462" s="9" t="str">
        <f aca="false">IF(B462="","",IFERROR(INDEX(Options!$G$6:$G$85,MATCH($B462,Options!$A$6:$A$85,0)),""))</f>
        <v/>
      </c>
      <c r="P462" s="9" t="str">
        <f aca="false">IF(B462="","",IFERROR(INDEX(Options!$H$6:$H$85,MATCH($B462,Options!$A$6:$A$85,0)),""))</f>
        <v/>
      </c>
      <c r="Q462" s="24" t="n">
        <f aca="false">IF(B462="",0,N(IFERROR(INDEX(Options!$J$6:$J$85,MATCH($B462,Options!$A$6:$A$85,0)),"")))</f>
        <v>0</v>
      </c>
      <c r="R462" s="25" t="n">
        <f aca="false">K462*Settings!$B$10+J462*Settings!$B$11+I462*Settings!$B$12+H462*Settings!$B$13</f>
        <v>0</v>
      </c>
      <c r="S462" s="25" t="n">
        <f aca="false">IFERROR(L462/Settings!$B$8,0)</f>
        <v>0</v>
      </c>
      <c r="T462" s="26" t="n">
        <f aca="false">IF(OR(B462="",P462="End of life"),0,W462*MIN(4,N462))</f>
        <v>0</v>
      </c>
      <c r="U462" s="27" t="n">
        <f aca="false">T462*Q462</f>
        <v>0</v>
      </c>
      <c r="V462" s="14" t="n">
        <f aca="false">IF(B462="",0,G462*N(IFERROR(INDEX(Options!$K$6:$K$85,MATCH($B462,Options!$A$6:$A$85,0)),"")))</f>
        <v>0</v>
      </c>
      <c r="W462" s="26" t="n">
        <f aca="false">IF(B462="",0,IF(N462&gt;=4,S462,(H462+I462+J462+K462)/(4-N462)))</f>
        <v>0</v>
      </c>
    </row>
    <row r="463" customFormat="false" ht="15" hidden="false" customHeight="false" outlineLevel="0" collapsed="false">
      <c r="A463" s="16"/>
      <c r="B463" s="16"/>
      <c r="C463" s="16"/>
      <c r="D463" s="16"/>
      <c r="E463" s="16"/>
      <c r="F463" s="16"/>
      <c r="G463" s="16"/>
      <c r="H463" s="16"/>
      <c r="I463" s="16"/>
      <c r="J463" s="16"/>
      <c r="K463" s="16"/>
      <c r="L463" s="16"/>
      <c r="M463" s="16"/>
      <c r="N463" s="16"/>
      <c r="O463" s="9" t="str">
        <f aca="false">IF(B463="","",IFERROR(INDEX(Options!$G$6:$G$85,MATCH($B463,Options!$A$6:$A$85,0)),""))</f>
        <v/>
      </c>
      <c r="P463" s="9" t="str">
        <f aca="false">IF(B463="","",IFERROR(INDEX(Options!$H$6:$H$85,MATCH($B463,Options!$A$6:$A$85,0)),""))</f>
        <v/>
      </c>
      <c r="Q463" s="24" t="n">
        <f aca="false">IF(B463="",0,N(IFERROR(INDEX(Options!$J$6:$J$85,MATCH($B463,Options!$A$6:$A$85,0)),"")))</f>
        <v>0</v>
      </c>
      <c r="R463" s="25" t="n">
        <f aca="false">K463*Settings!$B$10+J463*Settings!$B$11+I463*Settings!$B$12+H463*Settings!$B$13</f>
        <v>0</v>
      </c>
      <c r="S463" s="25" t="n">
        <f aca="false">IFERROR(L463/Settings!$B$8,0)</f>
        <v>0</v>
      </c>
      <c r="T463" s="26" t="n">
        <f aca="false">IF(OR(B463="",P463="End of life"),0,W463*MIN(4,N463))</f>
        <v>0</v>
      </c>
      <c r="U463" s="27" t="n">
        <f aca="false">T463*Q463</f>
        <v>0</v>
      </c>
      <c r="V463" s="14" t="n">
        <f aca="false">IF(B463="",0,G463*N(IFERROR(INDEX(Options!$K$6:$K$85,MATCH($B463,Options!$A$6:$A$85,0)),"")))</f>
        <v>0</v>
      </c>
      <c r="W463" s="26" t="n">
        <f aca="false">IF(B463="",0,IF(N463&gt;=4,S463,(H463+I463+J463+K463)/(4-N463)))</f>
        <v>0</v>
      </c>
    </row>
    <row r="464" customFormat="false" ht="15" hidden="false" customHeight="false" outlineLevel="0" collapsed="false">
      <c r="A464" s="16"/>
      <c r="B464" s="16"/>
      <c r="C464" s="16"/>
      <c r="D464" s="16"/>
      <c r="E464" s="16"/>
      <c r="F464" s="16"/>
      <c r="G464" s="16"/>
      <c r="H464" s="16"/>
      <c r="I464" s="16"/>
      <c r="J464" s="16"/>
      <c r="K464" s="16"/>
      <c r="L464" s="16"/>
      <c r="M464" s="16"/>
      <c r="N464" s="16"/>
      <c r="O464" s="9" t="str">
        <f aca="false">IF(B464="","",IFERROR(INDEX(Options!$G$6:$G$85,MATCH($B464,Options!$A$6:$A$85,0)),""))</f>
        <v/>
      </c>
      <c r="P464" s="9" t="str">
        <f aca="false">IF(B464="","",IFERROR(INDEX(Options!$H$6:$H$85,MATCH($B464,Options!$A$6:$A$85,0)),""))</f>
        <v/>
      </c>
      <c r="Q464" s="24" t="n">
        <f aca="false">IF(B464="",0,N(IFERROR(INDEX(Options!$J$6:$J$85,MATCH($B464,Options!$A$6:$A$85,0)),"")))</f>
        <v>0</v>
      </c>
      <c r="R464" s="25" t="n">
        <f aca="false">K464*Settings!$B$10+J464*Settings!$B$11+I464*Settings!$B$12+H464*Settings!$B$13</f>
        <v>0</v>
      </c>
      <c r="S464" s="25" t="n">
        <f aca="false">IFERROR(L464/Settings!$B$8,0)</f>
        <v>0</v>
      </c>
      <c r="T464" s="26" t="n">
        <f aca="false">IF(OR(B464="",P464="End of life"),0,W464*MIN(4,N464))</f>
        <v>0</v>
      </c>
      <c r="U464" s="27" t="n">
        <f aca="false">T464*Q464</f>
        <v>0</v>
      </c>
      <c r="V464" s="14" t="n">
        <f aca="false">IF(B464="",0,G464*N(IFERROR(INDEX(Options!$K$6:$K$85,MATCH($B464,Options!$A$6:$A$85,0)),"")))</f>
        <v>0</v>
      </c>
      <c r="W464" s="26" t="n">
        <f aca="false">IF(B464="",0,IF(N464&gt;=4,S464,(H464+I464+J464+K464)/(4-N464)))</f>
        <v>0</v>
      </c>
    </row>
    <row r="465" customFormat="false" ht="15" hidden="false" customHeight="false" outlineLevel="0" collapsed="false">
      <c r="A465" s="16"/>
      <c r="B465" s="16"/>
      <c r="C465" s="16"/>
      <c r="D465" s="16"/>
      <c r="E465" s="16"/>
      <c r="F465" s="16"/>
      <c r="G465" s="16"/>
      <c r="H465" s="16"/>
      <c r="I465" s="16"/>
      <c r="J465" s="16"/>
      <c r="K465" s="16"/>
      <c r="L465" s="16"/>
      <c r="M465" s="16"/>
      <c r="N465" s="16"/>
      <c r="O465" s="9" t="str">
        <f aca="false">IF(B465="","",IFERROR(INDEX(Options!$G$6:$G$85,MATCH($B465,Options!$A$6:$A$85,0)),""))</f>
        <v/>
      </c>
      <c r="P465" s="9" t="str">
        <f aca="false">IF(B465="","",IFERROR(INDEX(Options!$H$6:$H$85,MATCH($B465,Options!$A$6:$A$85,0)),""))</f>
        <v/>
      </c>
      <c r="Q465" s="24" t="n">
        <f aca="false">IF(B465="",0,N(IFERROR(INDEX(Options!$J$6:$J$85,MATCH($B465,Options!$A$6:$A$85,0)),"")))</f>
        <v>0</v>
      </c>
      <c r="R465" s="25" t="n">
        <f aca="false">K465*Settings!$B$10+J465*Settings!$B$11+I465*Settings!$B$12+H465*Settings!$B$13</f>
        <v>0</v>
      </c>
      <c r="S465" s="25" t="n">
        <f aca="false">IFERROR(L465/Settings!$B$8,0)</f>
        <v>0</v>
      </c>
      <c r="T465" s="26" t="n">
        <f aca="false">IF(OR(B465="",P465="End of life"),0,W465*MIN(4,N465))</f>
        <v>0</v>
      </c>
      <c r="U465" s="27" t="n">
        <f aca="false">T465*Q465</f>
        <v>0</v>
      </c>
      <c r="V465" s="14" t="n">
        <f aca="false">IF(B465="",0,G465*N(IFERROR(INDEX(Options!$K$6:$K$85,MATCH($B465,Options!$A$6:$A$85,0)),"")))</f>
        <v>0</v>
      </c>
      <c r="W465" s="26" t="n">
        <f aca="false">IF(B465="",0,IF(N465&gt;=4,S465,(H465+I465+J465+K465)/(4-N465)))</f>
        <v>0</v>
      </c>
    </row>
    <row r="466" customFormat="false" ht="15" hidden="false" customHeight="false" outlineLevel="0" collapsed="false">
      <c r="A466" s="16"/>
      <c r="B466" s="16"/>
      <c r="C466" s="16"/>
      <c r="D466" s="16"/>
      <c r="E466" s="16"/>
      <c r="F466" s="16"/>
      <c r="G466" s="16"/>
      <c r="H466" s="16"/>
      <c r="I466" s="16"/>
      <c r="J466" s="16"/>
      <c r="K466" s="16"/>
      <c r="L466" s="16"/>
      <c r="M466" s="16"/>
      <c r="N466" s="16"/>
      <c r="O466" s="9" t="str">
        <f aca="false">IF(B466="","",IFERROR(INDEX(Options!$G$6:$G$85,MATCH($B466,Options!$A$6:$A$85,0)),""))</f>
        <v/>
      </c>
      <c r="P466" s="9" t="str">
        <f aca="false">IF(B466="","",IFERROR(INDEX(Options!$H$6:$H$85,MATCH($B466,Options!$A$6:$A$85,0)),""))</f>
        <v/>
      </c>
      <c r="Q466" s="24" t="n">
        <f aca="false">IF(B466="",0,N(IFERROR(INDEX(Options!$J$6:$J$85,MATCH($B466,Options!$A$6:$A$85,0)),"")))</f>
        <v>0</v>
      </c>
      <c r="R466" s="25" t="n">
        <f aca="false">K466*Settings!$B$10+J466*Settings!$B$11+I466*Settings!$B$12+H466*Settings!$B$13</f>
        <v>0</v>
      </c>
      <c r="S466" s="25" t="n">
        <f aca="false">IFERROR(L466/Settings!$B$8,0)</f>
        <v>0</v>
      </c>
      <c r="T466" s="26" t="n">
        <f aca="false">IF(OR(B466="",P466="End of life"),0,W466*MIN(4,N466))</f>
        <v>0</v>
      </c>
      <c r="U466" s="27" t="n">
        <f aca="false">T466*Q466</f>
        <v>0</v>
      </c>
      <c r="V466" s="14" t="n">
        <f aca="false">IF(B466="",0,G466*N(IFERROR(INDEX(Options!$K$6:$K$85,MATCH($B466,Options!$A$6:$A$85,0)),"")))</f>
        <v>0</v>
      </c>
      <c r="W466" s="26" t="n">
        <f aca="false">IF(B466="",0,IF(N466&gt;=4,S466,(H466+I466+J466+K466)/(4-N466)))</f>
        <v>0</v>
      </c>
    </row>
    <row r="467" customFormat="false" ht="15" hidden="false" customHeight="false" outlineLevel="0" collapsed="false">
      <c r="A467" s="16"/>
      <c r="B467" s="16"/>
      <c r="C467" s="16"/>
      <c r="D467" s="16"/>
      <c r="E467" s="16"/>
      <c r="F467" s="16"/>
      <c r="G467" s="16"/>
      <c r="H467" s="16"/>
      <c r="I467" s="16"/>
      <c r="J467" s="16"/>
      <c r="K467" s="16"/>
      <c r="L467" s="16"/>
      <c r="M467" s="16"/>
      <c r="N467" s="16"/>
      <c r="O467" s="9" t="str">
        <f aca="false">IF(B467="","",IFERROR(INDEX(Options!$G$6:$G$85,MATCH($B467,Options!$A$6:$A$85,0)),""))</f>
        <v/>
      </c>
      <c r="P467" s="9" t="str">
        <f aca="false">IF(B467="","",IFERROR(INDEX(Options!$H$6:$H$85,MATCH($B467,Options!$A$6:$A$85,0)),""))</f>
        <v/>
      </c>
      <c r="Q467" s="24" t="n">
        <f aca="false">IF(B467="",0,N(IFERROR(INDEX(Options!$J$6:$J$85,MATCH($B467,Options!$A$6:$A$85,0)),"")))</f>
        <v>0</v>
      </c>
      <c r="R467" s="25" t="n">
        <f aca="false">K467*Settings!$B$10+J467*Settings!$B$11+I467*Settings!$B$12+H467*Settings!$B$13</f>
        <v>0</v>
      </c>
      <c r="S467" s="25" t="n">
        <f aca="false">IFERROR(L467/Settings!$B$8,0)</f>
        <v>0</v>
      </c>
      <c r="T467" s="26" t="n">
        <f aca="false">IF(OR(B467="",P467="End of life"),0,W467*MIN(4,N467))</f>
        <v>0</v>
      </c>
      <c r="U467" s="27" t="n">
        <f aca="false">T467*Q467</f>
        <v>0</v>
      </c>
      <c r="V467" s="14" t="n">
        <f aca="false">IF(B467="",0,G467*N(IFERROR(INDEX(Options!$K$6:$K$85,MATCH($B467,Options!$A$6:$A$85,0)),"")))</f>
        <v>0</v>
      </c>
      <c r="W467" s="26" t="n">
        <f aca="false">IF(B467="",0,IF(N467&gt;=4,S467,(H467+I467+J467+K467)/(4-N467)))</f>
        <v>0</v>
      </c>
    </row>
    <row r="468" customFormat="false" ht="15" hidden="false" customHeight="false" outlineLevel="0" collapsed="false">
      <c r="A468" s="16"/>
      <c r="B468" s="16"/>
      <c r="C468" s="16"/>
      <c r="D468" s="16"/>
      <c r="E468" s="16"/>
      <c r="F468" s="16"/>
      <c r="G468" s="16"/>
      <c r="H468" s="16"/>
      <c r="I468" s="16"/>
      <c r="J468" s="16"/>
      <c r="K468" s="16"/>
      <c r="L468" s="16"/>
      <c r="M468" s="16"/>
      <c r="N468" s="16"/>
      <c r="O468" s="9" t="str">
        <f aca="false">IF(B468="","",IFERROR(INDEX(Options!$G$6:$G$85,MATCH($B468,Options!$A$6:$A$85,0)),""))</f>
        <v/>
      </c>
      <c r="P468" s="9" t="str">
        <f aca="false">IF(B468="","",IFERROR(INDEX(Options!$H$6:$H$85,MATCH($B468,Options!$A$6:$A$85,0)),""))</f>
        <v/>
      </c>
      <c r="Q468" s="24" t="n">
        <f aca="false">IF(B468="",0,N(IFERROR(INDEX(Options!$J$6:$J$85,MATCH($B468,Options!$A$6:$A$85,0)),"")))</f>
        <v>0</v>
      </c>
      <c r="R468" s="25" t="n">
        <f aca="false">K468*Settings!$B$10+J468*Settings!$B$11+I468*Settings!$B$12+H468*Settings!$B$13</f>
        <v>0</v>
      </c>
      <c r="S468" s="25" t="n">
        <f aca="false">IFERROR(L468/Settings!$B$8,0)</f>
        <v>0</v>
      </c>
      <c r="T468" s="26" t="n">
        <f aca="false">IF(OR(B468="",P468="End of life"),0,W468*MIN(4,N468))</f>
        <v>0</v>
      </c>
      <c r="U468" s="27" t="n">
        <f aca="false">T468*Q468</f>
        <v>0</v>
      </c>
      <c r="V468" s="14" t="n">
        <f aca="false">IF(B468="",0,G468*N(IFERROR(INDEX(Options!$K$6:$K$85,MATCH($B468,Options!$A$6:$A$85,0)),"")))</f>
        <v>0</v>
      </c>
      <c r="W468" s="26" t="n">
        <f aca="false">IF(B468="",0,IF(N468&gt;=4,S468,(H468+I468+J468+K468)/(4-N468)))</f>
        <v>0</v>
      </c>
    </row>
    <row r="469" customFormat="false" ht="15" hidden="false" customHeight="false" outlineLevel="0" collapsed="false">
      <c r="A469" s="16"/>
      <c r="B469" s="16"/>
      <c r="C469" s="16"/>
      <c r="D469" s="16"/>
      <c r="E469" s="16"/>
      <c r="F469" s="16"/>
      <c r="G469" s="16"/>
      <c r="H469" s="16"/>
      <c r="I469" s="16"/>
      <c r="J469" s="16"/>
      <c r="K469" s="16"/>
      <c r="L469" s="16"/>
      <c r="M469" s="16"/>
      <c r="N469" s="16"/>
      <c r="O469" s="9" t="str">
        <f aca="false">IF(B469="","",IFERROR(INDEX(Options!$G$6:$G$85,MATCH($B469,Options!$A$6:$A$85,0)),""))</f>
        <v/>
      </c>
      <c r="P469" s="9" t="str">
        <f aca="false">IF(B469="","",IFERROR(INDEX(Options!$H$6:$H$85,MATCH($B469,Options!$A$6:$A$85,0)),""))</f>
        <v/>
      </c>
      <c r="Q469" s="24" t="n">
        <f aca="false">IF(B469="",0,N(IFERROR(INDEX(Options!$J$6:$J$85,MATCH($B469,Options!$A$6:$A$85,0)),"")))</f>
        <v>0</v>
      </c>
      <c r="R469" s="25" t="n">
        <f aca="false">K469*Settings!$B$10+J469*Settings!$B$11+I469*Settings!$B$12+H469*Settings!$B$13</f>
        <v>0</v>
      </c>
      <c r="S469" s="25" t="n">
        <f aca="false">IFERROR(L469/Settings!$B$8,0)</f>
        <v>0</v>
      </c>
      <c r="T469" s="26" t="n">
        <f aca="false">IF(OR(B469="",P469="End of life"),0,W469*MIN(4,N469))</f>
        <v>0</v>
      </c>
      <c r="U469" s="27" t="n">
        <f aca="false">T469*Q469</f>
        <v>0</v>
      </c>
      <c r="V469" s="14" t="n">
        <f aca="false">IF(B469="",0,G469*N(IFERROR(INDEX(Options!$K$6:$K$85,MATCH($B469,Options!$A$6:$A$85,0)),"")))</f>
        <v>0</v>
      </c>
      <c r="W469" s="26" t="n">
        <f aca="false">IF(B469="",0,IF(N469&gt;=4,S469,(H469+I469+J469+K469)/(4-N469)))</f>
        <v>0</v>
      </c>
    </row>
    <row r="470" customFormat="false" ht="15" hidden="false" customHeight="false" outlineLevel="0" collapsed="false">
      <c r="A470" s="16"/>
      <c r="B470" s="16"/>
      <c r="C470" s="16"/>
      <c r="D470" s="16"/>
      <c r="E470" s="16"/>
      <c r="F470" s="16"/>
      <c r="G470" s="16"/>
      <c r="H470" s="16"/>
      <c r="I470" s="16"/>
      <c r="J470" s="16"/>
      <c r="K470" s="16"/>
      <c r="L470" s="16"/>
      <c r="M470" s="16"/>
      <c r="N470" s="16"/>
      <c r="O470" s="9" t="str">
        <f aca="false">IF(B470="","",IFERROR(INDEX(Options!$G$6:$G$85,MATCH($B470,Options!$A$6:$A$85,0)),""))</f>
        <v/>
      </c>
      <c r="P470" s="9" t="str">
        <f aca="false">IF(B470="","",IFERROR(INDEX(Options!$H$6:$H$85,MATCH($B470,Options!$A$6:$A$85,0)),""))</f>
        <v/>
      </c>
      <c r="Q470" s="24" t="n">
        <f aca="false">IF(B470="",0,N(IFERROR(INDEX(Options!$J$6:$J$85,MATCH($B470,Options!$A$6:$A$85,0)),"")))</f>
        <v>0</v>
      </c>
      <c r="R470" s="25" t="n">
        <f aca="false">K470*Settings!$B$10+J470*Settings!$B$11+I470*Settings!$B$12+H470*Settings!$B$13</f>
        <v>0</v>
      </c>
      <c r="S470" s="25" t="n">
        <f aca="false">IFERROR(L470/Settings!$B$8,0)</f>
        <v>0</v>
      </c>
      <c r="T470" s="26" t="n">
        <f aca="false">IF(OR(B470="",P470="End of life"),0,W470*MIN(4,N470))</f>
        <v>0</v>
      </c>
      <c r="U470" s="27" t="n">
        <f aca="false">T470*Q470</f>
        <v>0</v>
      </c>
      <c r="V470" s="14" t="n">
        <f aca="false">IF(B470="",0,G470*N(IFERROR(INDEX(Options!$K$6:$K$85,MATCH($B470,Options!$A$6:$A$85,0)),"")))</f>
        <v>0</v>
      </c>
      <c r="W470" s="26" t="n">
        <f aca="false">IF(B470="",0,IF(N470&gt;=4,S470,(H470+I470+J470+K470)/(4-N470)))</f>
        <v>0</v>
      </c>
    </row>
    <row r="471" customFormat="false" ht="15" hidden="false" customHeight="false" outlineLevel="0" collapsed="false">
      <c r="A471" s="16"/>
      <c r="B471" s="16"/>
      <c r="C471" s="16"/>
      <c r="D471" s="16"/>
      <c r="E471" s="16"/>
      <c r="F471" s="16"/>
      <c r="G471" s="16"/>
      <c r="H471" s="16"/>
      <c r="I471" s="16"/>
      <c r="J471" s="16"/>
      <c r="K471" s="16"/>
      <c r="L471" s="16"/>
      <c r="M471" s="16"/>
      <c r="N471" s="16"/>
      <c r="O471" s="9" t="str">
        <f aca="false">IF(B471="","",IFERROR(INDEX(Options!$G$6:$G$85,MATCH($B471,Options!$A$6:$A$85,0)),""))</f>
        <v/>
      </c>
      <c r="P471" s="9" t="str">
        <f aca="false">IF(B471="","",IFERROR(INDEX(Options!$H$6:$H$85,MATCH($B471,Options!$A$6:$A$85,0)),""))</f>
        <v/>
      </c>
      <c r="Q471" s="24" t="n">
        <f aca="false">IF(B471="",0,N(IFERROR(INDEX(Options!$J$6:$J$85,MATCH($B471,Options!$A$6:$A$85,0)),"")))</f>
        <v>0</v>
      </c>
      <c r="R471" s="25" t="n">
        <f aca="false">K471*Settings!$B$10+J471*Settings!$B$11+I471*Settings!$B$12+H471*Settings!$B$13</f>
        <v>0</v>
      </c>
      <c r="S471" s="25" t="n">
        <f aca="false">IFERROR(L471/Settings!$B$8,0)</f>
        <v>0</v>
      </c>
      <c r="T471" s="26" t="n">
        <f aca="false">IF(OR(B471="",P471="End of life"),0,W471*MIN(4,N471))</f>
        <v>0</v>
      </c>
      <c r="U471" s="27" t="n">
        <f aca="false">T471*Q471</f>
        <v>0</v>
      </c>
      <c r="V471" s="14" t="n">
        <f aca="false">IF(B471="",0,G471*N(IFERROR(INDEX(Options!$K$6:$K$85,MATCH($B471,Options!$A$6:$A$85,0)),"")))</f>
        <v>0</v>
      </c>
      <c r="W471" s="26" t="n">
        <f aca="false">IF(B471="",0,IF(N471&gt;=4,S471,(H471+I471+J471+K471)/(4-N471)))</f>
        <v>0</v>
      </c>
    </row>
    <row r="472" customFormat="false" ht="15" hidden="false" customHeight="false" outlineLevel="0" collapsed="false">
      <c r="A472" s="16"/>
      <c r="B472" s="16"/>
      <c r="C472" s="16"/>
      <c r="D472" s="16"/>
      <c r="E472" s="16"/>
      <c r="F472" s="16"/>
      <c r="G472" s="16"/>
      <c r="H472" s="16"/>
      <c r="I472" s="16"/>
      <c r="J472" s="16"/>
      <c r="K472" s="16"/>
      <c r="L472" s="16"/>
      <c r="M472" s="16"/>
      <c r="N472" s="16"/>
      <c r="O472" s="9" t="str">
        <f aca="false">IF(B472="","",IFERROR(INDEX(Options!$G$6:$G$85,MATCH($B472,Options!$A$6:$A$85,0)),""))</f>
        <v/>
      </c>
      <c r="P472" s="9" t="str">
        <f aca="false">IF(B472="","",IFERROR(INDEX(Options!$H$6:$H$85,MATCH($B472,Options!$A$6:$A$85,0)),""))</f>
        <v/>
      </c>
      <c r="Q472" s="24" t="n">
        <f aca="false">IF(B472="",0,N(IFERROR(INDEX(Options!$J$6:$J$85,MATCH($B472,Options!$A$6:$A$85,0)),"")))</f>
        <v>0</v>
      </c>
      <c r="R472" s="25" t="n">
        <f aca="false">K472*Settings!$B$10+J472*Settings!$B$11+I472*Settings!$B$12+H472*Settings!$B$13</f>
        <v>0</v>
      </c>
      <c r="S472" s="25" t="n">
        <f aca="false">IFERROR(L472/Settings!$B$8,0)</f>
        <v>0</v>
      </c>
      <c r="T472" s="26" t="n">
        <f aca="false">IF(OR(B472="",P472="End of life"),0,W472*MIN(4,N472))</f>
        <v>0</v>
      </c>
      <c r="U472" s="27" t="n">
        <f aca="false">T472*Q472</f>
        <v>0</v>
      </c>
      <c r="V472" s="14" t="n">
        <f aca="false">IF(B472="",0,G472*N(IFERROR(INDEX(Options!$K$6:$K$85,MATCH($B472,Options!$A$6:$A$85,0)),"")))</f>
        <v>0</v>
      </c>
      <c r="W472" s="26" t="n">
        <f aca="false">IF(B472="",0,IF(N472&gt;=4,S472,(H472+I472+J472+K472)/(4-N472)))</f>
        <v>0</v>
      </c>
    </row>
    <row r="473" customFormat="false" ht="15" hidden="false" customHeight="false" outlineLevel="0" collapsed="false">
      <c r="A473" s="16"/>
      <c r="B473" s="16"/>
      <c r="C473" s="16"/>
      <c r="D473" s="16"/>
      <c r="E473" s="16"/>
      <c r="F473" s="16"/>
      <c r="G473" s="16"/>
      <c r="H473" s="16"/>
      <c r="I473" s="16"/>
      <c r="J473" s="16"/>
      <c r="K473" s="16"/>
      <c r="L473" s="16"/>
      <c r="M473" s="16"/>
      <c r="N473" s="16"/>
      <c r="O473" s="9" t="str">
        <f aca="false">IF(B473="","",IFERROR(INDEX(Options!$G$6:$G$85,MATCH($B473,Options!$A$6:$A$85,0)),""))</f>
        <v/>
      </c>
      <c r="P473" s="9" t="str">
        <f aca="false">IF(B473="","",IFERROR(INDEX(Options!$H$6:$H$85,MATCH($B473,Options!$A$6:$A$85,0)),""))</f>
        <v/>
      </c>
      <c r="Q473" s="24" t="n">
        <f aca="false">IF(B473="",0,N(IFERROR(INDEX(Options!$J$6:$J$85,MATCH($B473,Options!$A$6:$A$85,0)),"")))</f>
        <v>0</v>
      </c>
      <c r="R473" s="25" t="n">
        <f aca="false">K473*Settings!$B$10+J473*Settings!$B$11+I473*Settings!$B$12+H473*Settings!$B$13</f>
        <v>0</v>
      </c>
      <c r="S473" s="25" t="n">
        <f aca="false">IFERROR(L473/Settings!$B$8,0)</f>
        <v>0</v>
      </c>
      <c r="T473" s="26" t="n">
        <f aca="false">IF(OR(B473="",P473="End of life"),0,W473*MIN(4,N473))</f>
        <v>0</v>
      </c>
      <c r="U473" s="27" t="n">
        <f aca="false">T473*Q473</f>
        <v>0</v>
      </c>
      <c r="V473" s="14" t="n">
        <f aca="false">IF(B473="",0,G473*N(IFERROR(INDEX(Options!$K$6:$K$85,MATCH($B473,Options!$A$6:$A$85,0)),"")))</f>
        <v>0</v>
      </c>
      <c r="W473" s="26" t="n">
        <f aca="false">IF(B473="",0,IF(N473&gt;=4,S473,(H473+I473+J473+K473)/(4-N473)))</f>
        <v>0</v>
      </c>
    </row>
    <row r="474" customFormat="false" ht="15" hidden="false" customHeight="false" outlineLevel="0" collapsed="false">
      <c r="A474" s="16"/>
      <c r="B474" s="16"/>
      <c r="C474" s="16"/>
      <c r="D474" s="16"/>
      <c r="E474" s="16"/>
      <c r="F474" s="16"/>
      <c r="G474" s="16"/>
      <c r="H474" s="16"/>
      <c r="I474" s="16"/>
      <c r="J474" s="16"/>
      <c r="K474" s="16"/>
      <c r="L474" s="16"/>
      <c r="M474" s="16"/>
      <c r="N474" s="16"/>
      <c r="O474" s="9" t="str">
        <f aca="false">IF(B474="","",IFERROR(INDEX(Options!$G$6:$G$85,MATCH($B474,Options!$A$6:$A$85,0)),""))</f>
        <v/>
      </c>
      <c r="P474" s="9" t="str">
        <f aca="false">IF(B474="","",IFERROR(INDEX(Options!$H$6:$H$85,MATCH($B474,Options!$A$6:$A$85,0)),""))</f>
        <v/>
      </c>
      <c r="Q474" s="24" t="n">
        <f aca="false">IF(B474="",0,N(IFERROR(INDEX(Options!$J$6:$J$85,MATCH($B474,Options!$A$6:$A$85,0)),"")))</f>
        <v>0</v>
      </c>
      <c r="R474" s="25" t="n">
        <f aca="false">K474*Settings!$B$10+J474*Settings!$B$11+I474*Settings!$B$12+H474*Settings!$B$13</f>
        <v>0</v>
      </c>
      <c r="S474" s="25" t="n">
        <f aca="false">IFERROR(L474/Settings!$B$8,0)</f>
        <v>0</v>
      </c>
      <c r="T474" s="26" t="n">
        <f aca="false">IF(OR(B474="",P474="End of life"),0,W474*MIN(4,N474))</f>
        <v>0</v>
      </c>
      <c r="U474" s="27" t="n">
        <f aca="false">T474*Q474</f>
        <v>0</v>
      </c>
      <c r="V474" s="14" t="n">
        <f aca="false">IF(B474="",0,G474*N(IFERROR(INDEX(Options!$K$6:$K$85,MATCH($B474,Options!$A$6:$A$85,0)),"")))</f>
        <v>0</v>
      </c>
      <c r="W474" s="26" t="n">
        <f aca="false">IF(B474="",0,IF(N474&gt;=4,S474,(H474+I474+J474+K474)/(4-N474)))</f>
        <v>0</v>
      </c>
    </row>
    <row r="475" customFormat="false" ht="15" hidden="false" customHeight="false" outlineLevel="0" collapsed="false">
      <c r="A475" s="16"/>
      <c r="B475" s="16"/>
      <c r="C475" s="16"/>
      <c r="D475" s="16"/>
      <c r="E475" s="16"/>
      <c r="F475" s="16"/>
      <c r="G475" s="16"/>
      <c r="H475" s="16"/>
      <c r="I475" s="16"/>
      <c r="J475" s="16"/>
      <c r="K475" s="16"/>
      <c r="L475" s="16"/>
      <c r="M475" s="16"/>
      <c r="N475" s="16"/>
      <c r="O475" s="9" t="str">
        <f aca="false">IF(B475="","",IFERROR(INDEX(Options!$G$6:$G$85,MATCH($B475,Options!$A$6:$A$85,0)),""))</f>
        <v/>
      </c>
      <c r="P475" s="9" t="str">
        <f aca="false">IF(B475="","",IFERROR(INDEX(Options!$H$6:$H$85,MATCH($B475,Options!$A$6:$A$85,0)),""))</f>
        <v/>
      </c>
      <c r="Q475" s="24" t="n">
        <f aca="false">IF(B475="",0,N(IFERROR(INDEX(Options!$J$6:$J$85,MATCH($B475,Options!$A$6:$A$85,0)),"")))</f>
        <v>0</v>
      </c>
      <c r="R475" s="25" t="n">
        <f aca="false">K475*Settings!$B$10+J475*Settings!$B$11+I475*Settings!$B$12+H475*Settings!$B$13</f>
        <v>0</v>
      </c>
      <c r="S475" s="25" t="n">
        <f aca="false">IFERROR(L475/Settings!$B$8,0)</f>
        <v>0</v>
      </c>
      <c r="T475" s="26" t="n">
        <f aca="false">IF(OR(B475="",P475="End of life"),0,W475*MIN(4,N475))</f>
        <v>0</v>
      </c>
      <c r="U475" s="27" t="n">
        <f aca="false">T475*Q475</f>
        <v>0</v>
      </c>
      <c r="V475" s="14" t="n">
        <f aca="false">IF(B475="",0,G475*N(IFERROR(INDEX(Options!$K$6:$K$85,MATCH($B475,Options!$A$6:$A$85,0)),"")))</f>
        <v>0</v>
      </c>
      <c r="W475" s="26" t="n">
        <f aca="false">IF(B475="",0,IF(N475&gt;=4,S475,(H475+I475+J475+K475)/(4-N475)))</f>
        <v>0</v>
      </c>
    </row>
    <row r="476" customFormat="false" ht="15" hidden="false" customHeight="false" outlineLevel="0" collapsed="false">
      <c r="A476" s="16"/>
      <c r="B476" s="16"/>
      <c r="C476" s="16"/>
      <c r="D476" s="16"/>
      <c r="E476" s="16"/>
      <c r="F476" s="16"/>
      <c r="G476" s="16"/>
      <c r="H476" s="16"/>
      <c r="I476" s="16"/>
      <c r="J476" s="16"/>
      <c r="K476" s="16"/>
      <c r="L476" s="16"/>
      <c r="M476" s="16"/>
      <c r="N476" s="16"/>
      <c r="O476" s="9" t="str">
        <f aca="false">IF(B476="","",IFERROR(INDEX(Options!$G$6:$G$85,MATCH($B476,Options!$A$6:$A$85,0)),""))</f>
        <v/>
      </c>
      <c r="P476" s="9" t="str">
        <f aca="false">IF(B476="","",IFERROR(INDEX(Options!$H$6:$H$85,MATCH($B476,Options!$A$6:$A$85,0)),""))</f>
        <v/>
      </c>
      <c r="Q476" s="24" t="n">
        <f aca="false">IF(B476="",0,N(IFERROR(INDEX(Options!$J$6:$J$85,MATCH($B476,Options!$A$6:$A$85,0)),"")))</f>
        <v>0</v>
      </c>
      <c r="R476" s="25" t="n">
        <f aca="false">K476*Settings!$B$10+J476*Settings!$B$11+I476*Settings!$B$12+H476*Settings!$B$13</f>
        <v>0</v>
      </c>
      <c r="S476" s="25" t="n">
        <f aca="false">IFERROR(L476/Settings!$B$8,0)</f>
        <v>0</v>
      </c>
      <c r="T476" s="26" t="n">
        <f aca="false">IF(OR(B476="",P476="End of life"),0,W476*MIN(4,N476))</f>
        <v>0</v>
      </c>
      <c r="U476" s="27" t="n">
        <f aca="false">T476*Q476</f>
        <v>0</v>
      </c>
      <c r="V476" s="14" t="n">
        <f aca="false">IF(B476="",0,G476*N(IFERROR(INDEX(Options!$K$6:$K$85,MATCH($B476,Options!$A$6:$A$85,0)),"")))</f>
        <v>0</v>
      </c>
      <c r="W476" s="26" t="n">
        <f aca="false">IF(B476="",0,IF(N476&gt;=4,S476,(H476+I476+J476+K476)/(4-N476)))</f>
        <v>0</v>
      </c>
    </row>
    <row r="477" customFormat="false" ht="15" hidden="false" customHeight="false" outlineLevel="0" collapsed="false">
      <c r="A477" s="16"/>
      <c r="B477" s="16"/>
      <c r="C477" s="16"/>
      <c r="D477" s="16"/>
      <c r="E477" s="16"/>
      <c r="F477" s="16"/>
      <c r="G477" s="16"/>
      <c r="H477" s="16"/>
      <c r="I477" s="16"/>
      <c r="J477" s="16"/>
      <c r="K477" s="16"/>
      <c r="L477" s="16"/>
      <c r="M477" s="16"/>
      <c r="N477" s="16"/>
      <c r="O477" s="9" t="str">
        <f aca="false">IF(B477="","",IFERROR(INDEX(Options!$G$6:$G$85,MATCH($B477,Options!$A$6:$A$85,0)),""))</f>
        <v/>
      </c>
      <c r="P477" s="9" t="str">
        <f aca="false">IF(B477="","",IFERROR(INDEX(Options!$H$6:$H$85,MATCH($B477,Options!$A$6:$A$85,0)),""))</f>
        <v/>
      </c>
      <c r="Q477" s="24" t="n">
        <f aca="false">IF(B477="",0,N(IFERROR(INDEX(Options!$J$6:$J$85,MATCH($B477,Options!$A$6:$A$85,0)),"")))</f>
        <v>0</v>
      </c>
      <c r="R477" s="25" t="n">
        <f aca="false">K477*Settings!$B$10+J477*Settings!$B$11+I477*Settings!$B$12+H477*Settings!$B$13</f>
        <v>0</v>
      </c>
      <c r="S477" s="25" t="n">
        <f aca="false">IFERROR(L477/Settings!$B$8,0)</f>
        <v>0</v>
      </c>
      <c r="T477" s="26" t="n">
        <f aca="false">IF(OR(B477="",P477="End of life"),0,W477*MIN(4,N477))</f>
        <v>0</v>
      </c>
      <c r="U477" s="27" t="n">
        <f aca="false">T477*Q477</f>
        <v>0</v>
      </c>
      <c r="V477" s="14" t="n">
        <f aca="false">IF(B477="",0,G477*N(IFERROR(INDEX(Options!$K$6:$K$85,MATCH($B477,Options!$A$6:$A$85,0)),"")))</f>
        <v>0</v>
      </c>
      <c r="W477" s="26" t="n">
        <f aca="false">IF(B477="",0,IF(N477&gt;=4,S477,(H477+I477+J477+K477)/(4-N477)))</f>
        <v>0</v>
      </c>
    </row>
    <row r="478" customFormat="false" ht="15" hidden="false" customHeight="false" outlineLevel="0" collapsed="false">
      <c r="A478" s="16"/>
      <c r="B478" s="16"/>
      <c r="C478" s="16"/>
      <c r="D478" s="16"/>
      <c r="E478" s="16"/>
      <c r="F478" s="16"/>
      <c r="G478" s="16"/>
      <c r="H478" s="16"/>
      <c r="I478" s="16"/>
      <c r="J478" s="16"/>
      <c r="K478" s="16"/>
      <c r="L478" s="16"/>
      <c r="M478" s="16"/>
      <c r="N478" s="16"/>
      <c r="O478" s="9" t="str">
        <f aca="false">IF(B478="","",IFERROR(INDEX(Options!$G$6:$G$85,MATCH($B478,Options!$A$6:$A$85,0)),""))</f>
        <v/>
      </c>
      <c r="P478" s="9" t="str">
        <f aca="false">IF(B478="","",IFERROR(INDEX(Options!$H$6:$H$85,MATCH($B478,Options!$A$6:$A$85,0)),""))</f>
        <v/>
      </c>
      <c r="Q478" s="24" t="n">
        <f aca="false">IF(B478="",0,N(IFERROR(INDEX(Options!$J$6:$J$85,MATCH($B478,Options!$A$6:$A$85,0)),"")))</f>
        <v>0</v>
      </c>
      <c r="R478" s="25" t="n">
        <f aca="false">K478*Settings!$B$10+J478*Settings!$B$11+I478*Settings!$B$12+H478*Settings!$B$13</f>
        <v>0</v>
      </c>
      <c r="S478" s="25" t="n">
        <f aca="false">IFERROR(L478/Settings!$B$8,0)</f>
        <v>0</v>
      </c>
      <c r="T478" s="26" t="n">
        <f aca="false">IF(OR(B478="",P478="End of life"),0,W478*MIN(4,N478))</f>
        <v>0</v>
      </c>
      <c r="U478" s="27" t="n">
        <f aca="false">T478*Q478</f>
        <v>0</v>
      </c>
      <c r="V478" s="14" t="n">
        <f aca="false">IF(B478="",0,G478*N(IFERROR(INDEX(Options!$K$6:$K$85,MATCH($B478,Options!$A$6:$A$85,0)),"")))</f>
        <v>0</v>
      </c>
      <c r="W478" s="26" t="n">
        <f aca="false">IF(B478="",0,IF(N478&gt;=4,S478,(H478+I478+J478+K478)/(4-N478)))</f>
        <v>0</v>
      </c>
    </row>
    <row r="479" customFormat="false" ht="15" hidden="false" customHeight="false" outlineLevel="0" collapsed="false">
      <c r="A479" s="16"/>
      <c r="B479" s="16"/>
      <c r="C479" s="16"/>
      <c r="D479" s="16"/>
      <c r="E479" s="16"/>
      <c r="F479" s="16"/>
      <c r="G479" s="16"/>
      <c r="H479" s="16"/>
      <c r="I479" s="16"/>
      <c r="J479" s="16"/>
      <c r="K479" s="16"/>
      <c r="L479" s="16"/>
      <c r="M479" s="16"/>
      <c r="N479" s="16"/>
      <c r="O479" s="9" t="str">
        <f aca="false">IF(B479="","",IFERROR(INDEX(Options!$G$6:$G$85,MATCH($B479,Options!$A$6:$A$85,0)),""))</f>
        <v/>
      </c>
      <c r="P479" s="9" t="str">
        <f aca="false">IF(B479="","",IFERROR(INDEX(Options!$H$6:$H$85,MATCH($B479,Options!$A$6:$A$85,0)),""))</f>
        <v/>
      </c>
      <c r="Q479" s="24" t="n">
        <f aca="false">IF(B479="",0,N(IFERROR(INDEX(Options!$J$6:$J$85,MATCH($B479,Options!$A$6:$A$85,0)),"")))</f>
        <v>0</v>
      </c>
      <c r="R479" s="25" t="n">
        <f aca="false">K479*Settings!$B$10+J479*Settings!$B$11+I479*Settings!$B$12+H479*Settings!$B$13</f>
        <v>0</v>
      </c>
      <c r="S479" s="25" t="n">
        <f aca="false">IFERROR(L479/Settings!$B$8,0)</f>
        <v>0</v>
      </c>
      <c r="T479" s="26" t="n">
        <f aca="false">IF(OR(B479="",P479="End of life"),0,W479*MIN(4,N479))</f>
        <v>0</v>
      </c>
      <c r="U479" s="27" t="n">
        <f aca="false">T479*Q479</f>
        <v>0</v>
      </c>
      <c r="V479" s="14" t="n">
        <f aca="false">IF(B479="",0,G479*N(IFERROR(INDEX(Options!$K$6:$K$85,MATCH($B479,Options!$A$6:$A$85,0)),"")))</f>
        <v>0</v>
      </c>
      <c r="W479" s="26" t="n">
        <f aca="false">IF(B479="",0,IF(N479&gt;=4,S479,(H479+I479+J479+K479)/(4-N479)))</f>
        <v>0</v>
      </c>
    </row>
    <row r="480" customFormat="false" ht="15" hidden="false" customHeight="false" outlineLevel="0" collapsed="false">
      <c r="A480" s="16"/>
      <c r="B480" s="16"/>
      <c r="C480" s="16"/>
      <c r="D480" s="16"/>
      <c r="E480" s="16"/>
      <c r="F480" s="16"/>
      <c r="G480" s="16"/>
      <c r="H480" s="16"/>
      <c r="I480" s="16"/>
      <c r="J480" s="16"/>
      <c r="K480" s="16"/>
      <c r="L480" s="16"/>
      <c r="M480" s="16"/>
      <c r="N480" s="16"/>
      <c r="O480" s="9" t="str">
        <f aca="false">IF(B480="","",IFERROR(INDEX(Options!$G$6:$G$85,MATCH($B480,Options!$A$6:$A$85,0)),""))</f>
        <v/>
      </c>
      <c r="P480" s="9" t="str">
        <f aca="false">IF(B480="","",IFERROR(INDEX(Options!$H$6:$H$85,MATCH($B480,Options!$A$6:$A$85,0)),""))</f>
        <v/>
      </c>
      <c r="Q480" s="24" t="n">
        <f aca="false">IF(B480="",0,N(IFERROR(INDEX(Options!$J$6:$J$85,MATCH($B480,Options!$A$6:$A$85,0)),"")))</f>
        <v>0</v>
      </c>
      <c r="R480" s="25" t="n">
        <f aca="false">K480*Settings!$B$10+J480*Settings!$B$11+I480*Settings!$B$12+H480*Settings!$B$13</f>
        <v>0</v>
      </c>
      <c r="S480" s="25" t="n">
        <f aca="false">IFERROR(L480/Settings!$B$8,0)</f>
        <v>0</v>
      </c>
      <c r="T480" s="26" t="n">
        <f aca="false">IF(OR(B480="",P480="End of life"),0,W480*MIN(4,N480))</f>
        <v>0</v>
      </c>
      <c r="U480" s="27" t="n">
        <f aca="false">T480*Q480</f>
        <v>0</v>
      </c>
      <c r="V480" s="14" t="n">
        <f aca="false">IF(B480="",0,G480*N(IFERROR(INDEX(Options!$K$6:$K$85,MATCH($B480,Options!$A$6:$A$85,0)),"")))</f>
        <v>0</v>
      </c>
      <c r="W480" s="26" t="n">
        <f aca="false">IF(B480="",0,IF(N480&gt;=4,S480,(H480+I480+J480+K480)/(4-N480)))</f>
        <v>0</v>
      </c>
    </row>
    <row r="481" customFormat="false" ht="15" hidden="false" customHeight="false" outlineLevel="0" collapsed="false">
      <c r="A481" s="16"/>
      <c r="B481" s="16"/>
      <c r="C481" s="16"/>
      <c r="D481" s="16"/>
      <c r="E481" s="16"/>
      <c r="F481" s="16"/>
      <c r="G481" s="16"/>
      <c r="H481" s="16"/>
      <c r="I481" s="16"/>
      <c r="J481" s="16"/>
      <c r="K481" s="16"/>
      <c r="L481" s="16"/>
      <c r="M481" s="16"/>
      <c r="N481" s="16"/>
      <c r="O481" s="9" t="str">
        <f aca="false">IF(B481="","",IFERROR(INDEX(Options!$G$6:$G$85,MATCH($B481,Options!$A$6:$A$85,0)),""))</f>
        <v/>
      </c>
      <c r="P481" s="9" t="str">
        <f aca="false">IF(B481="","",IFERROR(INDEX(Options!$H$6:$H$85,MATCH($B481,Options!$A$6:$A$85,0)),""))</f>
        <v/>
      </c>
      <c r="Q481" s="24" t="n">
        <f aca="false">IF(B481="",0,N(IFERROR(INDEX(Options!$J$6:$J$85,MATCH($B481,Options!$A$6:$A$85,0)),"")))</f>
        <v>0</v>
      </c>
      <c r="R481" s="25" t="n">
        <f aca="false">K481*Settings!$B$10+J481*Settings!$B$11+I481*Settings!$B$12+H481*Settings!$B$13</f>
        <v>0</v>
      </c>
      <c r="S481" s="25" t="n">
        <f aca="false">IFERROR(L481/Settings!$B$8,0)</f>
        <v>0</v>
      </c>
      <c r="T481" s="26" t="n">
        <f aca="false">IF(OR(B481="",P481="End of life"),0,W481*MIN(4,N481))</f>
        <v>0</v>
      </c>
      <c r="U481" s="27" t="n">
        <f aca="false">T481*Q481</f>
        <v>0</v>
      </c>
      <c r="V481" s="14" t="n">
        <f aca="false">IF(B481="",0,G481*N(IFERROR(INDEX(Options!$K$6:$K$85,MATCH($B481,Options!$A$6:$A$85,0)),"")))</f>
        <v>0</v>
      </c>
      <c r="W481" s="26" t="n">
        <f aca="false">IF(B481="",0,IF(N481&gt;=4,S481,(H481+I481+J481+K481)/(4-N481)))</f>
        <v>0</v>
      </c>
    </row>
    <row r="482" customFormat="false" ht="15" hidden="false" customHeight="false" outlineLevel="0" collapsed="false">
      <c r="A482" s="16"/>
      <c r="B482" s="16"/>
      <c r="C482" s="16"/>
      <c r="D482" s="16"/>
      <c r="E482" s="16"/>
      <c r="F482" s="16"/>
      <c r="G482" s="16"/>
      <c r="H482" s="16"/>
      <c r="I482" s="16"/>
      <c r="J482" s="16"/>
      <c r="K482" s="16"/>
      <c r="L482" s="16"/>
      <c r="M482" s="16"/>
      <c r="N482" s="16"/>
      <c r="O482" s="9" t="str">
        <f aca="false">IF(B482="","",IFERROR(INDEX(Options!$G$6:$G$85,MATCH($B482,Options!$A$6:$A$85,0)),""))</f>
        <v/>
      </c>
      <c r="P482" s="9" t="str">
        <f aca="false">IF(B482="","",IFERROR(INDEX(Options!$H$6:$H$85,MATCH($B482,Options!$A$6:$A$85,0)),""))</f>
        <v/>
      </c>
      <c r="Q482" s="24" t="n">
        <f aca="false">IF(B482="",0,N(IFERROR(INDEX(Options!$J$6:$J$85,MATCH($B482,Options!$A$6:$A$85,0)),"")))</f>
        <v>0</v>
      </c>
      <c r="R482" s="25" t="n">
        <f aca="false">K482*Settings!$B$10+J482*Settings!$B$11+I482*Settings!$B$12+H482*Settings!$B$13</f>
        <v>0</v>
      </c>
      <c r="S482" s="25" t="n">
        <f aca="false">IFERROR(L482/Settings!$B$8,0)</f>
        <v>0</v>
      </c>
      <c r="T482" s="26" t="n">
        <f aca="false">IF(OR(B482="",P482="End of life"),0,W482*MIN(4,N482))</f>
        <v>0</v>
      </c>
      <c r="U482" s="27" t="n">
        <f aca="false">T482*Q482</f>
        <v>0</v>
      </c>
      <c r="V482" s="14" t="n">
        <f aca="false">IF(B482="",0,G482*N(IFERROR(INDEX(Options!$K$6:$K$85,MATCH($B482,Options!$A$6:$A$85,0)),"")))</f>
        <v>0</v>
      </c>
      <c r="W482" s="26" t="n">
        <f aca="false">IF(B482="",0,IF(N482&gt;=4,S482,(H482+I482+J482+K482)/(4-N482)))</f>
        <v>0</v>
      </c>
    </row>
    <row r="483" customFormat="false" ht="15" hidden="false" customHeight="false" outlineLevel="0" collapsed="false">
      <c r="A483" s="16"/>
      <c r="B483" s="16"/>
      <c r="C483" s="16"/>
      <c r="D483" s="16"/>
      <c r="E483" s="16"/>
      <c r="F483" s="16"/>
      <c r="G483" s="16"/>
      <c r="H483" s="16"/>
      <c r="I483" s="16"/>
      <c r="J483" s="16"/>
      <c r="K483" s="16"/>
      <c r="L483" s="16"/>
      <c r="M483" s="16"/>
      <c r="N483" s="16"/>
      <c r="O483" s="9" t="str">
        <f aca="false">IF(B483="","",IFERROR(INDEX(Options!$G$6:$G$85,MATCH($B483,Options!$A$6:$A$85,0)),""))</f>
        <v/>
      </c>
      <c r="P483" s="9" t="str">
        <f aca="false">IF(B483="","",IFERROR(INDEX(Options!$H$6:$H$85,MATCH($B483,Options!$A$6:$A$85,0)),""))</f>
        <v/>
      </c>
      <c r="Q483" s="24" t="n">
        <f aca="false">IF(B483="",0,N(IFERROR(INDEX(Options!$J$6:$J$85,MATCH($B483,Options!$A$6:$A$85,0)),"")))</f>
        <v>0</v>
      </c>
      <c r="R483" s="25" t="n">
        <f aca="false">K483*Settings!$B$10+J483*Settings!$B$11+I483*Settings!$B$12+H483*Settings!$B$13</f>
        <v>0</v>
      </c>
      <c r="S483" s="25" t="n">
        <f aca="false">IFERROR(L483/Settings!$B$8,0)</f>
        <v>0</v>
      </c>
      <c r="T483" s="26" t="n">
        <f aca="false">IF(OR(B483="",P483="End of life"),0,W483*MIN(4,N483))</f>
        <v>0</v>
      </c>
      <c r="U483" s="27" t="n">
        <f aca="false">T483*Q483</f>
        <v>0</v>
      </c>
      <c r="V483" s="14" t="n">
        <f aca="false">IF(B483="",0,G483*N(IFERROR(INDEX(Options!$K$6:$K$85,MATCH($B483,Options!$A$6:$A$85,0)),"")))</f>
        <v>0</v>
      </c>
      <c r="W483" s="26" t="n">
        <f aca="false">IF(B483="",0,IF(N483&gt;=4,S483,(H483+I483+J483+K483)/(4-N483)))</f>
        <v>0</v>
      </c>
    </row>
    <row r="484" customFormat="false" ht="15" hidden="false" customHeight="false" outlineLevel="0" collapsed="false">
      <c r="A484" s="16"/>
      <c r="B484" s="16"/>
      <c r="C484" s="16"/>
      <c r="D484" s="16"/>
      <c r="E484" s="16"/>
      <c r="F484" s="16"/>
      <c r="G484" s="16"/>
      <c r="H484" s="16"/>
      <c r="I484" s="16"/>
      <c r="J484" s="16"/>
      <c r="K484" s="16"/>
      <c r="L484" s="16"/>
      <c r="M484" s="16"/>
      <c r="N484" s="16"/>
      <c r="O484" s="9" t="str">
        <f aca="false">IF(B484="","",IFERROR(INDEX(Options!$G$6:$G$85,MATCH($B484,Options!$A$6:$A$85,0)),""))</f>
        <v/>
      </c>
      <c r="P484" s="9" t="str">
        <f aca="false">IF(B484="","",IFERROR(INDEX(Options!$H$6:$H$85,MATCH($B484,Options!$A$6:$A$85,0)),""))</f>
        <v/>
      </c>
      <c r="Q484" s="24" t="n">
        <f aca="false">IF(B484="",0,N(IFERROR(INDEX(Options!$J$6:$J$85,MATCH($B484,Options!$A$6:$A$85,0)),"")))</f>
        <v>0</v>
      </c>
      <c r="R484" s="25" t="n">
        <f aca="false">K484*Settings!$B$10+J484*Settings!$B$11+I484*Settings!$B$12+H484*Settings!$B$13</f>
        <v>0</v>
      </c>
      <c r="S484" s="25" t="n">
        <f aca="false">IFERROR(L484/Settings!$B$8,0)</f>
        <v>0</v>
      </c>
      <c r="T484" s="26" t="n">
        <f aca="false">IF(OR(B484="",P484="End of life"),0,W484*MIN(4,N484))</f>
        <v>0</v>
      </c>
      <c r="U484" s="27" t="n">
        <f aca="false">T484*Q484</f>
        <v>0</v>
      </c>
      <c r="V484" s="14" t="n">
        <f aca="false">IF(B484="",0,G484*N(IFERROR(INDEX(Options!$K$6:$K$85,MATCH($B484,Options!$A$6:$A$85,0)),"")))</f>
        <v>0</v>
      </c>
      <c r="W484" s="26" t="n">
        <f aca="false">IF(B484="",0,IF(N484&gt;=4,S484,(H484+I484+J484+K484)/(4-N484)))</f>
        <v>0</v>
      </c>
    </row>
    <row r="485" customFormat="false" ht="15" hidden="false" customHeight="false" outlineLevel="0" collapsed="false">
      <c r="A485" s="16"/>
      <c r="B485" s="16"/>
      <c r="C485" s="16"/>
      <c r="D485" s="16"/>
      <c r="E485" s="16"/>
      <c r="F485" s="16"/>
      <c r="G485" s="16"/>
      <c r="H485" s="16"/>
      <c r="I485" s="16"/>
      <c r="J485" s="16"/>
      <c r="K485" s="16"/>
      <c r="L485" s="16"/>
      <c r="M485" s="16"/>
      <c r="N485" s="16"/>
      <c r="O485" s="9" t="str">
        <f aca="false">IF(B485="","",IFERROR(INDEX(Options!$G$6:$G$85,MATCH($B485,Options!$A$6:$A$85,0)),""))</f>
        <v/>
      </c>
      <c r="P485" s="9" t="str">
        <f aca="false">IF(B485="","",IFERROR(INDEX(Options!$H$6:$H$85,MATCH($B485,Options!$A$6:$A$85,0)),""))</f>
        <v/>
      </c>
      <c r="Q485" s="24" t="n">
        <f aca="false">IF(B485="",0,N(IFERROR(INDEX(Options!$J$6:$J$85,MATCH($B485,Options!$A$6:$A$85,0)),"")))</f>
        <v>0</v>
      </c>
      <c r="R485" s="25" t="n">
        <f aca="false">K485*Settings!$B$10+J485*Settings!$B$11+I485*Settings!$B$12+H485*Settings!$B$13</f>
        <v>0</v>
      </c>
      <c r="S485" s="25" t="n">
        <f aca="false">IFERROR(L485/Settings!$B$8,0)</f>
        <v>0</v>
      </c>
      <c r="T485" s="26" t="n">
        <f aca="false">IF(OR(B485="",P485="End of life"),0,W485*MIN(4,N485))</f>
        <v>0</v>
      </c>
      <c r="U485" s="27" t="n">
        <f aca="false">T485*Q485</f>
        <v>0</v>
      </c>
      <c r="V485" s="14" t="n">
        <f aca="false">IF(B485="",0,G485*N(IFERROR(INDEX(Options!$K$6:$K$85,MATCH($B485,Options!$A$6:$A$85,0)),"")))</f>
        <v>0</v>
      </c>
      <c r="W485" s="26" t="n">
        <f aca="false">IF(B485="",0,IF(N485&gt;=4,S485,(H485+I485+J485+K485)/(4-N485)))</f>
        <v>0</v>
      </c>
    </row>
    <row r="486" customFormat="false" ht="15" hidden="false" customHeight="false" outlineLevel="0" collapsed="false">
      <c r="A486" s="16"/>
      <c r="B486" s="16"/>
      <c r="C486" s="16"/>
      <c r="D486" s="16"/>
      <c r="E486" s="16"/>
      <c r="F486" s="16"/>
      <c r="G486" s="16"/>
      <c r="H486" s="16"/>
      <c r="I486" s="16"/>
      <c r="J486" s="16"/>
      <c r="K486" s="16"/>
      <c r="L486" s="16"/>
      <c r="M486" s="16"/>
      <c r="N486" s="16"/>
      <c r="O486" s="9" t="str">
        <f aca="false">IF(B486="","",IFERROR(INDEX(Options!$G$6:$G$85,MATCH($B486,Options!$A$6:$A$85,0)),""))</f>
        <v/>
      </c>
      <c r="P486" s="9" t="str">
        <f aca="false">IF(B486="","",IFERROR(INDEX(Options!$H$6:$H$85,MATCH($B486,Options!$A$6:$A$85,0)),""))</f>
        <v/>
      </c>
      <c r="Q486" s="24" t="n">
        <f aca="false">IF(B486="",0,N(IFERROR(INDEX(Options!$J$6:$J$85,MATCH($B486,Options!$A$6:$A$85,0)),"")))</f>
        <v>0</v>
      </c>
      <c r="R486" s="25" t="n">
        <f aca="false">K486*Settings!$B$10+J486*Settings!$B$11+I486*Settings!$B$12+H486*Settings!$B$13</f>
        <v>0</v>
      </c>
      <c r="S486" s="25" t="n">
        <f aca="false">IFERROR(L486/Settings!$B$8,0)</f>
        <v>0</v>
      </c>
      <c r="T486" s="26" t="n">
        <f aca="false">IF(OR(B486="",P486="End of life"),0,W486*MIN(4,N486))</f>
        <v>0</v>
      </c>
      <c r="U486" s="27" t="n">
        <f aca="false">T486*Q486</f>
        <v>0</v>
      </c>
      <c r="V486" s="14" t="n">
        <f aca="false">IF(B486="",0,G486*N(IFERROR(INDEX(Options!$K$6:$K$85,MATCH($B486,Options!$A$6:$A$85,0)),"")))</f>
        <v>0</v>
      </c>
      <c r="W486" s="26" t="n">
        <f aca="false">IF(B486="",0,IF(N486&gt;=4,S486,(H486+I486+J486+K486)/(4-N486)))</f>
        <v>0</v>
      </c>
    </row>
    <row r="487" customFormat="false" ht="15" hidden="false" customHeight="false" outlineLevel="0" collapsed="false">
      <c r="A487" s="16"/>
      <c r="B487" s="16"/>
      <c r="C487" s="16"/>
      <c r="D487" s="16"/>
      <c r="E487" s="16"/>
      <c r="F487" s="16"/>
      <c r="G487" s="16"/>
      <c r="H487" s="16"/>
      <c r="I487" s="16"/>
      <c r="J487" s="16"/>
      <c r="K487" s="16"/>
      <c r="L487" s="16"/>
      <c r="M487" s="16"/>
      <c r="N487" s="16"/>
      <c r="O487" s="9" t="str">
        <f aca="false">IF(B487="","",IFERROR(INDEX(Options!$G$6:$G$85,MATCH($B487,Options!$A$6:$A$85,0)),""))</f>
        <v/>
      </c>
      <c r="P487" s="9" t="str">
        <f aca="false">IF(B487="","",IFERROR(INDEX(Options!$H$6:$H$85,MATCH($B487,Options!$A$6:$A$85,0)),""))</f>
        <v/>
      </c>
      <c r="Q487" s="24" t="n">
        <f aca="false">IF(B487="",0,N(IFERROR(INDEX(Options!$J$6:$J$85,MATCH($B487,Options!$A$6:$A$85,0)),"")))</f>
        <v>0</v>
      </c>
      <c r="R487" s="25" t="n">
        <f aca="false">K487*Settings!$B$10+J487*Settings!$B$11+I487*Settings!$B$12+H487*Settings!$B$13</f>
        <v>0</v>
      </c>
      <c r="S487" s="25" t="n">
        <f aca="false">IFERROR(L487/Settings!$B$8,0)</f>
        <v>0</v>
      </c>
      <c r="T487" s="26" t="n">
        <f aca="false">IF(OR(B487="",P487="End of life"),0,W487*MIN(4,N487))</f>
        <v>0</v>
      </c>
      <c r="U487" s="27" t="n">
        <f aca="false">T487*Q487</f>
        <v>0</v>
      </c>
      <c r="V487" s="14" t="n">
        <f aca="false">IF(B487="",0,G487*N(IFERROR(INDEX(Options!$K$6:$K$85,MATCH($B487,Options!$A$6:$A$85,0)),"")))</f>
        <v>0</v>
      </c>
      <c r="W487" s="26" t="n">
        <f aca="false">IF(B487="",0,IF(N487&gt;=4,S487,(H487+I487+J487+K487)/(4-N487)))</f>
        <v>0</v>
      </c>
    </row>
    <row r="488" customFormat="false" ht="15" hidden="false" customHeight="false" outlineLevel="0" collapsed="false">
      <c r="A488" s="16"/>
      <c r="B488" s="16"/>
      <c r="C488" s="16"/>
      <c r="D488" s="16"/>
      <c r="E488" s="16"/>
      <c r="F488" s="16"/>
      <c r="G488" s="16"/>
      <c r="H488" s="16"/>
      <c r="I488" s="16"/>
      <c r="J488" s="16"/>
      <c r="K488" s="16"/>
      <c r="L488" s="16"/>
      <c r="M488" s="16"/>
      <c r="N488" s="16"/>
      <c r="O488" s="9" t="str">
        <f aca="false">IF(B488="","",IFERROR(INDEX(Options!$G$6:$G$85,MATCH($B488,Options!$A$6:$A$85,0)),""))</f>
        <v/>
      </c>
      <c r="P488" s="9" t="str">
        <f aca="false">IF(B488="","",IFERROR(INDEX(Options!$H$6:$H$85,MATCH($B488,Options!$A$6:$A$85,0)),""))</f>
        <v/>
      </c>
      <c r="Q488" s="24" t="n">
        <f aca="false">IF(B488="",0,N(IFERROR(INDEX(Options!$J$6:$J$85,MATCH($B488,Options!$A$6:$A$85,0)),"")))</f>
        <v>0</v>
      </c>
      <c r="R488" s="25" t="n">
        <f aca="false">K488*Settings!$B$10+J488*Settings!$B$11+I488*Settings!$B$12+H488*Settings!$B$13</f>
        <v>0</v>
      </c>
      <c r="S488" s="25" t="n">
        <f aca="false">IFERROR(L488/Settings!$B$8,0)</f>
        <v>0</v>
      </c>
      <c r="T488" s="26" t="n">
        <f aca="false">IF(OR(B488="",P488="End of life"),0,W488*MIN(4,N488))</f>
        <v>0</v>
      </c>
      <c r="U488" s="27" t="n">
        <f aca="false">T488*Q488</f>
        <v>0</v>
      </c>
      <c r="V488" s="14" t="n">
        <f aca="false">IF(B488="",0,G488*N(IFERROR(INDEX(Options!$K$6:$K$85,MATCH($B488,Options!$A$6:$A$85,0)),"")))</f>
        <v>0</v>
      </c>
      <c r="W488" s="26" t="n">
        <f aca="false">IF(B488="",0,IF(N488&gt;=4,S488,(H488+I488+J488+K488)/(4-N488)))</f>
        <v>0</v>
      </c>
    </row>
    <row r="489" customFormat="false" ht="15" hidden="false" customHeight="false" outlineLevel="0" collapsed="false">
      <c r="A489" s="16"/>
      <c r="B489" s="16"/>
      <c r="C489" s="16"/>
      <c r="D489" s="16"/>
      <c r="E489" s="16"/>
      <c r="F489" s="16"/>
      <c r="G489" s="16"/>
      <c r="H489" s="16"/>
      <c r="I489" s="16"/>
      <c r="J489" s="16"/>
      <c r="K489" s="16"/>
      <c r="L489" s="16"/>
      <c r="M489" s="16"/>
      <c r="N489" s="16"/>
      <c r="O489" s="9" t="str">
        <f aca="false">IF(B489="","",IFERROR(INDEX(Options!$G$6:$G$85,MATCH($B489,Options!$A$6:$A$85,0)),""))</f>
        <v/>
      </c>
      <c r="P489" s="9" t="str">
        <f aca="false">IF(B489="","",IFERROR(INDEX(Options!$H$6:$H$85,MATCH($B489,Options!$A$6:$A$85,0)),""))</f>
        <v/>
      </c>
      <c r="Q489" s="24" t="n">
        <f aca="false">IF(B489="",0,N(IFERROR(INDEX(Options!$J$6:$J$85,MATCH($B489,Options!$A$6:$A$85,0)),"")))</f>
        <v>0</v>
      </c>
      <c r="R489" s="25" t="n">
        <f aca="false">K489*Settings!$B$10+J489*Settings!$B$11+I489*Settings!$B$12+H489*Settings!$B$13</f>
        <v>0</v>
      </c>
      <c r="S489" s="25" t="n">
        <f aca="false">IFERROR(L489/Settings!$B$8,0)</f>
        <v>0</v>
      </c>
      <c r="T489" s="26" t="n">
        <f aca="false">IF(OR(B489="",P489="End of life"),0,W489*MIN(4,N489))</f>
        <v>0</v>
      </c>
      <c r="U489" s="27" t="n">
        <f aca="false">T489*Q489</f>
        <v>0</v>
      </c>
      <c r="V489" s="14" t="n">
        <f aca="false">IF(B489="",0,G489*N(IFERROR(INDEX(Options!$K$6:$K$85,MATCH($B489,Options!$A$6:$A$85,0)),"")))</f>
        <v>0</v>
      </c>
      <c r="W489" s="26" t="n">
        <f aca="false">IF(B489="",0,IF(N489&gt;=4,S489,(H489+I489+J489+K489)/(4-N489)))</f>
        <v>0</v>
      </c>
    </row>
    <row r="490" customFormat="false" ht="15" hidden="false" customHeight="false" outlineLevel="0" collapsed="false">
      <c r="A490" s="16"/>
      <c r="B490" s="16"/>
      <c r="C490" s="16"/>
      <c r="D490" s="16"/>
      <c r="E490" s="16"/>
      <c r="F490" s="16"/>
      <c r="G490" s="16"/>
      <c r="H490" s="16"/>
      <c r="I490" s="16"/>
      <c r="J490" s="16"/>
      <c r="K490" s="16"/>
      <c r="L490" s="16"/>
      <c r="M490" s="16"/>
      <c r="N490" s="16"/>
      <c r="O490" s="9" t="str">
        <f aca="false">IF(B490="","",IFERROR(INDEX(Options!$G$6:$G$85,MATCH($B490,Options!$A$6:$A$85,0)),""))</f>
        <v/>
      </c>
      <c r="P490" s="9" t="str">
        <f aca="false">IF(B490="","",IFERROR(INDEX(Options!$H$6:$H$85,MATCH($B490,Options!$A$6:$A$85,0)),""))</f>
        <v/>
      </c>
      <c r="Q490" s="24" t="n">
        <f aca="false">IF(B490="",0,N(IFERROR(INDEX(Options!$J$6:$J$85,MATCH($B490,Options!$A$6:$A$85,0)),"")))</f>
        <v>0</v>
      </c>
      <c r="R490" s="25" t="n">
        <f aca="false">K490*Settings!$B$10+J490*Settings!$B$11+I490*Settings!$B$12+H490*Settings!$B$13</f>
        <v>0</v>
      </c>
      <c r="S490" s="25" t="n">
        <f aca="false">IFERROR(L490/Settings!$B$8,0)</f>
        <v>0</v>
      </c>
      <c r="T490" s="26" t="n">
        <f aca="false">IF(OR(B490="",P490="End of life"),0,W490*MIN(4,N490))</f>
        <v>0</v>
      </c>
      <c r="U490" s="27" t="n">
        <f aca="false">T490*Q490</f>
        <v>0</v>
      </c>
      <c r="V490" s="14" t="n">
        <f aca="false">IF(B490="",0,G490*N(IFERROR(INDEX(Options!$K$6:$K$85,MATCH($B490,Options!$A$6:$A$85,0)),"")))</f>
        <v>0</v>
      </c>
      <c r="W490" s="26" t="n">
        <f aca="false">IF(B490="",0,IF(N490&gt;=4,S490,(H490+I490+J490+K490)/(4-N490)))</f>
        <v>0</v>
      </c>
    </row>
    <row r="491" customFormat="false" ht="15" hidden="false" customHeight="false" outlineLevel="0" collapsed="false">
      <c r="A491" s="16"/>
      <c r="B491" s="16"/>
      <c r="C491" s="16"/>
      <c r="D491" s="16"/>
      <c r="E491" s="16"/>
      <c r="F491" s="16"/>
      <c r="G491" s="16"/>
      <c r="H491" s="16"/>
      <c r="I491" s="16"/>
      <c r="J491" s="16"/>
      <c r="K491" s="16"/>
      <c r="L491" s="16"/>
      <c r="M491" s="16"/>
      <c r="N491" s="16"/>
      <c r="O491" s="9" t="str">
        <f aca="false">IF(B491="","",IFERROR(INDEX(Options!$G$6:$G$85,MATCH($B491,Options!$A$6:$A$85,0)),""))</f>
        <v/>
      </c>
      <c r="P491" s="9" t="str">
        <f aca="false">IF(B491="","",IFERROR(INDEX(Options!$H$6:$H$85,MATCH($B491,Options!$A$6:$A$85,0)),""))</f>
        <v/>
      </c>
      <c r="Q491" s="24" t="n">
        <f aca="false">IF(B491="",0,N(IFERROR(INDEX(Options!$J$6:$J$85,MATCH($B491,Options!$A$6:$A$85,0)),"")))</f>
        <v>0</v>
      </c>
      <c r="R491" s="25" t="n">
        <f aca="false">K491*Settings!$B$10+J491*Settings!$B$11+I491*Settings!$B$12+H491*Settings!$B$13</f>
        <v>0</v>
      </c>
      <c r="S491" s="25" t="n">
        <f aca="false">IFERROR(L491/Settings!$B$8,0)</f>
        <v>0</v>
      </c>
      <c r="T491" s="26" t="n">
        <f aca="false">IF(OR(B491="",P491="End of life"),0,W491*MIN(4,N491))</f>
        <v>0</v>
      </c>
      <c r="U491" s="27" t="n">
        <f aca="false">T491*Q491</f>
        <v>0</v>
      </c>
      <c r="V491" s="14" t="n">
        <f aca="false">IF(B491="",0,G491*N(IFERROR(INDEX(Options!$K$6:$K$85,MATCH($B491,Options!$A$6:$A$85,0)),"")))</f>
        <v>0</v>
      </c>
      <c r="W491" s="26" t="n">
        <f aca="false">IF(B491="",0,IF(N491&gt;=4,S491,(H491+I491+J491+K491)/(4-N491)))</f>
        <v>0</v>
      </c>
    </row>
    <row r="492" customFormat="false" ht="15" hidden="false" customHeight="false" outlineLevel="0" collapsed="false">
      <c r="A492" s="16"/>
      <c r="B492" s="16"/>
      <c r="C492" s="16"/>
      <c r="D492" s="16"/>
      <c r="E492" s="16"/>
      <c r="F492" s="16"/>
      <c r="G492" s="16"/>
      <c r="H492" s="16"/>
      <c r="I492" s="16"/>
      <c r="J492" s="16"/>
      <c r="K492" s="16"/>
      <c r="L492" s="16"/>
      <c r="M492" s="16"/>
      <c r="N492" s="16"/>
      <c r="O492" s="9" t="str">
        <f aca="false">IF(B492="","",IFERROR(INDEX(Options!$G$6:$G$85,MATCH($B492,Options!$A$6:$A$85,0)),""))</f>
        <v/>
      </c>
      <c r="P492" s="9" t="str">
        <f aca="false">IF(B492="","",IFERROR(INDEX(Options!$H$6:$H$85,MATCH($B492,Options!$A$6:$A$85,0)),""))</f>
        <v/>
      </c>
      <c r="Q492" s="24" t="n">
        <f aca="false">IF(B492="",0,N(IFERROR(INDEX(Options!$J$6:$J$85,MATCH($B492,Options!$A$6:$A$85,0)),"")))</f>
        <v>0</v>
      </c>
      <c r="R492" s="25" t="n">
        <f aca="false">K492*Settings!$B$10+J492*Settings!$B$11+I492*Settings!$B$12+H492*Settings!$B$13</f>
        <v>0</v>
      </c>
      <c r="S492" s="25" t="n">
        <f aca="false">IFERROR(L492/Settings!$B$8,0)</f>
        <v>0</v>
      </c>
      <c r="T492" s="26" t="n">
        <f aca="false">IF(OR(B492="",P492="End of life"),0,W492*MIN(4,N492))</f>
        <v>0</v>
      </c>
      <c r="U492" s="27" t="n">
        <f aca="false">T492*Q492</f>
        <v>0</v>
      </c>
      <c r="V492" s="14" t="n">
        <f aca="false">IF(B492="",0,G492*N(IFERROR(INDEX(Options!$K$6:$K$85,MATCH($B492,Options!$A$6:$A$85,0)),"")))</f>
        <v>0</v>
      </c>
      <c r="W492" s="26" t="n">
        <f aca="false">IF(B492="",0,IF(N492&gt;=4,S492,(H492+I492+J492+K492)/(4-N492)))</f>
        <v>0</v>
      </c>
    </row>
    <row r="493" customFormat="false" ht="15" hidden="false" customHeight="false" outlineLevel="0" collapsed="false">
      <c r="A493" s="16"/>
      <c r="B493" s="16"/>
      <c r="C493" s="16"/>
      <c r="D493" s="16"/>
      <c r="E493" s="16"/>
      <c r="F493" s="16"/>
      <c r="G493" s="16"/>
      <c r="H493" s="16"/>
      <c r="I493" s="16"/>
      <c r="J493" s="16"/>
      <c r="K493" s="16"/>
      <c r="L493" s="16"/>
      <c r="M493" s="16"/>
      <c r="N493" s="16"/>
      <c r="O493" s="9" t="str">
        <f aca="false">IF(B493="","",IFERROR(INDEX(Options!$G$6:$G$85,MATCH($B493,Options!$A$6:$A$85,0)),""))</f>
        <v/>
      </c>
      <c r="P493" s="9" t="str">
        <f aca="false">IF(B493="","",IFERROR(INDEX(Options!$H$6:$H$85,MATCH($B493,Options!$A$6:$A$85,0)),""))</f>
        <v/>
      </c>
      <c r="Q493" s="24" t="n">
        <f aca="false">IF(B493="",0,N(IFERROR(INDEX(Options!$J$6:$J$85,MATCH($B493,Options!$A$6:$A$85,0)),"")))</f>
        <v>0</v>
      </c>
      <c r="R493" s="25" t="n">
        <f aca="false">K493*Settings!$B$10+J493*Settings!$B$11+I493*Settings!$B$12+H493*Settings!$B$13</f>
        <v>0</v>
      </c>
      <c r="S493" s="25" t="n">
        <f aca="false">IFERROR(L493/Settings!$B$8,0)</f>
        <v>0</v>
      </c>
      <c r="T493" s="26" t="n">
        <f aca="false">IF(OR(B493="",P493="End of life"),0,W493*MIN(4,N493))</f>
        <v>0</v>
      </c>
      <c r="U493" s="27" t="n">
        <f aca="false">T493*Q493</f>
        <v>0</v>
      </c>
      <c r="V493" s="14" t="n">
        <f aca="false">IF(B493="",0,G493*N(IFERROR(INDEX(Options!$K$6:$K$85,MATCH($B493,Options!$A$6:$A$85,0)),"")))</f>
        <v>0</v>
      </c>
      <c r="W493" s="26" t="n">
        <f aca="false">IF(B493="",0,IF(N493&gt;=4,S493,(H493+I493+J493+K493)/(4-N493)))</f>
        <v>0</v>
      </c>
    </row>
    <row r="494" customFormat="false" ht="15" hidden="false" customHeight="false" outlineLevel="0" collapsed="false">
      <c r="A494" s="16"/>
      <c r="B494" s="16"/>
      <c r="C494" s="16"/>
      <c r="D494" s="16"/>
      <c r="E494" s="16"/>
      <c r="F494" s="16"/>
      <c r="G494" s="16"/>
      <c r="H494" s="16"/>
      <c r="I494" s="16"/>
      <c r="J494" s="16"/>
      <c r="K494" s="16"/>
      <c r="L494" s="16"/>
      <c r="M494" s="16"/>
      <c r="N494" s="16"/>
      <c r="O494" s="9" t="str">
        <f aca="false">IF(B494="","",IFERROR(INDEX(Options!$G$6:$G$85,MATCH($B494,Options!$A$6:$A$85,0)),""))</f>
        <v/>
      </c>
      <c r="P494" s="9" t="str">
        <f aca="false">IF(B494="","",IFERROR(INDEX(Options!$H$6:$H$85,MATCH($B494,Options!$A$6:$A$85,0)),""))</f>
        <v/>
      </c>
      <c r="Q494" s="24" t="n">
        <f aca="false">IF(B494="",0,N(IFERROR(INDEX(Options!$J$6:$J$85,MATCH($B494,Options!$A$6:$A$85,0)),"")))</f>
        <v>0</v>
      </c>
      <c r="R494" s="25" t="n">
        <f aca="false">K494*Settings!$B$10+J494*Settings!$B$11+I494*Settings!$B$12+H494*Settings!$B$13</f>
        <v>0</v>
      </c>
      <c r="S494" s="25" t="n">
        <f aca="false">IFERROR(L494/Settings!$B$8,0)</f>
        <v>0</v>
      </c>
      <c r="T494" s="26" t="n">
        <f aca="false">IF(OR(B494="",P494="End of life"),0,W494*MIN(4,N494))</f>
        <v>0</v>
      </c>
      <c r="U494" s="27" t="n">
        <f aca="false">T494*Q494</f>
        <v>0</v>
      </c>
      <c r="V494" s="14" t="n">
        <f aca="false">IF(B494="",0,G494*N(IFERROR(INDEX(Options!$K$6:$K$85,MATCH($B494,Options!$A$6:$A$85,0)),"")))</f>
        <v>0</v>
      </c>
      <c r="W494" s="26" t="n">
        <f aca="false">IF(B494="",0,IF(N494&gt;=4,S494,(H494+I494+J494+K494)/(4-N494)))</f>
        <v>0</v>
      </c>
    </row>
    <row r="495" customFormat="false" ht="15" hidden="false" customHeight="false" outlineLevel="0" collapsed="false">
      <c r="A495" s="16"/>
      <c r="B495" s="16"/>
      <c r="C495" s="16"/>
      <c r="D495" s="16"/>
      <c r="E495" s="16"/>
      <c r="F495" s="16"/>
      <c r="G495" s="16"/>
      <c r="H495" s="16"/>
      <c r="I495" s="16"/>
      <c r="J495" s="16"/>
      <c r="K495" s="16"/>
      <c r="L495" s="16"/>
      <c r="M495" s="16"/>
      <c r="N495" s="16"/>
      <c r="O495" s="9" t="str">
        <f aca="false">IF(B495="","",IFERROR(INDEX(Options!$G$6:$G$85,MATCH($B495,Options!$A$6:$A$85,0)),""))</f>
        <v/>
      </c>
      <c r="P495" s="9" t="str">
        <f aca="false">IF(B495="","",IFERROR(INDEX(Options!$H$6:$H$85,MATCH($B495,Options!$A$6:$A$85,0)),""))</f>
        <v/>
      </c>
      <c r="Q495" s="24" t="n">
        <f aca="false">IF(B495="",0,N(IFERROR(INDEX(Options!$J$6:$J$85,MATCH($B495,Options!$A$6:$A$85,0)),"")))</f>
        <v>0</v>
      </c>
      <c r="R495" s="25" t="n">
        <f aca="false">K495*Settings!$B$10+J495*Settings!$B$11+I495*Settings!$B$12+H495*Settings!$B$13</f>
        <v>0</v>
      </c>
      <c r="S495" s="25" t="n">
        <f aca="false">IFERROR(L495/Settings!$B$8,0)</f>
        <v>0</v>
      </c>
      <c r="T495" s="26" t="n">
        <f aca="false">IF(OR(B495="",P495="End of life"),0,W495*MIN(4,N495))</f>
        <v>0</v>
      </c>
      <c r="U495" s="27" t="n">
        <f aca="false">T495*Q495</f>
        <v>0</v>
      </c>
      <c r="V495" s="14" t="n">
        <f aca="false">IF(B495="",0,G495*N(IFERROR(INDEX(Options!$K$6:$K$85,MATCH($B495,Options!$A$6:$A$85,0)),"")))</f>
        <v>0</v>
      </c>
      <c r="W495" s="26" t="n">
        <f aca="false">IF(B495="",0,IF(N495&gt;=4,S495,(H495+I495+J495+K495)/(4-N495)))</f>
        <v>0</v>
      </c>
    </row>
    <row r="496" customFormat="false" ht="15" hidden="false" customHeight="false" outlineLevel="0" collapsed="false">
      <c r="A496" s="16"/>
      <c r="B496" s="16"/>
      <c r="C496" s="16"/>
      <c r="D496" s="16"/>
      <c r="E496" s="16"/>
      <c r="F496" s="16"/>
      <c r="G496" s="16"/>
      <c r="H496" s="16"/>
      <c r="I496" s="16"/>
      <c r="J496" s="16"/>
      <c r="K496" s="16"/>
      <c r="L496" s="16"/>
      <c r="M496" s="16"/>
      <c r="N496" s="16"/>
      <c r="O496" s="9" t="str">
        <f aca="false">IF(B496="","",IFERROR(INDEX(Options!$G$6:$G$85,MATCH($B496,Options!$A$6:$A$85,0)),""))</f>
        <v/>
      </c>
      <c r="P496" s="9" t="str">
        <f aca="false">IF(B496="","",IFERROR(INDEX(Options!$H$6:$H$85,MATCH($B496,Options!$A$6:$A$85,0)),""))</f>
        <v/>
      </c>
      <c r="Q496" s="24" t="n">
        <f aca="false">IF(B496="",0,N(IFERROR(INDEX(Options!$J$6:$J$85,MATCH($B496,Options!$A$6:$A$85,0)),"")))</f>
        <v>0</v>
      </c>
      <c r="R496" s="25" t="n">
        <f aca="false">K496*Settings!$B$10+J496*Settings!$B$11+I496*Settings!$B$12+H496*Settings!$B$13</f>
        <v>0</v>
      </c>
      <c r="S496" s="25" t="n">
        <f aca="false">IFERROR(L496/Settings!$B$8,0)</f>
        <v>0</v>
      </c>
      <c r="T496" s="26" t="n">
        <f aca="false">IF(OR(B496="",P496="End of life"),0,W496*MIN(4,N496))</f>
        <v>0</v>
      </c>
      <c r="U496" s="27" t="n">
        <f aca="false">T496*Q496</f>
        <v>0</v>
      </c>
      <c r="V496" s="14" t="n">
        <f aca="false">IF(B496="",0,G496*N(IFERROR(INDEX(Options!$K$6:$K$85,MATCH($B496,Options!$A$6:$A$85,0)),"")))</f>
        <v>0</v>
      </c>
      <c r="W496" s="26" t="n">
        <f aca="false">IF(B496="",0,IF(N496&gt;=4,S496,(H496+I496+J496+K496)/(4-N496)))</f>
        <v>0</v>
      </c>
    </row>
    <row r="497" customFormat="false" ht="15" hidden="false" customHeight="false" outlineLevel="0" collapsed="false">
      <c r="A497" s="16"/>
      <c r="B497" s="16"/>
      <c r="C497" s="16"/>
      <c r="D497" s="16"/>
      <c r="E497" s="16"/>
      <c r="F497" s="16"/>
      <c r="G497" s="16"/>
      <c r="H497" s="16"/>
      <c r="I497" s="16"/>
      <c r="J497" s="16"/>
      <c r="K497" s="16"/>
      <c r="L497" s="16"/>
      <c r="M497" s="16"/>
      <c r="N497" s="16"/>
      <c r="O497" s="9" t="str">
        <f aca="false">IF(B497="","",IFERROR(INDEX(Options!$G$6:$G$85,MATCH($B497,Options!$A$6:$A$85,0)),""))</f>
        <v/>
      </c>
      <c r="P497" s="9" t="str">
        <f aca="false">IF(B497="","",IFERROR(INDEX(Options!$H$6:$H$85,MATCH($B497,Options!$A$6:$A$85,0)),""))</f>
        <v/>
      </c>
      <c r="Q497" s="24" t="n">
        <f aca="false">IF(B497="",0,N(IFERROR(INDEX(Options!$J$6:$J$85,MATCH($B497,Options!$A$6:$A$85,0)),"")))</f>
        <v>0</v>
      </c>
      <c r="R497" s="25" t="n">
        <f aca="false">K497*Settings!$B$10+J497*Settings!$B$11+I497*Settings!$B$12+H497*Settings!$B$13</f>
        <v>0</v>
      </c>
      <c r="S497" s="25" t="n">
        <f aca="false">IFERROR(L497/Settings!$B$8,0)</f>
        <v>0</v>
      </c>
      <c r="T497" s="26" t="n">
        <f aca="false">IF(OR(B497="",P497="End of life"),0,W497*MIN(4,N497))</f>
        <v>0</v>
      </c>
      <c r="U497" s="27" t="n">
        <f aca="false">T497*Q497</f>
        <v>0</v>
      </c>
      <c r="V497" s="14" t="n">
        <f aca="false">IF(B497="",0,G497*N(IFERROR(INDEX(Options!$K$6:$K$85,MATCH($B497,Options!$A$6:$A$85,0)),"")))</f>
        <v>0</v>
      </c>
      <c r="W497" s="26" t="n">
        <f aca="false">IF(B497="",0,IF(N497&gt;=4,S497,(H497+I497+J497+K497)/(4-N497)))</f>
        <v>0</v>
      </c>
    </row>
    <row r="498" customFormat="false" ht="15" hidden="false" customHeight="false" outlineLevel="0" collapsed="false">
      <c r="A498" s="16"/>
      <c r="B498" s="16"/>
      <c r="C498" s="16"/>
      <c r="D498" s="16"/>
      <c r="E498" s="16"/>
      <c r="F498" s="16"/>
      <c r="G498" s="16"/>
      <c r="H498" s="16"/>
      <c r="I498" s="16"/>
      <c r="J498" s="16"/>
      <c r="K498" s="16"/>
      <c r="L498" s="16"/>
      <c r="M498" s="16"/>
      <c r="N498" s="16"/>
      <c r="O498" s="9" t="str">
        <f aca="false">IF(B498="","",IFERROR(INDEX(Options!$G$6:$G$85,MATCH($B498,Options!$A$6:$A$85,0)),""))</f>
        <v/>
      </c>
      <c r="P498" s="9" t="str">
        <f aca="false">IF(B498="","",IFERROR(INDEX(Options!$H$6:$H$85,MATCH($B498,Options!$A$6:$A$85,0)),""))</f>
        <v/>
      </c>
      <c r="Q498" s="24" t="n">
        <f aca="false">IF(B498="",0,N(IFERROR(INDEX(Options!$J$6:$J$85,MATCH($B498,Options!$A$6:$A$85,0)),"")))</f>
        <v>0</v>
      </c>
      <c r="R498" s="25" t="n">
        <f aca="false">K498*Settings!$B$10+J498*Settings!$B$11+I498*Settings!$B$12+H498*Settings!$B$13</f>
        <v>0</v>
      </c>
      <c r="S498" s="25" t="n">
        <f aca="false">IFERROR(L498/Settings!$B$8,0)</f>
        <v>0</v>
      </c>
      <c r="T498" s="26" t="n">
        <f aca="false">IF(OR(B498="",P498="End of life"),0,W498*MIN(4,N498))</f>
        <v>0</v>
      </c>
      <c r="U498" s="27" t="n">
        <f aca="false">T498*Q498</f>
        <v>0</v>
      </c>
      <c r="V498" s="14" t="n">
        <f aca="false">IF(B498="",0,G498*N(IFERROR(INDEX(Options!$K$6:$K$85,MATCH($B498,Options!$A$6:$A$85,0)),"")))</f>
        <v>0</v>
      </c>
      <c r="W498" s="26" t="n">
        <f aca="false">IF(B498="",0,IF(N498&gt;=4,S498,(H498+I498+J498+K498)/(4-N498)))</f>
        <v>0</v>
      </c>
    </row>
    <row r="499" customFormat="false" ht="15" hidden="false" customHeight="false" outlineLevel="0" collapsed="false">
      <c r="A499" s="16"/>
      <c r="B499" s="16"/>
      <c r="C499" s="16"/>
      <c r="D499" s="16"/>
      <c r="E499" s="16"/>
      <c r="F499" s="16"/>
      <c r="G499" s="16"/>
      <c r="H499" s="16"/>
      <c r="I499" s="16"/>
      <c r="J499" s="16"/>
      <c r="K499" s="16"/>
      <c r="L499" s="16"/>
      <c r="M499" s="16"/>
      <c r="N499" s="16"/>
      <c r="O499" s="9" t="str">
        <f aca="false">IF(B499="","",IFERROR(INDEX(Options!$G$6:$G$85,MATCH($B499,Options!$A$6:$A$85,0)),""))</f>
        <v/>
      </c>
      <c r="P499" s="9" t="str">
        <f aca="false">IF(B499="","",IFERROR(INDEX(Options!$H$6:$H$85,MATCH($B499,Options!$A$6:$A$85,0)),""))</f>
        <v/>
      </c>
      <c r="Q499" s="24" t="n">
        <f aca="false">IF(B499="",0,N(IFERROR(INDEX(Options!$J$6:$J$85,MATCH($B499,Options!$A$6:$A$85,0)),"")))</f>
        <v>0</v>
      </c>
      <c r="R499" s="25" t="n">
        <f aca="false">K499*Settings!$B$10+J499*Settings!$B$11+I499*Settings!$B$12+H499*Settings!$B$13</f>
        <v>0</v>
      </c>
      <c r="S499" s="25" t="n">
        <f aca="false">IFERROR(L499/Settings!$B$8,0)</f>
        <v>0</v>
      </c>
      <c r="T499" s="26" t="n">
        <f aca="false">IF(OR(B499="",P499="End of life"),0,W499*MIN(4,N499))</f>
        <v>0</v>
      </c>
      <c r="U499" s="27" t="n">
        <f aca="false">T499*Q499</f>
        <v>0</v>
      </c>
      <c r="V499" s="14" t="n">
        <f aca="false">IF(B499="",0,G499*N(IFERROR(INDEX(Options!$K$6:$K$85,MATCH($B499,Options!$A$6:$A$85,0)),"")))</f>
        <v>0</v>
      </c>
      <c r="W499" s="26" t="n">
        <f aca="false">IF(B499="",0,IF(N499&gt;=4,S499,(H499+I499+J499+K499)/(4-N499)))</f>
        <v>0</v>
      </c>
    </row>
    <row r="500" customFormat="false" ht="15" hidden="false" customHeight="false" outlineLevel="0" collapsed="false">
      <c r="A500" s="16"/>
      <c r="B500" s="16"/>
      <c r="C500" s="16"/>
      <c r="D500" s="16"/>
      <c r="E500" s="16"/>
      <c r="F500" s="16"/>
      <c r="G500" s="16"/>
      <c r="H500" s="16"/>
      <c r="I500" s="16"/>
      <c r="J500" s="16"/>
      <c r="K500" s="16"/>
      <c r="L500" s="16"/>
      <c r="M500" s="16"/>
      <c r="N500" s="16"/>
      <c r="O500" s="9" t="str">
        <f aca="false">IF(B500="","",IFERROR(INDEX(Options!$G$6:$G$85,MATCH($B500,Options!$A$6:$A$85,0)),""))</f>
        <v/>
      </c>
      <c r="P500" s="9" t="str">
        <f aca="false">IF(B500="","",IFERROR(INDEX(Options!$H$6:$H$85,MATCH($B500,Options!$A$6:$A$85,0)),""))</f>
        <v/>
      </c>
      <c r="Q500" s="24" t="n">
        <f aca="false">IF(B500="",0,N(IFERROR(INDEX(Options!$J$6:$J$85,MATCH($B500,Options!$A$6:$A$85,0)),"")))</f>
        <v>0</v>
      </c>
      <c r="R500" s="25" t="n">
        <f aca="false">K500*Settings!$B$10+J500*Settings!$B$11+I500*Settings!$B$12+H500*Settings!$B$13</f>
        <v>0</v>
      </c>
      <c r="S500" s="25" t="n">
        <f aca="false">IFERROR(L500/Settings!$B$8,0)</f>
        <v>0</v>
      </c>
      <c r="T500" s="26" t="n">
        <f aca="false">IF(OR(B500="",P500="End of life"),0,W500*MIN(4,N500))</f>
        <v>0</v>
      </c>
      <c r="U500" s="27" t="n">
        <f aca="false">T500*Q500</f>
        <v>0</v>
      </c>
      <c r="V500" s="14" t="n">
        <f aca="false">IF(B500="",0,G500*N(IFERROR(INDEX(Options!$K$6:$K$85,MATCH($B500,Options!$A$6:$A$85,0)),"")))</f>
        <v>0</v>
      </c>
      <c r="W500" s="26" t="n">
        <f aca="false">IF(B500="",0,IF(N500&gt;=4,S500,(H500+I500+J500+K500)/(4-N500)))</f>
        <v>0</v>
      </c>
    </row>
    <row r="501" customFormat="false" ht="15" hidden="false" customHeight="false" outlineLevel="0" collapsed="false">
      <c r="A501" s="16"/>
      <c r="B501" s="16"/>
      <c r="C501" s="16"/>
      <c r="D501" s="16"/>
      <c r="E501" s="16"/>
      <c r="F501" s="16"/>
      <c r="G501" s="16"/>
      <c r="H501" s="16"/>
      <c r="I501" s="16"/>
      <c r="J501" s="16"/>
      <c r="K501" s="16"/>
      <c r="L501" s="16"/>
      <c r="M501" s="16"/>
      <c r="N501" s="16"/>
      <c r="O501" s="9" t="str">
        <f aca="false">IF(B501="","",IFERROR(INDEX(Options!$G$6:$G$85,MATCH($B501,Options!$A$6:$A$85,0)),""))</f>
        <v/>
      </c>
      <c r="P501" s="9" t="str">
        <f aca="false">IF(B501="","",IFERROR(INDEX(Options!$H$6:$H$85,MATCH($B501,Options!$A$6:$A$85,0)),""))</f>
        <v/>
      </c>
      <c r="Q501" s="24" t="n">
        <f aca="false">IF(B501="",0,N(IFERROR(INDEX(Options!$J$6:$J$85,MATCH($B501,Options!$A$6:$A$85,0)),"")))</f>
        <v>0</v>
      </c>
      <c r="R501" s="25" t="n">
        <f aca="false">K501*Settings!$B$10+J501*Settings!$B$11+I501*Settings!$B$12+H501*Settings!$B$13</f>
        <v>0</v>
      </c>
      <c r="S501" s="25" t="n">
        <f aca="false">IFERROR(L501/Settings!$B$8,0)</f>
        <v>0</v>
      </c>
      <c r="T501" s="26" t="n">
        <f aca="false">IF(OR(B501="",P501="End of life"),0,W501*MIN(4,N501))</f>
        <v>0</v>
      </c>
      <c r="U501" s="27" t="n">
        <f aca="false">T501*Q501</f>
        <v>0</v>
      </c>
      <c r="V501" s="14" t="n">
        <f aca="false">IF(B501="",0,G501*N(IFERROR(INDEX(Options!$K$6:$K$85,MATCH($B501,Options!$A$6:$A$85,0)),"")))</f>
        <v>0</v>
      </c>
      <c r="W501" s="26" t="n">
        <f aca="false">IF(B501="",0,IF(N501&gt;=4,S501,(H501+I501+J501+K501)/(4-N501)))</f>
        <v>0</v>
      </c>
    </row>
    <row r="502" customFormat="false" ht="15" hidden="false" customHeight="false" outlineLevel="0" collapsed="false">
      <c r="A502" s="16"/>
      <c r="B502" s="16"/>
      <c r="C502" s="16"/>
      <c r="D502" s="16"/>
      <c r="E502" s="16"/>
      <c r="F502" s="16"/>
      <c r="G502" s="16"/>
      <c r="H502" s="16"/>
      <c r="I502" s="16"/>
      <c r="J502" s="16"/>
      <c r="K502" s="16"/>
      <c r="L502" s="16"/>
      <c r="M502" s="16"/>
      <c r="N502" s="16"/>
      <c r="O502" s="9" t="str">
        <f aca="false">IF(B502="","",IFERROR(INDEX(Options!$G$6:$G$85,MATCH($B502,Options!$A$6:$A$85,0)),""))</f>
        <v/>
      </c>
      <c r="P502" s="9" t="str">
        <f aca="false">IF(B502="","",IFERROR(INDEX(Options!$H$6:$H$85,MATCH($B502,Options!$A$6:$A$85,0)),""))</f>
        <v/>
      </c>
      <c r="Q502" s="24" t="n">
        <f aca="false">IF(B502="",0,N(IFERROR(INDEX(Options!$J$6:$J$85,MATCH($B502,Options!$A$6:$A$85,0)),"")))</f>
        <v>0</v>
      </c>
      <c r="R502" s="25" t="n">
        <f aca="false">K502*Settings!$B$10+J502*Settings!$B$11+I502*Settings!$B$12+H502*Settings!$B$13</f>
        <v>0</v>
      </c>
      <c r="S502" s="25" t="n">
        <f aca="false">IFERROR(L502/Settings!$B$8,0)</f>
        <v>0</v>
      </c>
      <c r="T502" s="26" t="n">
        <f aca="false">IF(OR(B502="",P502="End of life"),0,W502*MIN(4,N502))</f>
        <v>0</v>
      </c>
      <c r="U502" s="27" t="n">
        <f aca="false">T502*Q502</f>
        <v>0</v>
      </c>
      <c r="V502" s="14" t="n">
        <f aca="false">IF(B502="",0,G502*N(IFERROR(INDEX(Options!$K$6:$K$85,MATCH($B502,Options!$A$6:$A$85,0)),"")))</f>
        <v>0</v>
      </c>
      <c r="W502" s="26" t="n">
        <f aca="false">IF(B502="",0,IF(N502&gt;=4,S502,(H502+I502+J502+K502)/(4-N502)))</f>
        <v>0</v>
      </c>
    </row>
    <row r="503" customFormat="false" ht="15" hidden="false" customHeight="false" outlineLevel="0" collapsed="false">
      <c r="A503" s="16"/>
      <c r="B503" s="16"/>
      <c r="C503" s="16"/>
      <c r="D503" s="16"/>
      <c r="E503" s="16"/>
      <c r="F503" s="16"/>
      <c r="G503" s="16"/>
      <c r="H503" s="16"/>
      <c r="I503" s="16"/>
      <c r="J503" s="16"/>
      <c r="K503" s="16"/>
      <c r="L503" s="16"/>
      <c r="M503" s="16"/>
      <c r="N503" s="16"/>
      <c r="O503" s="9" t="str">
        <f aca="false">IF(B503="","",IFERROR(INDEX(Options!$G$6:$G$85,MATCH($B503,Options!$A$6:$A$85,0)),""))</f>
        <v/>
      </c>
      <c r="P503" s="9" t="str">
        <f aca="false">IF(B503="","",IFERROR(INDEX(Options!$H$6:$H$85,MATCH($B503,Options!$A$6:$A$85,0)),""))</f>
        <v/>
      </c>
      <c r="Q503" s="24" t="n">
        <f aca="false">IF(B503="",0,N(IFERROR(INDEX(Options!$J$6:$J$85,MATCH($B503,Options!$A$6:$A$85,0)),"")))</f>
        <v>0</v>
      </c>
      <c r="R503" s="25" t="n">
        <f aca="false">K503*Settings!$B$10+J503*Settings!$B$11+I503*Settings!$B$12+H503*Settings!$B$13</f>
        <v>0</v>
      </c>
      <c r="S503" s="25" t="n">
        <f aca="false">IFERROR(L503/Settings!$B$8,0)</f>
        <v>0</v>
      </c>
      <c r="T503" s="26" t="n">
        <f aca="false">IF(OR(B503="",P503="End of life"),0,W503*MIN(4,N503))</f>
        <v>0</v>
      </c>
      <c r="U503" s="27" t="n">
        <f aca="false">T503*Q503</f>
        <v>0</v>
      </c>
      <c r="V503" s="14" t="n">
        <f aca="false">IF(B503="",0,G503*N(IFERROR(INDEX(Options!$K$6:$K$85,MATCH($B503,Options!$A$6:$A$85,0)),"")))</f>
        <v>0</v>
      </c>
      <c r="W503" s="26" t="n">
        <f aca="false">IF(B503="",0,IF(N503&gt;=4,S503,(H503+I503+J503+K503)/(4-N503)))</f>
        <v>0</v>
      </c>
    </row>
    <row r="504" customFormat="false" ht="15" hidden="false" customHeight="false" outlineLevel="0" collapsed="false">
      <c r="A504" s="16"/>
      <c r="B504" s="16"/>
      <c r="C504" s="16"/>
      <c r="D504" s="16"/>
      <c r="E504" s="16"/>
      <c r="F504" s="16"/>
      <c r="G504" s="16"/>
      <c r="H504" s="16"/>
      <c r="I504" s="16"/>
      <c r="J504" s="16"/>
      <c r="K504" s="16"/>
      <c r="L504" s="16"/>
      <c r="M504" s="16"/>
      <c r="N504" s="16"/>
      <c r="O504" s="9" t="str">
        <f aca="false">IF(B504="","",IFERROR(INDEX(Options!$G$6:$G$85,MATCH($B504,Options!$A$6:$A$85,0)),""))</f>
        <v/>
      </c>
      <c r="P504" s="9" t="str">
        <f aca="false">IF(B504="","",IFERROR(INDEX(Options!$H$6:$H$85,MATCH($B504,Options!$A$6:$A$85,0)),""))</f>
        <v/>
      </c>
      <c r="Q504" s="24" t="n">
        <f aca="false">IF(B504="",0,N(IFERROR(INDEX(Options!$J$6:$J$85,MATCH($B504,Options!$A$6:$A$85,0)),"")))</f>
        <v>0</v>
      </c>
      <c r="R504" s="25" t="n">
        <f aca="false">K504*Settings!$B$10+J504*Settings!$B$11+I504*Settings!$B$12+H504*Settings!$B$13</f>
        <v>0</v>
      </c>
      <c r="S504" s="25" t="n">
        <f aca="false">IFERROR(L504/Settings!$B$8,0)</f>
        <v>0</v>
      </c>
      <c r="T504" s="26" t="n">
        <f aca="false">IF(OR(B504="",P504="End of life"),0,W504*MIN(4,N504))</f>
        <v>0</v>
      </c>
      <c r="U504" s="27" t="n">
        <f aca="false">T504*Q504</f>
        <v>0</v>
      </c>
      <c r="V504" s="14" t="n">
        <f aca="false">IF(B504="",0,G504*N(IFERROR(INDEX(Options!$K$6:$K$85,MATCH($B504,Options!$A$6:$A$85,0)),"")))</f>
        <v>0</v>
      </c>
      <c r="W504" s="26" t="n">
        <f aca="false">IF(B504="",0,IF(N504&gt;=4,S504,(H504+I504+J504+K504)/(4-N504)))</f>
        <v>0</v>
      </c>
    </row>
    <row r="505" customFormat="false" ht="15" hidden="false" customHeight="false" outlineLevel="0" collapsed="false">
      <c r="A505" s="16"/>
      <c r="B505" s="16"/>
      <c r="C505" s="16"/>
      <c r="D505" s="16"/>
      <c r="E505" s="16"/>
      <c r="F505" s="16"/>
      <c r="G505" s="16"/>
      <c r="H505" s="16"/>
      <c r="I505" s="16"/>
      <c r="J505" s="16"/>
      <c r="K505" s="16"/>
      <c r="L505" s="16"/>
      <c r="M505" s="16"/>
      <c r="N505" s="16"/>
      <c r="O505" s="9" t="str">
        <f aca="false">IF(B505="","",IFERROR(INDEX(Options!$G$6:$G$85,MATCH($B505,Options!$A$6:$A$85,0)),""))</f>
        <v/>
      </c>
      <c r="P505" s="9" t="str">
        <f aca="false">IF(B505="","",IFERROR(INDEX(Options!$H$6:$H$85,MATCH($B505,Options!$A$6:$A$85,0)),""))</f>
        <v/>
      </c>
      <c r="Q505" s="24" t="n">
        <f aca="false">IF(B505="",0,N(IFERROR(INDEX(Options!$J$6:$J$85,MATCH($B505,Options!$A$6:$A$85,0)),"")))</f>
        <v>0</v>
      </c>
      <c r="R505" s="25" t="n">
        <f aca="false">K505*Settings!$B$10+J505*Settings!$B$11+I505*Settings!$B$12+H505*Settings!$B$13</f>
        <v>0</v>
      </c>
      <c r="S505" s="25" t="n">
        <f aca="false">IFERROR(L505/Settings!$B$8,0)</f>
        <v>0</v>
      </c>
      <c r="T505" s="26" t="n">
        <f aca="false">IF(OR(B505="",P505="End of life"),0,W505*MIN(4,N505))</f>
        <v>0</v>
      </c>
      <c r="U505" s="27" t="n">
        <f aca="false">T505*Q505</f>
        <v>0</v>
      </c>
      <c r="V505" s="14" t="n">
        <f aca="false">IF(B505="",0,G505*N(IFERROR(INDEX(Options!$K$6:$K$85,MATCH($B505,Options!$A$6:$A$85,0)),"")))</f>
        <v>0</v>
      </c>
      <c r="W505" s="26" t="n">
        <f aca="false">IF(B505="",0,IF(N505&gt;=4,S505,(H505+I505+J505+K505)/(4-N505)))</f>
        <v>0</v>
      </c>
    </row>
  </sheetData>
  <sheetProtection sheet="true" formatColumns="false" formatRows="false" sort="false" autoFilter="false"/>
  <dataValidations count="1">
    <dataValidation allowBlank="true" errorStyle="stop" operator="between" showDropDown="false" showErrorMessage="false" showInputMessage="false" sqref="D6:D505" type="list">
      <formula1>"Y"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6"/>
    <col collapsed="false" customWidth="true" hidden="false" outlineLevel="0" max="4" min="3" style="0" width="11"/>
    <col collapsed="false" customWidth="true" hidden="false" outlineLevel="0" max="28" min="5" style="0" width="13"/>
    <col collapsed="false" customWidth="true" hidden="false" outlineLevel="0" max="29" min="29" style="0" width="16"/>
    <col collapsed="false" customWidth="true" hidden="false" outlineLevel="0" max="30" min="30" style="0" width="30"/>
    <col collapsed="false" customWidth="true" hidden="false" outlineLevel="0" max="31" min="31" style="0" width="44"/>
    <col collapsed="false" customWidth="true" hidden="false" outlineLevel="0" max="32" min="32" style="0" width="22"/>
    <col collapsed="false" customWidth="true" hidden="false" outlineLevel="0" max="38" min="33" style="0" width="13"/>
    <col collapsed="false" customWidth="true" hidden="false" outlineLevel="0" max="39" min="39" style="0" width="44"/>
    <col collapsed="false" customWidth="true" hidden="false" outlineLevel="0" max="43" min="40" style="0" width="13"/>
    <col collapsed="false" customWidth="true" hidden="true" outlineLevel="0" max="46" min="44" style="0" width="13"/>
    <col collapsed="false" customWidth="true" hidden="false" outlineLevel="0" max="52" min="47" style="0" width="13"/>
  </cols>
  <sheetData>
    <row r="1" customFormat="false" ht="17.35" hidden="false" customHeight="false" outlineLevel="0" collapsed="false">
      <c r="A1" s="1" t="s">
        <v>702</v>
      </c>
    </row>
    <row r="2" customFormat="false" ht="15" hidden="false" customHeight="false" outlineLevel="0" collapsed="false">
      <c r="A2" s="2" t="s">
        <v>703</v>
      </c>
    </row>
    <row r="4" customFormat="false" ht="15" hidden="false" customHeight="false" outlineLevel="0" collapsed="false">
      <c r="AR4" s="8" t="s">
        <v>704</v>
      </c>
      <c r="AS4" s="8" t="s">
        <v>704</v>
      </c>
      <c r="AT4" s="8" t="s">
        <v>704</v>
      </c>
    </row>
    <row r="5" customFormat="false" ht="60" hidden="false" customHeight="true" outlineLevel="0" collapsed="false">
      <c r="A5" s="15" t="s">
        <v>150</v>
      </c>
      <c r="B5" s="15" t="s">
        <v>705</v>
      </c>
      <c r="C5" s="15" t="s">
        <v>154</v>
      </c>
      <c r="D5" s="15" t="s">
        <v>157</v>
      </c>
      <c r="E5" s="15" t="s">
        <v>706</v>
      </c>
      <c r="F5" s="15" t="s">
        <v>707</v>
      </c>
      <c r="G5" s="15" t="s">
        <v>708</v>
      </c>
      <c r="H5" s="15" t="s">
        <v>709</v>
      </c>
      <c r="I5" s="15" t="s">
        <v>710</v>
      </c>
      <c r="J5" s="15" t="s">
        <v>711</v>
      </c>
      <c r="K5" s="15" t="s">
        <v>712</v>
      </c>
      <c r="L5" s="15" t="s">
        <v>713</v>
      </c>
      <c r="M5" s="15" t="s">
        <v>324</v>
      </c>
      <c r="N5" s="15" t="s">
        <v>714</v>
      </c>
      <c r="O5" s="15" t="s">
        <v>715</v>
      </c>
      <c r="P5" s="15" t="s">
        <v>716</v>
      </c>
      <c r="Q5" s="15" t="s">
        <v>717</v>
      </c>
      <c r="R5" s="15" t="s">
        <v>39</v>
      </c>
      <c r="S5" s="15" t="s">
        <v>718</v>
      </c>
      <c r="T5" s="15" t="s">
        <v>161</v>
      </c>
      <c r="U5" s="15" t="s">
        <v>719</v>
      </c>
      <c r="V5" s="15" t="s">
        <v>720</v>
      </c>
      <c r="W5" s="15" t="s">
        <v>721</v>
      </c>
      <c r="X5" s="15" t="s">
        <v>722</v>
      </c>
      <c r="Y5" s="15" t="s">
        <v>723</v>
      </c>
      <c r="Z5" s="15" t="s">
        <v>724</v>
      </c>
      <c r="AA5" s="15" t="s">
        <v>725</v>
      </c>
      <c r="AB5" s="15" t="s">
        <v>726</v>
      </c>
      <c r="AC5" s="15" t="s">
        <v>727</v>
      </c>
      <c r="AD5" s="15" t="s">
        <v>728</v>
      </c>
      <c r="AE5" s="15" t="s">
        <v>729</v>
      </c>
      <c r="AF5" s="15" t="s">
        <v>53</v>
      </c>
      <c r="AG5" s="15" t="s">
        <v>328</v>
      </c>
      <c r="AH5" s="15" t="s">
        <v>730</v>
      </c>
      <c r="AI5" s="15" t="s">
        <v>731</v>
      </c>
      <c r="AJ5" s="15" t="s">
        <v>732</v>
      </c>
      <c r="AK5" s="15" t="s">
        <v>733</v>
      </c>
      <c r="AL5" s="15" t="s">
        <v>52</v>
      </c>
      <c r="AM5" s="15" t="s">
        <v>734</v>
      </c>
      <c r="AN5" s="15" t="s">
        <v>735</v>
      </c>
      <c r="AO5" s="15" t="s">
        <v>153</v>
      </c>
      <c r="AP5" s="15" t="s">
        <v>155</v>
      </c>
      <c r="AQ5" s="15" t="s">
        <v>736</v>
      </c>
      <c r="AR5" s="15" t="s">
        <v>737</v>
      </c>
      <c r="AS5" s="15" t="s">
        <v>738</v>
      </c>
      <c r="AT5" s="15" t="s">
        <v>739</v>
      </c>
      <c r="AU5" s="15" t="s">
        <v>329</v>
      </c>
      <c r="AV5" s="15" t="s">
        <v>740</v>
      </c>
      <c r="AW5" s="15" t="s">
        <v>741</v>
      </c>
      <c r="AX5" s="15" t="s">
        <v>742</v>
      </c>
      <c r="AY5" s="15" t="s">
        <v>743</v>
      </c>
      <c r="AZ5" s="15" t="s">
        <v>744</v>
      </c>
    </row>
    <row r="6" customFormat="false" ht="15" hidden="false" customHeight="false" outlineLevel="0" collapsed="false">
      <c r="A6" s="9" t="str">
        <f aca="false">IF(Options!A6="","",Options!A6)</f>
        <v>OPT001</v>
      </c>
      <c r="B6" s="9" t="str">
        <f aca="false">IF(A6="","",Options!B6&amp;" "&amp;Options!C6)</f>
        <v>Harrington jacket Navy</v>
      </c>
      <c r="C6" s="9" t="str">
        <f aca="false">IF(A6="","",Options!E6)</f>
        <v>Outerwear</v>
      </c>
      <c r="D6" s="9" t="str">
        <f aca="false">IF(A6="","",Options!H6)</f>
        <v>End of life</v>
      </c>
      <c r="E6" s="12" t="n">
        <f aca="false">SUMIFS('SKU Data'!$E$6:$E$505,'SKU Data'!$B$6:$B$505,$A6)</f>
        <v>692</v>
      </c>
      <c r="F6" s="12" t="n">
        <f aca="false">SUMIFS('SKU Data'!$F$6:$F$505,'SKU Data'!$B$6:$B$505,$A6)</f>
        <v>0</v>
      </c>
      <c r="G6" s="12" t="n">
        <f aca="false">SUMIFS('SKU Data'!$G$6:$G$505,'SKU Data'!$B$6:$B$505,$A6)</f>
        <v>444</v>
      </c>
      <c r="H6" s="12" t="n">
        <f aca="false">N(Options!M6)</f>
        <v>0</v>
      </c>
      <c r="I6" s="12" t="n">
        <f aca="false">SUMIFS('SKU Data'!$H$6:$H$505,'SKU Data'!$B$6:$B$505,$A6)</f>
        <v>5</v>
      </c>
      <c r="J6" s="12" t="n">
        <f aca="false">SUMIFS('SKU Data'!$I$6:$I$505,'SKU Data'!$B$6:$B$505,$A6)</f>
        <v>6</v>
      </c>
      <c r="K6" s="12" t="n">
        <f aca="false">SUMIFS('SKU Data'!$J$6:$J$505,'SKU Data'!$B$6:$B$505,$A6)</f>
        <v>5</v>
      </c>
      <c r="L6" s="12" t="n">
        <f aca="false">SUMIFS('SKU Data'!$K$6:$K$505,'SKU Data'!$B$6:$B$505,$A6)</f>
        <v>5</v>
      </c>
      <c r="M6" s="25" t="n">
        <f aca="false">L6*Settings!$B$10+K6*Settings!$B$11+J6*Settings!$B$12+I6*Settings!$B$13</f>
        <v>5.2</v>
      </c>
      <c r="N6" s="25" t="n">
        <f aca="false">M6*Settings!$B$15</f>
        <v>4.68</v>
      </c>
      <c r="O6" s="12" t="n">
        <f aca="false">SUMIFS('SKU Data'!$L$6:$L$505,'SKU Data'!$B$6:$B$505,$A6)</f>
        <v>248</v>
      </c>
      <c r="P6" s="12" t="n">
        <f aca="false">SUMIFS('SKU Data'!$M$6:$M$505,'SKU Data'!$B$6:$B$505,$A6)</f>
        <v>148</v>
      </c>
      <c r="Q6" s="21" t="n">
        <f aca="false">IFERROR(O6/(E6-F6),0)</f>
        <v>0.358381502890173</v>
      </c>
      <c r="R6" s="21" t="n">
        <f aca="false">IFERROR(P6/(E6-F6),0)</f>
        <v>0.213872832369942</v>
      </c>
      <c r="S6" s="26" t="n">
        <f aca="false">IF(N6&lt;=0,IF(G6&gt;0,999,0),G6/N6)</f>
        <v>94.8717948717949</v>
      </c>
      <c r="T6" s="25" t="n">
        <f aca="false">IF(N(Options!L6)&gt;0,Options!L6,Settings!$B$20)</f>
        <v>8</v>
      </c>
      <c r="U6" s="9" t="n">
        <f aca="false">COUNTIFS('SKU Data'!$B$6:$B$505,$A6,'SKU Data'!$D$6:$D$505,"Y")</f>
        <v>3</v>
      </c>
      <c r="V6" s="9" t="n">
        <f aca="false">COUNTIFS('SKU Data'!$B$6:$B$505,$A6,'SKU Data'!$D$6:$D$505,"Y",'SKU Data'!$G$6:$G$505,"&lt;=0")</f>
        <v>0</v>
      </c>
      <c r="W6" s="28" t="str">
        <f aca="false">IF(A6="","",IF(AND(V6&gt;0,G6&gt;0),"Y",""))</f>
        <v/>
      </c>
      <c r="X6" s="9" t="str">
        <f aca="false">IF(A6="","",IF(AND(G6&gt;0,OR(Options!P6="N",Options!Q6="N")),"Y",""))</f>
        <v/>
      </c>
      <c r="Y6" s="9" t="n">
        <f aca="false">IF(AND(A6&lt;&gt;"",U6&gt;0,V6=0,G6&gt;0,Options!P6&lt;&gt;"N",Options!Q6&lt;&gt;"N"),1,0)</f>
        <v>1</v>
      </c>
      <c r="Z6" s="29" t="n">
        <f aca="false">IFERROR((K6+L6)/(I6+J6)-1,0)</f>
        <v>-0.0909090909090909</v>
      </c>
      <c r="AA6" s="9" t="str">
        <f aca="false">IF(A6="","",IF(Q6&gt;=Settings!$B$17,"High","Low"))</f>
        <v>Low</v>
      </c>
      <c r="AB6" s="9" t="str">
        <f aca="false">IF(A6="","",IF(S6&lt;IF(D6="End of life",Settings!$B$9,IF(D6="Core",T6,MIN(T6,Settings!$B$9))),"Low",IF(S6&gt;IF(D6="Core",Settings!$B$19,Settings!$B$9+Settings!$B$18),"High","Balanced")))</f>
        <v>High</v>
      </c>
      <c r="AC6" s="28" t="str">
        <f aca="false">IF(A6="","",IF(AW6="Y","Held for a campaign",IF(AA6="High",IF(AB6="Low","Selling and short",IF(AB6="High","Selling, heavy","Selling, covered")),IF(AB6="Low","Slow and short",IF(AB6="High","Slow and heavy","Slow, covered")))))</f>
        <v>Slow and heavy</v>
      </c>
      <c r="AD6" s="9" t="str">
        <f aca="false">IF(A6="","",TRIM(IF(W6="Y","Broken curve. ","")&amp;IF(X6="Y","Hidden from customers. ","")&amp;IF(Options!O6="Y","Promoted. ","")&amp;IF(Options!I6="Y","Range job. ","")&amp;IF(D6="End of life","End of life. ","")&amp;IF(H6&gt;0,"Order due in "&amp;Options!N6&amp;" weeks. ","")&amp;IF(AW6="Y","Held for "&amp;Options!T6&amp;", starts in "&amp;Options!U6&amp;" weeks. ","")&amp;IF(AX6&gt;0,"Covering for "&amp;AX6&amp;" sold-out line(s). ","")))</f>
        <v>End of life.</v>
      </c>
      <c r="AE6" s="9" t="str">
        <f aca="false">IF(A6="","",IF(AW6="Y",IF(AND(N(Options!V6)&gt;0,G6+H6&gt;N(Options!V6)*1.1),Settings!$A$48,Settings!$A$47),IF(X6="Y",Settings!$A$27,IF(AND(W6="Y",D6&lt;&gt;"End of life",AA6="High"),IF(H6&gt;0,Settings!$A$28,Settings!$A$29),IF(AND(W6="Y",D6="End of life"),Settings!$A$30,IF(AC6="Selling and short",IF(D6="End of life",Settings!$A$31,IF(Options!O6="Y",Settings!$A$32,IF(AX6&gt;0,Settings!$A$33,IF(H6&gt;0,IF(N(Options!N6)&lt;=S6,Settings!$A$34,Settings!$A$35),IF(AND(D6&lt;&gt;"Core",T6&gt;=Settings!$B$9),Settings!$A$36,Settings!$A$37))))),IF(AC6="Selling, heavy",IF(D6="Core",Settings!$A$38,Settings!$A$39),IF(AC6="Selling, covered",Settings!$A$40,IF(AC6="Slow and heavy",IF(Options!I6="Y",Settings!$A$41,IF(D6="End of life",Settings!$A$42,Settings!$A$43)),IF(AC6="Slow and short",IF(W6="Y",Settings!$A$44,Settings!$A$45),Settings!$A$46))))))))))</f>
        <v>Exit: mark down to clear</v>
      </c>
      <c r="AF6" s="9" t="str">
        <f aca="false">IF(A6="","",IFERROR(VLOOKUP(AM6,Settings!$A$27:$B$48,2,0),"Assign an owner"))</f>
        <v>Trading Manager</v>
      </c>
      <c r="AG6" s="14" t="n">
        <f aca="false">SUMIFS('SKU Data'!$V$6:$V$505,'SKU Data'!$B$6:$B$505,$A6)</f>
        <v>37118.4</v>
      </c>
      <c r="AH6" s="12" t="n">
        <f aca="false">IF(A6="",0,IF(AW6="Y",IF(N(Options!V6)&gt;0,MAX(0,G6+H6-N(Options!V6)),0),MAX(0,G6+H6-N6*IF(D6="Core",Settings!$B$19,Settings!$B$9))))</f>
        <v>425.28</v>
      </c>
      <c r="AI6" s="14" t="n">
        <f aca="false">IF(OR(A6="",D6="Core"),0,AH6*N(Options!J6)*Settings!$B$21)</f>
        <v>37424.64</v>
      </c>
      <c r="AJ6" s="14" t="n">
        <f aca="false">AH6*N(Options!K6)</f>
        <v>35553.408</v>
      </c>
      <c r="AK6" s="27" t="n">
        <f aca="false">AZ6*(1-AY6)</f>
        <v>0</v>
      </c>
      <c r="AL6" s="27" t="n">
        <f aca="false">AI6+AK6</f>
        <v>37424.64</v>
      </c>
      <c r="AM6" s="9" t="str">
        <f aca="false">IF(A6="","",IF(Options!W6&lt;&gt;"",Options!W6,AE6))</f>
        <v>Exit: mark down to clear</v>
      </c>
      <c r="AN6" s="28" t="n">
        <f aca="false">IF(A6="","",COUNTIF($AR$6:$AR$85,"&gt;"&amp;AR6)+1)</f>
        <v>4</v>
      </c>
      <c r="AO6" s="9" t="str">
        <f aca="false">IF(A6="","",Options!D6)</f>
        <v>Jackets</v>
      </c>
      <c r="AP6" s="9" t="str">
        <f aca="false">IF(A6="","",Options!F6)</f>
        <v>Own brand</v>
      </c>
      <c r="AQ6" s="9" t="n">
        <f aca="false">IF(AND(A6&lt;&gt;"",AW6&lt;&gt;"Y",M6&gt;0,COUNTIF($M$6:$M$85,"&gt;"&amp;M6)&lt;Settings!$B$22),1,0)</f>
        <v>0</v>
      </c>
      <c r="AR6" s="28" t="n">
        <f aca="false">IF(A6="",-1,AL6+ROW()/1000000000)</f>
        <v>37424.640000006</v>
      </c>
      <c r="AS6" s="28" t="n">
        <f aca="false">IF(A6="",-1,AK6+ROW()/1000000000)</f>
        <v>6E-009</v>
      </c>
      <c r="AT6" s="28" t="n">
        <f aca="false">IF(A6="",-1,AI6+ROW()/1000000000)</f>
        <v>37424.640000006</v>
      </c>
      <c r="AU6" s="25" t="n">
        <f aca="false">SUMIFS('SKU Data'!$W$6:$W$505,'SKU Data'!$B$6:$B$505,$A6)</f>
        <v>5.25</v>
      </c>
      <c r="AV6" s="28" t="n">
        <f aca="false">IF(A6="","",COUNTIFS($C$6:$C$85,C6,$M$6:$M$85,"&gt;"&amp;M6)+1)</f>
        <v>13</v>
      </c>
      <c r="AW6" s="9" t="str">
        <f aca="false">IF(A6="","",IF(AND(Options!T6&lt;&gt;"",N(Options!U6)&gt;0),"Y",""))</f>
        <v/>
      </c>
      <c r="AX6" s="9" t="n">
        <f aca="false">IF(A6="",0,COUNTIFS(Options!$R$6:$R$85,$A6,$V$6:$V$85,"&gt;0"))</f>
        <v>0</v>
      </c>
      <c r="AY6" s="13" t="n">
        <f aca="false">IF(Options!S6&lt;&gt;"",Options!S6,Settings!$B$23)</f>
        <v>0.3</v>
      </c>
      <c r="AZ6" s="14" t="n">
        <f aca="false">SUMIFS('SKU Data'!$U$6:$U$505,'SKU Data'!$B$6:$B$505,$A6)</f>
        <v>0</v>
      </c>
    </row>
    <row r="7" customFormat="false" ht="15" hidden="false" customHeight="false" outlineLevel="0" collapsed="false">
      <c r="A7" s="9" t="str">
        <f aca="false">IF(Options!A7="","",Options!A7)</f>
        <v>OPT002</v>
      </c>
      <c r="B7" s="9" t="str">
        <f aca="false">IF(A7="","",Options!B7&amp;" "&amp;Options!C7)</f>
        <v>Duffle coat Olive</v>
      </c>
      <c r="C7" s="9" t="str">
        <f aca="false">IF(A7="","",Options!E7)</f>
        <v>Outerwear</v>
      </c>
      <c r="D7" s="9" t="str">
        <f aca="false">IF(A7="","",Options!H7)</f>
        <v>End of life</v>
      </c>
      <c r="E7" s="12" t="n">
        <f aca="false">SUMIFS('SKU Data'!$E$6:$E$505,'SKU Data'!$B$6:$B$505,$A7)</f>
        <v>935</v>
      </c>
      <c r="F7" s="12" t="n">
        <f aca="false">SUMIFS('SKU Data'!$F$6:$F$505,'SKU Data'!$B$6:$B$505,$A7)</f>
        <v>0</v>
      </c>
      <c r="G7" s="12" t="n">
        <f aca="false">SUMIFS('SKU Data'!$G$6:$G$505,'SKU Data'!$B$6:$B$505,$A7)</f>
        <v>516</v>
      </c>
      <c r="H7" s="12" t="n">
        <f aca="false">N(Options!M7)</f>
        <v>0</v>
      </c>
      <c r="I7" s="12" t="n">
        <f aca="false">SUMIFS('SKU Data'!$H$6:$H$505,'SKU Data'!$B$6:$B$505,$A7)</f>
        <v>10</v>
      </c>
      <c r="J7" s="12" t="n">
        <f aca="false">SUMIFS('SKU Data'!$I$6:$I$505,'SKU Data'!$B$6:$B$505,$A7)</f>
        <v>11</v>
      </c>
      <c r="K7" s="12" t="n">
        <f aca="false">SUMIFS('SKU Data'!$J$6:$J$505,'SKU Data'!$B$6:$B$505,$A7)</f>
        <v>10</v>
      </c>
      <c r="L7" s="12" t="n">
        <f aca="false">SUMIFS('SKU Data'!$K$6:$K$505,'SKU Data'!$B$6:$B$505,$A7)</f>
        <v>12</v>
      </c>
      <c r="M7" s="25" t="n">
        <f aca="false">L7*Settings!$B$10+K7*Settings!$B$11+J7*Settings!$B$12+I7*Settings!$B$13</f>
        <v>11</v>
      </c>
      <c r="N7" s="25" t="n">
        <f aca="false">M7*Settings!$B$15</f>
        <v>9.9</v>
      </c>
      <c r="O7" s="12" t="n">
        <f aca="false">SUMIFS('SKU Data'!$L$6:$L$505,'SKU Data'!$B$6:$B$505,$A7)</f>
        <v>419</v>
      </c>
      <c r="P7" s="12" t="n">
        <f aca="false">SUMIFS('SKU Data'!$M$6:$M$505,'SKU Data'!$B$6:$B$505,$A7)</f>
        <v>251</v>
      </c>
      <c r="Q7" s="21" t="n">
        <f aca="false">IFERROR(O7/(E7-F7),0)</f>
        <v>0.448128342245989</v>
      </c>
      <c r="R7" s="21" t="n">
        <f aca="false">IFERROR(P7/(E7-F7),0)</f>
        <v>0.268449197860963</v>
      </c>
      <c r="S7" s="26" t="n">
        <f aca="false">IF(N7&lt;=0,IF(G7&gt;0,999,0),G7/N7)</f>
        <v>52.1212121212121</v>
      </c>
      <c r="T7" s="25" t="n">
        <f aca="false">IF(N(Options!L7)&gt;0,Options!L7,Settings!$B$20)</f>
        <v>8</v>
      </c>
      <c r="U7" s="9" t="n">
        <f aca="false">COUNTIFS('SKU Data'!$B$6:$B$505,$A7,'SKU Data'!$D$6:$D$505,"Y")</f>
        <v>3</v>
      </c>
      <c r="V7" s="9" t="n">
        <f aca="false">COUNTIFS('SKU Data'!$B$6:$B$505,$A7,'SKU Data'!$D$6:$D$505,"Y",'SKU Data'!$G$6:$G$505,"&lt;=0")</f>
        <v>0</v>
      </c>
      <c r="W7" s="28" t="str">
        <f aca="false">IF(A7="","",IF(AND(V7&gt;0,G7&gt;0),"Y",""))</f>
        <v/>
      </c>
      <c r="X7" s="9" t="str">
        <f aca="false">IF(A7="","",IF(AND(G7&gt;0,OR(Options!P7="N",Options!Q7="N")),"Y",""))</f>
        <v/>
      </c>
      <c r="Y7" s="9" t="n">
        <f aca="false">IF(AND(A7&lt;&gt;"",U7&gt;0,V7=0,G7&gt;0,Options!P7&lt;&gt;"N",Options!Q7&lt;&gt;"N"),1,0)</f>
        <v>1</v>
      </c>
      <c r="Z7" s="29" t="n">
        <f aca="false">IFERROR((K7+L7)/(I7+J7)-1,0)</f>
        <v>0.0476190476190477</v>
      </c>
      <c r="AA7" s="9" t="str">
        <f aca="false">IF(A7="","",IF(Q7&gt;=Settings!$B$17,"High","Low"))</f>
        <v>Low</v>
      </c>
      <c r="AB7" s="9" t="str">
        <f aca="false">IF(A7="","",IF(S7&lt;IF(D7="End of life",Settings!$B$9,IF(D7="Core",T7,MIN(T7,Settings!$B$9))),"Low",IF(S7&gt;IF(D7="Core",Settings!$B$19,Settings!$B$9+Settings!$B$18),"High","Balanced")))</f>
        <v>High</v>
      </c>
      <c r="AC7" s="28" t="str">
        <f aca="false">IF(A7="","",IF(AW7="Y","Held for a campaign",IF(AA7="High",IF(AB7="Low","Selling and short",IF(AB7="High","Selling, heavy","Selling, covered")),IF(AB7="Low","Slow and short",IF(AB7="High","Slow and heavy","Slow, covered")))))</f>
        <v>Slow and heavy</v>
      </c>
      <c r="AD7" s="9" t="str">
        <f aca="false">IF(A7="","",TRIM(IF(W7="Y","Broken curve. ","")&amp;IF(X7="Y","Hidden from customers. ","")&amp;IF(Options!O7="Y","Promoted. ","")&amp;IF(Options!I7="Y","Range job. ","")&amp;IF(D7="End of life","End of life. ","")&amp;IF(H7&gt;0,"Order due in "&amp;Options!N7&amp;" weeks. ","")&amp;IF(AW7="Y","Held for "&amp;Options!T7&amp;", starts in "&amp;Options!U7&amp;" weeks. ","")&amp;IF(AX7&gt;0,"Covering for "&amp;AX7&amp;" sold-out line(s). ","")))</f>
        <v>End of life.</v>
      </c>
      <c r="AE7" s="9" t="str">
        <f aca="false">IF(A7="","",IF(AW7="Y",IF(AND(N(Options!V7)&gt;0,G7+H7&gt;N(Options!V7)*1.1),Settings!$A$48,Settings!$A$47),IF(X7="Y",Settings!$A$27,IF(AND(W7="Y",D7&lt;&gt;"End of life",AA7="High"),IF(H7&gt;0,Settings!$A$28,Settings!$A$29),IF(AND(W7="Y",D7="End of life"),Settings!$A$30,IF(AC7="Selling and short",IF(D7="End of life",Settings!$A$31,IF(Options!O7="Y",Settings!$A$32,IF(AX7&gt;0,Settings!$A$33,IF(H7&gt;0,IF(N(Options!N7)&lt;=S7,Settings!$A$34,Settings!$A$35),IF(AND(D7&lt;&gt;"Core",T7&gt;=Settings!$B$9),Settings!$A$36,Settings!$A$37))))),IF(AC7="Selling, heavy",IF(D7="Core",Settings!$A$38,Settings!$A$39),IF(AC7="Selling, covered",Settings!$A$40,IF(AC7="Slow and heavy",IF(Options!I7="Y",Settings!$A$41,IF(D7="End of life",Settings!$A$42,Settings!$A$43)),IF(AC7="Slow and short",IF(W7="Y",Settings!$A$44,Settings!$A$45),Settings!$A$46))))))))))</f>
        <v>Exit: mark down to clear</v>
      </c>
      <c r="AF7" s="9" t="str">
        <f aca="false">IF(A7="","",IFERROR(VLOOKUP(AM7,Settings!$A$27:$B$48,2,0),"Assign an owner"))</f>
        <v>Trading Manager</v>
      </c>
      <c r="AG7" s="14" t="n">
        <f aca="false">SUMIFS('SKU Data'!$V$6:$V$505,'SKU Data'!$B$6:$B$505,$A7)</f>
        <v>35294.4</v>
      </c>
      <c r="AH7" s="12" t="n">
        <f aca="false">IF(A7="",0,IF(AW7="Y",IF(N(Options!V7)&gt;0,MAX(0,G7+H7-N(Options!V7)),0),MAX(0,G7+H7-N7*IF(D7="Core",Settings!$B$19,Settings!$B$9))))</f>
        <v>476.4</v>
      </c>
      <c r="AI7" s="14" t="n">
        <f aca="false">IF(OR(A7="",D7="Core"),0,AH7*N(Options!J7)*Settings!$B$21)</f>
        <v>34300.8</v>
      </c>
      <c r="AJ7" s="14" t="n">
        <f aca="false">AH7*N(Options!K7)</f>
        <v>32585.76</v>
      </c>
      <c r="AK7" s="27" t="n">
        <f aca="false">AZ7*(1-AY7)</f>
        <v>0</v>
      </c>
      <c r="AL7" s="27" t="n">
        <f aca="false">AI7+AK7</f>
        <v>34300.8</v>
      </c>
      <c r="AM7" s="9" t="str">
        <f aca="false">IF(A7="","",IF(Options!W7&lt;&gt;"",Options!W7,AE7))</f>
        <v>Exit: mark down to clear</v>
      </c>
      <c r="AN7" s="28" t="n">
        <f aca="false">IF(A7="","",COUNTIF($AR$6:$AR$85,"&gt;"&amp;AR7)+1)</f>
        <v>5</v>
      </c>
      <c r="AO7" s="9" t="str">
        <f aca="false">IF(A7="","",Options!D7)</f>
        <v>Coats</v>
      </c>
      <c r="AP7" s="9" t="str">
        <f aca="false">IF(A7="","",Options!F7)</f>
        <v>Own brand</v>
      </c>
      <c r="AQ7" s="9" t="n">
        <f aca="false">IF(AND(A7&lt;&gt;"",AW7&lt;&gt;"Y",M7&gt;0,COUNTIF($M$6:$M$85,"&gt;"&amp;M7)&lt;Settings!$B$22),1,0)</f>
        <v>0</v>
      </c>
      <c r="AR7" s="28" t="n">
        <f aca="false">IF(A7="",-1,AL7+ROW()/1000000000)</f>
        <v>34300.800000007</v>
      </c>
      <c r="AS7" s="28" t="n">
        <f aca="false">IF(A7="",-1,AK7+ROW()/1000000000)</f>
        <v>7E-009</v>
      </c>
      <c r="AT7" s="28" t="n">
        <f aca="false">IF(A7="",-1,AI7+ROW()/1000000000)</f>
        <v>34300.800000007</v>
      </c>
      <c r="AU7" s="25" t="n">
        <f aca="false">SUMIFS('SKU Data'!$W$6:$W$505,'SKU Data'!$B$6:$B$505,$A7)</f>
        <v>10.75</v>
      </c>
      <c r="AV7" s="28" t="n">
        <f aca="false">IF(A7="","",COUNTIFS($C$6:$C$85,C7,$M$6:$M$85,"&gt;"&amp;M7)+1)</f>
        <v>10</v>
      </c>
      <c r="AW7" s="9" t="str">
        <f aca="false">IF(A7="","",IF(AND(Options!T7&lt;&gt;"",N(Options!U7)&gt;0),"Y",""))</f>
        <v/>
      </c>
      <c r="AX7" s="9" t="n">
        <f aca="false">IF(A7="",0,COUNTIFS(Options!$R$6:$R$85,$A7,$V$6:$V$85,"&gt;0"))</f>
        <v>0</v>
      </c>
      <c r="AY7" s="13" t="n">
        <f aca="false">IF(Options!S7&lt;&gt;"",Options!S7,Settings!$B$23)</f>
        <v>0.3</v>
      </c>
      <c r="AZ7" s="14" t="n">
        <f aca="false">SUMIFS('SKU Data'!$U$6:$U$505,'SKU Data'!$B$6:$B$505,$A7)</f>
        <v>0</v>
      </c>
    </row>
    <row r="8" customFormat="false" ht="15" hidden="false" customHeight="false" outlineLevel="0" collapsed="false">
      <c r="A8" s="9" t="str">
        <f aca="false">IF(Options!A8="","",Options!A8)</f>
        <v>OPT003</v>
      </c>
      <c r="B8" s="9" t="str">
        <f aca="false">IF(A8="","",Options!B8&amp;" "&amp;Options!C8)</f>
        <v>Harrington jacket Stone</v>
      </c>
      <c r="C8" s="9" t="str">
        <f aca="false">IF(A8="","",Options!E8)</f>
        <v>Outerwear</v>
      </c>
      <c r="D8" s="9" t="str">
        <f aca="false">IF(A8="","",Options!H8)</f>
        <v>Seasonal</v>
      </c>
      <c r="E8" s="12" t="n">
        <f aca="false">SUMIFS('SKU Data'!$E$6:$E$505,'SKU Data'!$B$6:$B$505,$A8)</f>
        <v>892</v>
      </c>
      <c r="F8" s="12" t="n">
        <f aca="false">SUMIFS('SKU Data'!$F$6:$F$505,'SKU Data'!$B$6:$B$505,$A8)</f>
        <v>0</v>
      </c>
      <c r="G8" s="12" t="n">
        <f aca="false">SUMIFS('SKU Data'!$G$6:$G$505,'SKU Data'!$B$6:$B$505,$A8)</f>
        <v>221</v>
      </c>
      <c r="H8" s="12" t="n">
        <f aca="false">N(Options!M8)</f>
        <v>0</v>
      </c>
      <c r="I8" s="12" t="n">
        <f aca="false">SUMIFS('SKU Data'!$H$6:$H$505,'SKU Data'!$B$6:$B$505,$A8)</f>
        <v>30</v>
      </c>
      <c r="J8" s="12" t="n">
        <f aca="false">SUMIFS('SKU Data'!$I$6:$I$505,'SKU Data'!$B$6:$B$505,$A8)</f>
        <v>35</v>
      </c>
      <c r="K8" s="12" t="n">
        <f aca="false">SUMIFS('SKU Data'!$J$6:$J$505,'SKU Data'!$B$6:$B$505,$A8)</f>
        <v>38</v>
      </c>
      <c r="L8" s="12" t="n">
        <f aca="false">SUMIFS('SKU Data'!$K$6:$K$505,'SKU Data'!$B$6:$B$505,$A8)</f>
        <v>37</v>
      </c>
      <c r="M8" s="25" t="n">
        <f aca="false">L8*Settings!$B$10+K8*Settings!$B$11+J8*Settings!$B$12+I8*Settings!$B$13</f>
        <v>36.2</v>
      </c>
      <c r="N8" s="25" t="n">
        <f aca="false">M8*Settings!$B$15</f>
        <v>32.58</v>
      </c>
      <c r="O8" s="12" t="n">
        <f aca="false">SUMIFS('SKU Data'!$L$6:$L$505,'SKU Data'!$B$6:$B$505,$A8)</f>
        <v>671</v>
      </c>
      <c r="P8" s="12" t="n">
        <f aca="false">SUMIFS('SKU Data'!$M$6:$M$505,'SKU Data'!$B$6:$B$505,$A8)</f>
        <v>590</v>
      </c>
      <c r="Q8" s="21" t="n">
        <f aca="false">IFERROR(O8/(E8-F8),0)</f>
        <v>0.752242152466368</v>
      </c>
      <c r="R8" s="21" t="n">
        <f aca="false">IFERROR(P8/(E8-F8),0)</f>
        <v>0.661434977578475</v>
      </c>
      <c r="S8" s="26" t="n">
        <f aca="false">IF(N8&lt;=0,IF(G8&gt;0,999,0),G8/N8)</f>
        <v>6.78330263965623</v>
      </c>
      <c r="T8" s="25" t="n">
        <f aca="false">IF(N(Options!L8)&gt;0,Options!L8,Settings!$B$20)</f>
        <v>8</v>
      </c>
      <c r="U8" s="9" t="n">
        <f aca="false">COUNTIFS('SKU Data'!$B$6:$B$505,$A8,'SKU Data'!$D$6:$D$505,"Y")</f>
        <v>3</v>
      </c>
      <c r="V8" s="9" t="n">
        <f aca="false">COUNTIFS('SKU Data'!$B$6:$B$505,$A8,'SKU Data'!$D$6:$D$505,"Y",'SKU Data'!$G$6:$G$505,"&lt;=0")</f>
        <v>0</v>
      </c>
      <c r="W8" s="28" t="str">
        <f aca="false">IF(A8="","",IF(AND(V8&gt;0,G8&gt;0),"Y",""))</f>
        <v/>
      </c>
      <c r="X8" s="9" t="str">
        <f aca="false">IF(A8="","",IF(AND(G8&gt;0,OR(Options!P8="N",Options!Q8="N")),"Y",""))</f>
        <v/>
      </c>
      <c r="Y8" s="9" t="n">
        <f aca="false">IF(AND(A8&lt;&gt;"",U8&gt;0,V8=0,G8&gt;0,Options!P8&lt;&gt;"N",Options!Q8&lt;&gt;"N"),1,0)</f>
        <v>1</v>
      </c>
      <c r="Z8" s="29" t="n">
        <f aca="false">IFERROR((K8+L8)/(I8+J8)-1,0)</f>
        <v>0.153846153846154</v>
      </c>
      <c r="AA8" s="9" t="str">
        <f aca="false">IF(A8="","",IF(Q8&gt;=Settings!$B$17,"High","Low"))</f>
        <v>High</v>
      </c>
      <c r="AB8" s="9" t="str">
        <f aca="false">IF(A8="","",IF(S8&lt;IF(D8="End of life",Settings!$B$9,IF(D8="Core",T8,MIN(T8,Settings!$B$9))),"Low",IF(S8&gt;IF(D8="Core",Settings!$B$19,Settings!$B$9+Settings!$B$18),"High","Balanced")))</f>
        <v>Balanced</v>
      </c>
      <c r="AC8" s="28" t="str">
        <f aca="false">IF(A8="","",IF(AW8="Y","Held for a campaign",IF(AA8="High",IF(AB8="Low","Selling and short",IF(AB8="High","Selling, heavy","Selling, covered")),IF(AB8="Low","Slow and short",IF(AB8="High","Slow and heavy","Slow, covered")))))</f>
        <v>Selling, covered</v>
      </c>
      <c r="AD8" s="9" t="str">
        <f aca="false">IF(A8="","",TRIM(IF(W8="Y","Broken curve. ","")&amp;IF(X8="Y","Hidden from customers. ","")&amp;IF(Options!O8="Y","Promoted. ","")&amp;IF(Options!I8="Y","Range job. ","")&amp;IF(D8="End of life","End of life. ","")&amp;IF(H8&gt;0,"Order due in "&amp;Options!N8&amp;" weeks. ","")&amp;IF(AW8="Y","Held for "&amp;Options!T8&amp;", starts in "&amp;Options!U8&amp;" weeks. ","")&amp;IF(AX8&gt;0,"Covering for "&amp;AX8&amp;" sold-out line(s). ","")))</f>
        <v/>
      </c>
      <c r="AE8" s="9" t="str">
        <f aca="false">IF(A8="","",IF(AW8="Y",IF(AND(N(Options!V8)&gt;0,G8+H8&gt;N(Options!V8)*1.1),Settings!$A$48,Settings!$A$47),IF(X8="Y",Settings!$A$27,IF(AND(W8="Y",D8&lt;&gt;"End of life",AA8="High"),IF(H8&gt;0,Settings!$A$28,Settings!$A$29),IF(AND(W8="Y",D8="End of life"),Settings!$A$30,IF(AC8="Selling and short",IF(D8="End of life",Settings!$A$31,IF(Options!O8="Y",Settings!$A$32,IF(AX8&gt;0,Settings!$A$33,IF(H8&gt;0,IF(N(Options!N8)&lt;=S8,Settings!$A$34,Settings!$A$35),IF(AND(D8&lt;&gt;"Core",T8&gt;=Settings!$B$9),Settings!$A$36,Settings!$A$37))))),IF(AC8="Selling, heavy",IF(D8="Core",Settings!$A$38,Settings!$A$39),IF(AC8="Selling, covered",Settings!$A$40,IF(AC8="Slow and heavy",IF(Options!I8="Y",Settings!$A$41,IF(D8="End of life",Settings!$A$42,Settings!$A$43)),IF(AC8="Slow and short",IF(W8="Y",Settings!$A$44,Settings!$A$45),Settings!$A$46))))))))))</f>
        <v>Hold</v>
      </c>
      <c r="AF8" s="9" t="str">
        <f aca="false">IF(A8="","",IFERROR(VLOOKUP(AM8,Settings!$A$27:$B$48,2,0),"Assign an owner"))</f>
        <v>Merchandiser</v>
      </c>
      <c r="AG8" s="14" t="n">
        <f aca="false">SUMIFS('SKU Data'!$V$6:$V$505,'SKU Data'!$B$6:$B$505,$A8)</f>
        <v>15116.4</v>
      </c>
      <c r="AH8" s="12" t="n">
        <f aca="false">IF(A8="",0,IF(AW8="Y",IF(N(Options!V8)&gt;0,MAX(0,G8+H8-N(Options!V8)),0),MAX(0,G8+H8-N8*IF(D8="Core",Settings!$B$19,Settings!$B$9))))</f>
        <v>90.68</v>
      </c>
      <c r="AI8" s="14" t="n">
        <f aca="false">IF(OR(A8="",D8="Core"),0,AH8*N(Options!J8)*Settings!$B$21)</f>
        <v>6528.96</v>
      </c>
      <c r="AJ8" s="14" t="n">
        <f aca="false">AH8*N(Options!K8)</f>
        <v>6202.512</v>
      </c>
      <c r="AK8" s="27" t="n">
        <f aca="false">AZ8*(1-AY8)</f>
        <v>0</v>
      </c>
      <c r="AL8" s="27" t="n">
        <f aca="false">AI8+AK8</f>
        <v>6528.96</v>
      </c>
      <c r="AM8" s="9" t="str">
        <f aca="false">IF(A8="","",IF(Options!W8&lt;&gt;"",Options!W8,AE8))</f>
        <v>Hold</v>
      </c>
      <c r="AN8" s="28" t="n">
        <f aca="false">IF(A8="","",COUNTIF($AR$6:$AR$85,"&gt;"&amp;AR8)+1)</f>
        <v>18</v>
      </c>
      <c r="AO8" s="9" t="str">
        <f aca="false">IF(A8="","",Options!D8)</f>
        <v>Jackets</v>
      </c>
      <c r="AP8" s="9" t="str">
        <f aca="false">IF(A8="","",Options!F8)</f>
        <v>Own brand</v>
      </c>
      <c r="AQ8" s="9" t="n">
        <f aca="false">IF(AND(A8&lt;&gt;"",AW8&lt;&gt;"Y",M8&gt;0,COUNTIF($M$6:$M$85,"&gt;"&amp;M8)&lt;Settings!$B$22),1,0)</f>
        <v>1</v>
      </c>
      <c r="AR8" s="28" t="n">
        <f aca="false">IF(A8="",-1,AL8+ROW()/1000000000)</f>
        <v>6528.960000008</v>
      </c>
      <c r="AS8" s="28" t="n">
        <f aca="false">IF(A8="",-1,AK8+ROW()/1000000000)</f>
        <v>8E-009</v>
      </c>
      <c r="AT8" s="28" t="n">
        <f aca="false">IF(A8="",-1,AI8+ROW()/1000000000)</f>
        <v>6528.960000008</v>
      </c>
      <c r="AU8" s="25" t="n">
        <f aca="false">SUMIFS('SKU Data'!$W$6:$W$505,'SKU Data'!$B$6:$B$505,$A8)</f>
        <v>35</v>
      </c>
      <c r="AV8" s="28" t="n">
        <f aca="false">IF(A8="","",COUNTIFS($C$6:$C$85,C8,$M$6:$M$85,"&gt;"&amp;M8)+1)</f>
        <v>1</v>
      </c>
      <c r="AW8" s="9" t="str">
        <f aca="false">IF(A8="","",IF(AND(Options!T8&lt;&gt;"",N(Options!U8)&gt;0),"Y",""))</f>
        <v/>
      </c>
      <c r="AX8" s="9" t="n">
        <f aca="false">IF(A8="",0,COUNTIFS(Options!$R$6:$R$85,$A8,$V$6:$V$85,"&gt;0"))</f>
        <v>0</v>
      </c>
      <c r="AY8" s="13" t="n">
        <f aca="false">IF(Options!S8&lt;&gt;"",Options!S8,Settings!$B$23)</f>
        <v>0.3</v>
      </c>
      <c r="AZ8" s="14" t="n">
        <f aca="false">SUMIFS('SKU Data'!$U$6:$U$505,'SKU Data'!$B$6:$B$505,$A8)</f>
        <v>0</v>
      </c>
    </row>
    <row r="9" customFormat="false" ht="15" hidden="false" customHeight="false" outlineLevel="0" collapsed="false">
      <c r="A9" s="9" t="str">
        <f aca="false">IF(Options!A9="","",Options!A9)</f>
        <v>OPT004</v>
      </c>
      <c r="B9" s="9" t="str">
        <f aca="false">IF(A9="","",Options!B9&amp;" "&amp;Options!C9)</f>
        <v>Car coat Charcoal</v>
      </c>
      <c r="C9" s="9" t="str">
        <f aca="false">IF(A9="","",Options!E9)</f>
        <v>Outerwear</v>
      </c>
      <c r="D9" s="9" t="str">
        <f aca="false">IF(A9="","",Options!H9)</f>
        <v>Seasonal</v>
      </c>
      <c r="E9" s="12" t="n">
        <f aca="false">SUMIFS('SKU Data'!$E$6:$E$505,'SKU Data'!$B$6:$B$505,$A9)</f>
        <v>774</v>
      </c>
      <c r="F9" s="12" t="n">
        <f aca="false">SUMIFS('SKU Data'!$F$6:$F$505,'SKU Data'!$B$6:$B$505,$A9)</f>
        <v>0</v>
      </c>
      <c r="G9" s="12" t="n">
        <f aca="false">SUMIFS('SKU Data'!$G$6:$G$505,'SKU Data'!$B$6:$B$505,$A9)</f>
        <v>453</v>
      </c>
      <c r="H9" s="12" t="n">
        <f aca="false">N(Options!M9)</f>
        <v>0</v>
      </c>
      <c r="I9" s="12" t="n">
        <f aca="false">SUMIFS('SKU Data'!$H$6:$H$505,'SKU Data'!$B$6:$B$505,$A9)</f>
        <v>2</v>
      </c>
      <c r="J9" s="12" t="n">
        <f aca="false">SUMIFS('SKU Data'!$I$6:$I$505,'SKU Data'!$B$6:$B$505,$A9)</f>
        <v>3</v>
      </c>
      <c r="K9" s="12" t="n">
        <f aca="false">SUMIFS('SKU Data'!$J$6:$J$505,'SKU Data'!$B$6:$B$505,$A9)</f>
        <v>4</v>
      </c>
      <c r="L9" s="12" t="n">
        <f aca="false">SUMIFS('SKU Data'!$K$6:$K$505,'SKU Data'!$B$6:$B$505,$A9)</f>
        <v>4</v>
      </c>
      <c r="M9" s="25" t="n">
        <f aca="false">L9*Settings!$B$10+K9*Settings!$B$11+J9*Settings!$B$12+I9*Settings!$B$13</f>
        <v>3.6</v>
      </c>
      <c r="N9" s="25" t="n">
        <f aca="false">M9*Settings!$B$15</f>
        <v>3.24</v>
      </c>
      <c r="O9" s="12" t="n">
        <f aca="false">SUMIFS('SKU Data'!$L$6:$L$505,'SKU Data'!$B$6:$B$505,$A9)</f>
        <v>321</v>
      </c>
      <c r="P9" s="12" t="n">
        <f aca="false">SUMIFS('SKU Data'!$M$6:$M$505,'SKU Data'!$B$6:$B$505,$A9)</f>
        <v>193</v>
      </c>
      <c r="Q9" s="21" t="n">
        <f aca="false">IFERROR(O9/(E9-F9),0)</f>
        <v>0.414728682170543</v>
      </c>
      <c r="R9" s="21" t="n">
        <f aca="false">IFERROR(P9/(E9-F9),0)</f>
        <v>0.249354005167959</v>
      </c>
      <c r="S9" s="26" t="n">
        <f aca="false">IF(N9&lt;=0,IF(G9&gt;0,999,0),G9/N9)</f>
        <v>139.814814814815</v>
      </c>
      <c r="T9" s="25" t="n">
        <f aca="false">IF(N(Options!L9)&gt;0,Options!L9,Settings!$B$20)</f>
        <v>8</v>
      </c>
      <c r="U9" s="9" t="n">
        <f aca="false">COUNTIFS('SKU Data'!$B$6:$B$505,$A9,'SKU Data'!$D$6:$D$505,"Y")</f>
        <v>3</v>
      </c>
      <c r="V9" s="9" t="n">
        <f aca="false">COUNTIFS('SKU Data'!$B$6:$B$505,$A9,'SKU Data'!$D$6:$D$505,"Y",'SKU Data'!$G$6:$G$505,"&lt;=0")</f>
        <v>0</v>
      </c>
      <c r="W9" s="28" t="str">
        <f aca="false">IF(A9="","",IF(AND(V9&gt;0,G9&gt;0),"Y",""))</f>
        <v/>
      </c>
      <c r="X9" s="9" t="str">
        <f aca="false">IF(A9="","",IF(AND(G9&gt;0,OR(Options!P9="N",Options!Q9="N")),"Y",""))</f>
        <v>Y</v>
      </c>
      <c r="Y9" s="9" t="n">
        <f aca="false">IF(AND(A9&lt;&gt;"",U9&gt;0,V9=0,G9&gt;0,Options!P9&lt;&gt;"N",Options!Q9&lt;&gt;"N"),1,0)</f>
        <v>0</v>
      </c>
      <c r="Z9" s="29" t="n">
        <f aca="false">IFERROR((K9+L9)/(I9+J9)-1,0)</f>
        <v>0.6</v>
      </c>
      <c r="AA9" s="9" t="str">
        <f aca="false">IF(A9="","",IF(Q9&gt;=Settings!$B$17,"High","Low"))</f>
        <v>Low</v>
      </c>
      <c r="AB9" s="9" t="str">
        <f aca="false">IF(A9="","",IF(S9&lt;IF(D9="End of life",Settings!$B$9,IF(D9="Core",T9,MIN(T9,Settings!$B$9))),"Low",IF(S9&gt;IF(D9="Core",Settings!$B$19,Settings!$B$9+Settings!$B$18),"High","Balanced")))</f>
        <v>High</v>
      </c>
      <c r="AC9" s="28" t="str">
        <f aca="false">IF(A9="","",IF(AW9="Y","Held for a campaign",IF(AA9="High",IF(AB9="Low","Selling and short",IF(AB9="High","Selling, heavy","Selling, covered")),IF(AB9="Low","Slow and short",IF(AB9="High","Slow and heavy","Slow, covered")))))</f>
        <v>Slow and heavy</v>
      </c>
      <c r="AD9" s="9" t="str">
        <f aca="false">IF(A9="","",TRIM(IF(W9="Y","Broken curve. ","")&amp;IF(X9="Y","Hidden from customers. ","")&amp;IF(Options!O9="Y","Promoted. ","")&amp;IF(Options!I9="Y","Range job. ","")&amp;IF(D9="End of life","End of life. ","")&amp;IF(H9&gt;0,"Order due in "&amp;Options!N9&amp;" weeks. ","")&amp;IF(AW9="Y","Held for "&amp;Options!T9&amp;", starts in "&amp;Options!U9&amp;" weeks. ","")&amp;IF(AX9&gt;0,"Covering for "&amp;AX9&amp;" sold-out line(s). ","")))</f>
        <v>Hidden from customers.</v>
      </c>
      <c r="AE9" s="9" t="str">
        <f aca="false">IF(A9="","",IF(AW9="Y",IF(AND(N(Options!V9)&gt;0,G9+H9&gt;N(Options!V9)*1.1),Settings!$A$48,Settings!$A$47),IF(X9="Y",Settings!$A$27,IF(AND(W9="Y",D9&lt;&gt;"End of life",AA9="High"),IF(H9&gt;0,Settings!$A$28,Settings!$A$29),IF(AND(W9="Y",D9="End of life"),Settings!$A$30,IF(AC9="Selling and short",IF(D9="End of life",Settings!$A$31,IF(Options!O9="Y",Settings!$A$32,IF(AX9&gt;0,Settings!$A$33,IF(H9&gt;0,IF(N(Options!N9)&lt;=S9,Settings!$A$34,Settings!$A$35),IF(AND(D9&lt;&gt;"Core",T9&gt;=Settings!$B$9),Settings!$A$36,Settings!$A$37))))),IF(AC9="Selling, heavy",IF(D9="Core",Settings!$A$38,Settings!$A$39),IF(AC9="Selling, covered",Settings!$A$40,IF(AC9="Slow and heavy",IF(Options!I9="Y",Settings!$A$41,IF(D9="End of life",Settings!$A$42,Settings!$A$43)),IF(AC9="Slow and short",IF(W9="Y",Settings!$A$44,Settings!$A$45),Settings!$A$46))))))))))</f>
        <v>Fix findability: it is in stock but customers cannot find it</v>
      </c>
      <c r="AF9" s="9" t="str">
        <f aca="false">IF(A9="","",IFERROR(VLOOKUP(AM9,Settings!$A$27:$B$48,2,0),"Assign an owner"))</f>
        <v>Ecommerce Trading Manager</v>
      </c>
      <c r="AG9" s="14" t="n">
        <f aca="false">SUMIFS('SKU Data'!$V$6:$V$505,'SKU Data'!$B$6:$B$505,$A9)</f>
        <v>30985.2</v>
      </c>
      <c r="AH9" s="12" t="n">
        <f aca="false">IF(A9="",0,IF(AW9="Y",IF(N(Options!V9)&gt;0,MAX(0,G9+H9-N(Options!V9)),0),MAX(0,G9+H9-N9*IF(D9="Core",Settings!$B$19,Settings!$B$9))))</f>
        <v>440.04</v>
      </c>
      <c r="AI9" s="14" t="n">
        <f aca="false">IF(OR(A9="",D9="Core"),0,AH9*N(Options!J9)*Settings!$B$21)</f>
        <v>31682.88</v>
      </c>
      <c r="AJ9" s="14" t="n">
        <f aca="false">AH9*N(Options!K9)</f>
        <v>30098.736</v>
      </c>
      <c r="AK9" s="27" t="n">
        <f aca="false">AZ9*(1-AY9)</f>
        <v>0</v>
      </c>
      <c r="AL9" s="27" t="n">
        <f aca="false">AI9+AK9</f>
        <v>31682.88</v>
      </c>
      <c r="AM9" s="9" t="str">
        <f aca="false">IF(A9="","",IF(Options!W9&lt;&gt;"",Options!W9,AE9))</f>
        <v>Fix findability: it is in stock but customers cannot find it</v>
      </c>
      <c r="AN9" s="28" t="n">
        <f aca="false">IF(A9="","",COUNTIF($AR$6:$AR$85,"&gt;"&amp;AR9)+1)</f>
        <v>6</v>
      </c>
      <c r="AO9" s="9" t="str">
        <f aca="false">IF(A9="","",Options!D9)</f>
        <v>Coats</v>
      </c>
      <c r="AP9" s="9" t="str">
        <f aca="false">IF(A9="","",Options!F9)</f>
        <v>Own brand</v>
      </c>
      <c r="AQ9" s="9" t="n">
        <f aca="false">IF(AND(A9&lt;&gt;"",AW9&lt;&gt;"Y",M9&gt;0,COUNTIF($M$6:$M$85,"&gt;"&amp;M9)&lt;Settings!$B$22),1,0)</f>
        <v>0</v>
      </c>
      <c r="AR9" s="28" t="n">
        <f aca="false">IF(A9="",-1,AL9+ROW()/1000000000)</f>
        <v>31682.880000009</v>
      </c>
      <c r="AS9" s="28" t="n">
        <f aca="false">IF(A9="",-1,AK9+ROW()/1000000000)</f>
        <v>9E-009</v>
      </c>
      <c r="AT9" s="28" t="n">
        <f aca="false">IF(A9="",-1,AI9+ROW()/1000000000)</f>
        <v>31682.880000009</v>
      </c>
      <c r="AU9" s="25" t="n">
        <f aca="false">SUMIFS('SKU Data'!$W$6:$W$505,'SKU Data'!$B$6:$B$505,$A9)</f>
        <v>3.25</v>
      </c>
      <c r="AV9" s="28" t="n">
        <f aca="false">IF(A9="","",COUNTIFS($C$6:$C$85,C9,$M$6:$M$85,"&gt;"&amp;M9)+1)</f>
        <v>14</v>
      </c>
      <c r="AW9" s="9" t="str">
        <f aca="false">IF(A9="","",IF(AND(Options!T9&lt;&gt;"",N(Options!U9)&gt;0),"Y",""))</f>
        <v/>
      </c>
      <c r="AX9" s="9" t="n">
        <f aca="false">IF(A9="",0,COUNTIFS(Options!$R$6:$R$85,$A9,$V$6:$V$85,"&gt;0"))</f>
        <v>0</v>
      </c>
      <c r="AY9" s="13" t="n">
        <f aca="false">IF(Options!S9&lt;&gt;"",Options!S9,Settings!$B$23)</f>
        <v>0.3</v>
      </c>
      <c r="AZ9" s="14" t="n">
        <f aca="false">SUMIFS('SKU Data'!$U$6:$U$505,'SKU Data'!$B$6:$B$505,$A9)</f>
        <v>0</v>
      </c>
    </row>
    <row r="10" customFormat="false" ht="15" hidden="false" customHeight="false" outlineLevel="0" collapsed="false">
      <c r="A10" s="9" t="str">
        <f aca="false">IF(Options!A10="","",Options!A10)</f>
        <v>OPT005</v>
      </c>
      <c r="B10" s="9" t="str">
        <f aca="false">IF(A10="","",Options!B10&amp;" "&amp;Options!C10)</f>
        <v>Puffer jacket Burgundy</v>
      </c>
      <c r="C10" s="9" t="str">
        <f aca="false">IF(A10="","",Options!E10)</f>
        <v>Outerwear</v>
      </c>
      <c r="D10" s="9" t="str">
        <f aca="false">IF(A10="","",Options!H10)</f>
        <v>Seasonal</v>
      </c>
      <c r="E10" s="12" t="n">
        <f aca="false">SUMIFS('SKU Data'!$E$6:$E$505,'SKU Data'!$B$6:$B$505,$A10)</f>
        <v>801</v>
      </c>
      <c r="F10" s="12" t="n">
        <f aca="false">SUMIFS('SKU Data'!$F$6:$F$505,'SKU Data'!$B$6:$B$505,$A10)</f>
        <v>0</v>
      </c>
      <c r="G10" s="12" t="n">
        <f aca="false">SUMIFS('SKU Data'!$G$6:$G$505,'SKU Data'!$B$6:$B$505,$A10)</f>
        <v>28</v>
      </c>
      <c r="H10" s="12" t="n">
        <f aca="false">N(Options!M10)</f>
        <v>0</v>
      </c>
      <c r="I10" s="12" t="n">
        <f aca="false">SUMIFS('SKU Data'!$H$6:$H$505,'SKU Data'!$B$6:$B$505,$A10)</f>
        <v>8</v>
      </c>
      <c r="J10" s="12" t="n">
        <f aca="false">SUMIFS('SKU Data'!$I$6:$I$505,'SKU Data'!$B$6:$B$505,$A10)</f>
        <v>10</v>
      </c>
      <c r="K10" s="12" t="n">
        <f aca="false">SUMIFS('SKU Data'!$J$6:$J$505,'SKU Data'!$B$6:$B$505,$A10)</f>
        <v>11</v>
      </c>
      <c r="L10" s="12" t="n">
        <f aca="false">SUMIFS('SKU Data'!$K$6:$K$505,'SKU Data'!$B$6:$B$505,$A10)</f>
        <v>12</v>
      </c>
      <c r="M10" s="25" t="n">
        <f aca="false">L10*Settings!$B$10+K10*Settings!$B$11+J10*Settings!$B$12+I10*Settings!$B$13</f>
        <v>10.9</v>
      </c>
      <c r="N10" s="25" t="n">
        <f aca="false">M10*Settings!$B$15</f>
        <v>9.81</v>
      </c>
      <c r="O10" s="12" t="n">
        <f aca="false">SUMIFS('SKU Data'!$L$6:$L$505,'SKU Data'!$B$6:$B$505,$A10)</f>
        <v>372</v>
      </c>
      <c r="P10" s="12" t="n">
        <f aca="false">SUMIFS('SKU Data'!$M$6:$M$505,'SKU Data'!$B$6:$B$505,$A10)</f>
        <v>326</v>
      </c>
      <c r="Q10" s="21" t="n">
        <f aca="false">IFERROR(O10/(E10-F10),0)</f>
        <v>0.464419475655431</v>
      </c>
      <c r="R10" s="21" t="n">
        <f aca="false">IFERROR(P10/(E10-F10),0)</f>
        <v>0.406991260923845</v>
      </c>
      <c r="S10" s="26" t="n">
        <f aca="false">IF(N10&lt;=0,IF(G10&gt;0,999,0),G10/N10)</f>
        <v>2.85423037716616</v>
      </c>
      <c r="T10" s="25" t="n">
        <f aca="false">IF(N(Options!L10)&gt;0,Options!L10,Settings!$B$20)</f>
        <v>10</v>
      </c>
      <c r="U10" s="9" t="n">
        <f aca="false">COUNTIFS('SKU Data'!$B$6:$B$505,$A10,'SKU Data'!$D$6:$D$505,"Y")</f>
        <v>3</v>
      </c>
      <c r="V10" s="9" t="n">
        <f aca="false">COUNTIFS('SKU Data'!$B$6:$B$505,$A10,'SKU Data'!$D$6:$D$505,"Y",'SKU Data'!$G$6:$G$505,"&lt;=0")</f>
        <v>0</v>
      </c>
      <c r="W10" s="28" t="str">
        <f aca="false">IF(A10="","",IF(AND(V10&gt;0,G10&gt;0),"Y",""))</f>
        <v/>
      </c>
      <c r="X10" s="9" t="str">
        <f aca="false">IF(A10="","",IF(AND(G10&gt;0,OR(Options!P10="N",Options!Q10="N")),"Y",""))</f>
        <v/>
      </c>
      <c r="Y10" s="9" t="n">
        <f aca="false">IF(AND(A10&lt;&gt;"",U10&gt;0,V10=0,G10&gt;0,Options!P10&lt;&gt;"N",Options!Q10&lt;&gt;"N"),1,0)</f>
        <v>1</v>
      </c>
      <c r="Z10" s="29" t="n">
        <f aca="false">IFERROR((K10+L10)/(I10+J10)-1,0)</f>
        <v>0.277777777777778</v>
      </c>
      <c r="AA10" s="9" t="str">
        <f aca="false">IF(A10="","",IF(Q10&gt;=Settings!$B$17,"High","Low"))</f>
        <v>Low</v>
      </c>
      <c r="AB10" s="9" t="str">
        <f aca="false">IF(A10="","",IF(S10&lt;IF(D10="End of life",Settings!$B$9,IF(D10="Core",T10,MIN(T10,Settings!$B$9))),"Low",IF(S10&gt;IF(D10="Core",Settings!$B$19,Settings!$B$9+Settings!$B$18),"High","Balanced")))</f>
        <v>Low</v>
      </c>
      <c r="AC10" s="28" t="str">
        <f aca="false">IF(A10="","",IF(AW10="Y","Held for a campaign",IF(AA10="High",IF(AB10="Low","Selling and short",IF(AB10="High","Selling, heavy","Selling, covered")),IF(AB10="Low","Slow and short",IF(AB10="High","Slow and heavy","Slow, covered")))))</f>
        <v>Slow and short</v>
      </c>
      <c r="AD10" s="9" t="str">
        <f aca="false">IF(A10="","",TRIM(IF(W10="Y","Broken curve. ","")&amp;IF(X10="Y","Hidden from customers. ","")&amp;IF(Options!O10="Y","Promoted. ","")&amp;IF(Options!I10="Y","Range job. ","")&amp;IF(D10="End of life","End of life. ","")&amp;IF(H10&gt;0,"Order due in "&amp;Options!N10&amp;" weeks. ","")&amp;IF(AW10="Y","Held for "&amp;Options!T10&amp;", starts in "&amp;Options!U10&amp;" weeks. ","")&amp;IF(AX10&gt;0,"Covering for "&amp;AX10&amp;" sold-out line(s). ","")))</f>
        <v/>
      </c>
      <c r="AE10" s="9" t="str">
        <f aca="false">IF(A10="","",IF(AW10="Y",IF(AND(N(Options!V10)&gt;0,G10+H10&gt;N(Options!V10)*1.1),Settings!$A$48,Settings!$A$47),IF(X10="Y",Settings!$A$27,IF(AND(W10="Y",D10&lt;&gt;"End of life",AA10="High"),IF(H10&gt;0,Settings!$A$28,Settings!$A$29),IF(AND(W10="Y",D10="End of life"),Settings!$A$30,IF(AC10="Selling and short",IF(D10="End of life",Settings!$A$31,IF(Options!O10="Y",Settings!$A$32,IF(AX10&gt;0,Settings!$A$33,IF(H10&gt;0,IF(N(Options!N10)&lt;=S10,Settings!$A$34,Settings!$A$35),IF(AND(D10&lt;&gt;"Core",T10&gt;=Settings!$B$9),Settings!$A$36,Settings!$A$37))))),IF(AC10="Selling, heavy",IF(D10="Core",Settings!$A$38,Settings!$A$39),IF(AC10="Selling, covered",Settings!$A$40,IF(AC10="Slow and heavy",IF(Options!I10="Y",Settings!$A$41,IF(D10="End of life",Settings!$A$42,Settings!$A$43)),IF(AC10="Slow and short",IF(W10="Y",Settings!$A$44,Settings!$A$45),Settings!$A$46))))))))))</f>
        <v>Check availability and findability before judging demand</v>
      </c>
      <c r="AF10" s="9" t="str">
        <f aca="false">IF(A10="","",IFERROR(VLOOKUP(AM10,Settings!$A$27:$B$48,2,0),"Assign an owner"))</f>
        <v>Merchandiser</v>
      </c>
      <c r="AG10" s="14" t="n">
        <f aca="false">SUMIFS('SKU Data'!$V$6:$V$505,'SKU Data'!$B$6:$B$505,$A10)</f>
        <v>2340.8</v>
      </c>
      <c r="AH10" s="12" t="n">
        <f aca="false">IF(A10="",0,IF(AW10="Y",IF(N(Options!V10)&gt;0,MAX(0,G10+H10-N(Options!V10)),0),MAX(0,G10+H10-N10*IF(D10="Core",Settings!$B$19,Settings!$B$9))))</f>
        <v>0</v>
      </c>
      <c r="AI10" s="14" t="n">
        <f aca="false">IF(OR(A10="",D10="Core"),0,AH10*N(Options!J10)*Settings!$B$21)</f>
        <v>0</v>
      </c>
      <c r="AJ10" s="14" t="n">
        <f aca="false">AH10*N(Options!K10)</f>
        <v>0</v>
      </c>
      <c r="AK10" s="27" t="n">
        <f aca="false">AZ10*(1-AY10)</f>
        <v>0</v>
      </c>
      <c r="AL10" s="27" t="n">
        <f aca="false">AI10+AK10</f>
        <v>0</v>
      </c>
      <c r="AM10" s="9" t="str">
        <f aca="false">IF(A10="","",IF(Options!W10&lt;&gt;"",Options!W10,AE10))</f>
        <v>Check availability and findability before judging demand</v>
      </c>
      <c r="AN10" s="28" t="n">
        <f aca="false">IF(A10="","",COUNTIF($AR$6:$AR$85,"&gt;"&amp;AR10)+1)</f>
        <v>60</v>
      </c>
      <c r="AO10" s="9" t="str">
        <f aca="false">IF(A10="","",Options!D10)</f>
        <v>Jackets</v>
      </c>
      <c r="AP10" s="9" t="str">
        <f aca="false">IF(A10="","",Options!F10)</f>
        <v>Own brand</v>
      </c>
      <c r="AQ10" s="9" t="n">
        <f aca="false">IF(AND(A10&lt;&gt;"",AW10&lt;&gt;"Y",M10&gt;0,COUNTIF($M$6:$M$85,"&gt;"&amp;M10)&lt;Settings!$B$22),1,0)</f>
        <v>0</v>
      </c>
      <c r="AR10" s="28" t="n">
        <f aca="false">IF(A10="",-1,AL10+ROW()/1000000000)</f>
        <v>1E-008</v>
      </c>
      <c r="AS10" s="28" t="n">
        <f aca="false">IF(A10="",-1,AK10+ROW()/1000000000)</f>
        <v>1E-008</v>
      </c>
      <c r="AT10" s="28" t="n">
        <f aca="false">IF(A10="",-1,AI10+ROW()/1000000000)</f>
        <v>1E-008</v>
      </c>
      <c r="AU10" s="25" t="n">
        <f aca="false">SUMIFS('SKU Data'!$W$6:$W$505,'SKU Data'!$B$6:$B$505,$A10)</f>
        <v>10.25</v>
      </c>
      <c r="AV10" s="28" t="n">
        <f aca="false">IF(A10="","",COUNTIFS($C$6:$C$85,C10,$M$6:$M$85,"&gt;"&amp;M10)+1)</f>
        <v>11</v>
      </c>
      <c r="AW10" s="9" t="str">
        <f aca="false">IF(A10="","",IF(AND(Options!T10&lt;&gt;"",N(Options!U10)&gt;0),"Y",""))</f>
        <v/>
      </c>
      <c r="AX10" s="9" t="n">
        <f aca="false">IF(A10="",0,COUNTIFS(Options!$R$6:$R$85,$A10,$V$6:$V$85,"&gt;0"))</f>
        <v>0</v>
      </c>
      <c r="AY10" s="13" t="n">
        <f aca="false">IF(Options!S10&lt;&gt;"",Options!S10,Settings!$B$23)</f>
        <v>0.3</v>
      </c>
      <c r="AZ10" s="14" t="n">
        <f aca="false">SUMIFS('SKU Data'!$U$6:$U$505,'SKU Data'!$B$6:$B$505,$A10)</f>
        <v>0</v>
      </c>
    </row>
    <row r="11" customFormat="false" ht="15" hidden="false" customHeight="false" outlineLevel="0" collapsed="false">
      <c r="A11" s="9" t="str">
        <f aca="false">IF(Options!A11="","",Options!A11)</f>
        <v>OPT006</v>
      </c>
      <c r="B11" s="9" t="str">
        <f aca="false">IF(A11="","",Options!B11&amp;" "&amp;Options!C11)</f>
        <v>Overcoat Rust</v>
      </c>
      <c r="C11" s="9" t="str">
        <f aca="false">IF(A11="","",Options!E11)</f>
        <v>Outerwear</v>
      </c>
      <c r="D11" s="9" t="str">
        <f aca="false">IF(A11="","",Options!H11)</f>
        <v>Seasonal</v>
      </c>
      <c r="E11" s="12" t="n">
        <f aca="false">SUMIFS('SKU Data'!$E$6:$E$505,'SKU Data'!$B$6:$B$505,$A11)</f>
        <v>1341</v>
      </c>
      <c r="F11" s="12" t="n">
        <f aca="false">SUMIFS('SKU Data'!$F$6:$F$505,'SKU Data'!$B$6:$B$505,$A11)</f>
        <v>0</v>
      </c>
      <c r="G11" s="12" t="n">
        <f aca="false">SUMIFS('SKU Data'!$G$6:$G$505,'SKU Data'!$B$6:$B$505,$A11)</f>
        <v>37</v>
      </c>
      <c r="H11" s="12" t="n">
        <f aca="false">N(Options!M11)</f>
        <v>0</v>
      </c>
      <c r="I11" s="12" t="n">
        <f aca="false">SUMIFS('SKU Data'!$H$6:$H$505,'SKU Data'!$B$6:$B$505,$A11)</f>
        <v>13</v>
      </c>
      <c r="J11" s="12" t="n">
        <f aca="false">SUMIFS('SKU Data'!$I$6:$I$505,'SKU Data'!$B$6:$B$505,$A11)</f>
        <v>15</v>
      </c>
      <c r="K11" s="12" t="n">
        <f aca="false">SUMIFS('SKU Data'!$J$6:$J$505,'SKU Data'!$B$6:$B$505,$A11)</f>
        <v>15</v>
      </c>
      <c r="L11" s="12" t="n">
        <f aca="false">SUMIFS('SKU Data'!$K$6:$K$505,'SKU Data'!$B$6:$B$505,$A11)</f>
        <v>15</v>
      </c>
      <c r="M11" s="25" t="n">
        <f aca="false">L11*Settings!$B$10+K11*Settings!$B$11+J11*Settings!$B$12+I11*Settings!$B$13</f>
        <v>14.8</v>
      </c>
      <c r="N11" s="25" t="n">
        <f aca="false">M11*Settings!$B$15</f>
        <v>13.32</v>
      </c>
      <c r="O11" s="12" t="n">
        <f aca="false">SUMIFS('SKU Data'!$L$6:$L$505,'SKU Data'!$B$6:$B$505,$A11)</f>
        <v>523</v>
      </c>
      <c r="P11" s="12" t="n">
        <f aca="false">SUMIFS('SKU Data'!$M$6:$M$505,'SKU Data'!$B$6:$B$505,$A11)</f>
        <v>460</v>
      </c>
      <c r="Q11" s="21" t="n">
        <f aca="false">IFERROR(O11/(E11-F11),0)</f>
        <v>0.390007457121551</v>
      </c>
      <c r="R11" s="21" t="n">
        <f aca="false">IFERROR(P11/(E11-F11),0)</f>
        <v>0.343027591349739</v>
      </c>
      <c r="S11" s="26" t="n">
        <f aca="false">IF(N11&lt;=0,IF(G11&gt;0,999,0),G11/N11)</f>
        <v>2.77777777777778</v>
      </c>
      <c r="T11" s="25" t="n">
        <f aca="false">IF(N(Options!L11)&gt;0,Options!L11,Settings!$B$20)</f>
        <v>10</v>
      </c>
      <c r="U11" s="9" t="n">
        <f aca="false">COUNTIFS('SKU Data'!$B$6:$B$505,$A11,'SKU Data'!$D$6:$D$505,"Y")</f>
        <v>3</v>
      </c>
      <c r="V11" s="9" t="n">
        <f aca="false">COUNTIFS('SKU Data'!$B$6:$B$505,$A11,'SKU Data'!$D$6:$D$505,"Y",'SKU Data'!$G$6:$G$505,"&lt;=0")</f>
        <v>0</v>
      </c>
      <c r="W11" s="28" t="str">
        <f aca="false">IF(A11="","",IF(AND(V11&gt;0,G11&gt;0),"Y",""))</f>
        <v/>
      </c>
      <c r="X11" s="9" t="str">
        <f aca="false">IF(A11="","",IF(AND(G11&gt;0,OR(Options!P11="N",Options!Q11="N")),"Y",""))</f>
        <v/>
      </c>
      <c r="Y11" s="9" t="n">
        <f aca="false">IF(AND(A11&lt;&gt;"",U11&gt;0,V11=0,G11&gt;0,Options!P11&lt;&gt;"N",Options!Q11&lt;&gt;"N"),1,0)</f>
        <v>1</v>
      </c>
      <c r="Z11" s="29" t="n">
        <f aca="false">IFERROR((K11+L11)/(I11+J11)-1,0)</f>
        <v>0.0714285714285714</v>
      </c>
      <c r="AA11" s="9" t="str">
        <f aca="false">IF(A11="","",IF(Q11&gt;=Settings!$B$17,"High","Low"))</f>
        <v>Low</v>
      </c>
      <c r="AB11" s="9" t="str">
        <f aca="false">IF(A11="","",IF(S11&lt;IF(D11="End of life",Settings!$B$9,IF(D11="Core",T11,MIN(T11,Settings!$B$9))),"Low",IF(S11&gt;IF(D11="Core",Settings!$B$19,Settings!$B$9+Settings!$B$18),"High","Balanced")))</f>
        <v>Low</v>
      </c>
      <c r="AC11" s="28" t="str">
        <f aca="false">IF(A11="","",IF(AW11="Y","Held for a campaign",IF(AA11="High",IF(AB11="Low","Selling and short",IF(AB11="High","Selling, heavy","Selling, covered")),IF(AB11="Low","Slow and short",IF(AB11="High","Slow and heavy","Slow, covered")))))</f>
        <v>Slow and short</v>
      </c>
      <c r="AD11" s="9" t="str">
        <f aca="false">IF(A11="","",TRIM(IF(W11="Y","Broken curve. ","")&amp;IF(X11="Y","Hidden from customers. ","")&amp;IF(Options!O11="Y","Promoted. ","")&amp;IF(Options!I11="Y","Range job. ","")&amp;IF(D11="End of life","End of life. ","")&amp;IF(H11&gt;0,"Order due in "&amp;Options!N11&amp;" weeks. ","")&amp;IF(AW11="Y","Held for "&amp;Options!T11&amp;", starts in "&amp;Options!U11&amp;" weeks. ","")&amp;IF(AX11&gt;0,"Covering for "&amp;AX11&amp;" sold-out line(s). ","")))</f>
        <v/>
      </c>
      <c r="AE11" s="9" t="str">
        <f aca="false">IF(A11="","",IF(AW11="Y",IF(AND(N(Options!V11)&gt;0,G11+H11&gt;N(Options!V11)*1.1),Settings!$A$48,Settings!$A$47),IF(X11="Y",Settings!$A$27,IF(AND(W11="Y",D11&lt;&gt;"End of life",AA11="High"),IF(H11&gt;0,Settings!$A$28,Settings!$A$29),IF(AND(W11="Y",D11="End of life"),Settings!$A$30,IF(AC11="Selling and short",IF(D11="End of life",Settings!$A$31,IF(Options!O11="Y",Settings!$A$32,IF(AX11&gt;0,Settings!$A$33,IF(H11&gt;0,IF(N(Options!N11)&lt;=S11,Settings!$A$34,Settings!$A$35),IF(AND(D11&lt;&gt;"Core",T11&gt;=Settings!$B$9),Settings!$A$36,Settings!$A$37))))),IF(AC11="Selling, heavy",IF(D11="Core",Settings!$A$38,Settings!$A$39),IF(AC11="Selling, covered",Settings!$A$40,IF(AC11="Slow and heavy",IF(Options!I11="Y",Settings!$A$41,IF(D11="End of life",Settings!$A$42,Settings!$A$43)),IF(AC11="Slow and short",IF(W11="Y",Settings!$A$44,Settings!$A$45),Settings!$A$46))))))))))</f>
        <v>Check availability and findability before judging demand</v>
      </c>
      <c r="AF11" s="9" t="str">
        <f aca="false">IF(A11="","",IFERROR(VLOOKUP(AM11,Settings!$A$27:$B$48,2,0),"Assign an owner"))</f>
        <v>Merchandiser</v>
      </c>
      <c r="AG11" s="14" t="n">
        <f aca="false">SUMIFS('SKU Data'!$V$6:$V$505,'SKU Data'!$B$6:$B$505,$A11)</f>
        <v>2530.8</v>
      </c>
      <c r="AH11" s="12" t="n">
        <f aca="false">IF(A11="",0,IF(AW11="Y",IF(N(Options!V11)&gt;0,MAX(0,G11+H11-N(Options!V11)),0),MAX(0,G11+H11-N11*IF(D11="Core",Settings!$B$19,Settings!$B$9))))</f>
        <v>0</v>
      </c>
      <c r="AI11" s="14" t="n">
        <f aca="false">IF(OR(A11="",D11="Core"),0,AH11*N(Options!J11)*Settings!$B$21)</f>
        <v>0</v>
      </c>
      <c r="AJ11" s="14" t="n">
        <f aca="false">AH11*N(Options!K11)</f>
        <v>0</v>
      </c>
      <c r="AK11" s="27" t="n">
        <f aca="false">AZ11*(1-AY11)</f>
        <v>0</v>
      </c>
      <c r="AL11" s="27" t="n">
        <f aca="false">AI11+AK11</f>
        <v>0</v>
      </c>
      <c r="AM11" s="9" t="str">
        <f aca="false">IF(A11="","",IF(Options!W11&lt;&gt;"",Options!W11,AE11))</f>
        <v>Check availability and findability before judging demand</v>
      </c>
      <c r="AN11" s="28" t="n">
        <f aca="false">IF(A11="","",COUNTIF($AR$6:$AR$85,"&gt;"&amp;AR11)+1)</f>
        <v>59</v>
      </c>
      <c r="AO11" s="9" t="str">
        <f aca="false">IF(A11="","",Options!D11)</f>
        <v>Coats</v>
      </c>
      <c r="AP11" s="9" t="str">
        <f aca="false">IF(A11="","",Options!F11)</f>
        <v>Own brand</v>
      </c>
      <c r="AQ11" s="9" t="n">
        <f aca="false">IF(AND(A11&lt;&gt;"",AW11&lt;&gt;"Y",M11&gt;0,COUNTIF($M$6:$M$85,"&gt;"&amp;M11)&lt;Settings!$B$22),1,0)</f>
        <v>1</v>
      </c>
      <c r="AR11" s="28" t="n">
        <f aca="false">IF(A11="",-1,AL11+ROW()/1000000000)</f>
        <v>1.1E-008</v>
      </c>
      <c r="AS11" s="28" t="n">
        <f aca="false">IF(A11="",-1,AK11+ROW()/1000000000)</f>
        <v>1.1E-008</v>
      </c>
      <c r="AT11" s="28" t="n">
        <f aca="false">IF(A11="",-1,AI11+ROW()/1000000000)</f>
        <v>1.1E-008</v>
      </c>
      <c r="AU11" s="25" t="n">
        <f aca="false">SUMIFS('SKU Data'!$W$6:$W$505,'SKU Data'!$B$6:$B$505,$A11)</f>
        <v>14.5</v>
      </c>
      <c r="AV11" s="28" t="n">
        <f aca="false">IF(A11="","",COUNTIFS($C$6:$C$85,C11,$M$6:$M$85,"&gt;"&amp;M11)+1)</f>
        <v>7</v>
      </c>
      <c r="AW11" s="9" t="str">
        <f aca="false">IF(A11="","",IF(AND(Options!T11&lt;&gt;"",N(Options!U11)&gt;0),"Y",""))</f>
        <v/>
      </c>
      <c r="AX11" s="9" t="n">
        <f aca="false">IF(A11="",0,COUNTIFS(Options!$R$6:$R$85,$A11,$V$6:$V$85,"&gt;0"))</f>
        <v>0</v>
      </c>
      <c r="AY11" s="13" t="n">
        <f aca="false">IF(Options!S11&lt;&gt;"",Options!S11,Settings!$B$23)</f>
        <v>0.3</v>
      </c>
      <c r="AZ11" s="14" t="n">
        <f aca="false">SUMIFS('SKU Data'!$U$6:$U$505,'SKU Data'!$B$6:$B$505,$A11)</f>
        <v>0</v>
      </c>
    </row>
    <row r="12" customFormat="false" ht="15" hidden="false" customHeight="false" outlineLevel="0" collapsed="false">
      <c r="A12" s="9" t="str">
        <f aca="false">IF(Options!A12="","",Options!A12)</f>
        <v>OPT007</v>
      </c>
      <c r="B12" s="9" t="str">
        <f aca="false">IF(A12="","",Options!B12&amp;" "&amp;Options!C12)</f>
        <v>Harrington jacket Cream</v>
      </c>
      <c r="C12" s="9" t="str">
        <f aca="false">IF(A12="","",Options!E12)</f>
        <v>Outerwear</v>
      </c>
      <c r="D12" s="9" t="str">
        <f aca="false">IF(A12="","",Options!H12)</f>
        <v>Seasonal</v>
      </c>
      <c r="E12" s="12" t="n">
        <f aca="false">SUMIFS('SKU Data'!$E$6:$E$505,'SKU Data'!$B$6:$B$505,$A12)</f>
        <v>621</v>
      </c>
      <c r="F12" s="12" t="n">
        <f aca="false">SUMIFS('SKU Data'!$F$6:$F$505,'SKU Data'!$B$6:$B$505,$A12)</f>
        <v>0</v>
      </c>
      <c r="G12" s="12" t="n">
        <f aca="false">SUMIFS('SKU Data'!$G$6:$G$505,'SKU Data'!$B$6:$B$505,$A12)</f>
        <v>96</v>
      </c>
      <c r="H12" s="12" t="n">
        <f aca="false">N(Options!M12)</f>
        <v>260</v>
      </c>
      <c r="I12" s="12" t="n">
        <f aca="false">SUMIFS('SKU Data'!$H$6:$H$505,'SKU Data'!$B$6:$B$505,$A12)</f>
        <v>28</v>
      </c>
      <c r="J12" s="12" t="n">
        <f aca="false">SUMIFS('SKU Data'!$I$6:$I$505,'SKU Data'!$B$6:$B$505,$A12)</f>
        <v>33</v>
      </c>
      <c r="K12" s="12" t="n">
        <f aca="false">SUMIFS('SKU Data'!$J$6:$J$505,'SKU Data'!$B$6:$B$505,$A12)</f>
        <v>34</v>
      </c>
      <c r="L12" s="12" t="n">
        <f aca="false">SUMIFS('SKU Data'!$K$6:$K$505,'SKU Data'!$B$6:$B$505,$A12)</f>
        <v>35</v>
      </c>
      <c r="M12" s="25" t="n">
        <f aca="false">L12*Settings!$B$10+K12*Settings!$B$11+J12*Settings!$B$12+I12*Settings!$B$13</f>
        <v>33.6</v>
      </c>
      <c r="N12" s="25" t="n">
        <f aca="false">M12*Settings!$B$15</f>
        <v>30.24</v>
      </c>
      <c r="O12" s="12" t="n">
        <f aca="false">SUMIFS('SKU Data'!$L$6:$L$505,'SKU Data'!$B$6:$B$505,$A12)</f>
        <v>525</v>
      </c>
      <c r="P12" s="12" t="n">
        <f aca="false">SUMIFS('SKU Data'!$M$6:$M$505,'SKU Data'!$B$6:$B$505,$A12)</f>
        <v>461</v>
      </c>
      <c r="Q12" s="21" t="n">
        <f aca="false">IFERROR(O12/(E12-F12),0)</f>
        <v>0.845410628019324</v>
      </c>
      <c r="R12" s="21" t="n">
        <f aca="false">IFERROR(P12/(E12-F12),0)</f>
        <v>0.742351046698873</v>
      </c>
      <c r="S12" s="26" t="n">
        <f aca="false">IF(N12&lt;=0,IF(G12&gt;0,999,0),G12/N12)</f>
        <v>3.17460317460317</v>
      </c>
      <c r="T12" s="25" t="n">
        <f aca="false">IF(N(Options!L12)&gt;0,Options!L12,Settings!$B$20)</f>
        <v>6</v>
      </c>
      <c r="U12" s="9" t="n">
        <f aca="false">COUNTIFS('SKU Data'!$B$6:$B$505,$A12,'SKU Data'!$D$6:$D$505,"Y")</f>
        <v>3</v>
      </c>
      <c r="V12" s="9" t="n">
        <f aca="false">COUNTIFS('SKU Data'!$B$6:$B$505,$A12,'SKU Data'!$D$6:$D$505,"Y",'SKU Data'!$G$6:$G$505,"&lt;=0")</f>
        <v>0</v>
      </c>
      <c r="W12" s="28" t="str">
        <f aca="false">IF(A12="","",IF(AND(V12&gt;0,G12&gt;0),"Y",""))</f>
        <v/>
      </c>
      <c r="X12" s="9" t="str">
        <f aca="false">IF(A12="","",IF(AND(G12&gt;0,OR(Options!P12="N",Options!Q12="N")),"Y",""))</f>
        <v/>
      </c>
      <c r="Y12" s="9" t="n">
        <f aca="false">IF(AND(A12&lt;&gt;"",U12&gt;0,V12=0,G12&gt;0,Options!P12&lt;&gt;"N",Options!Q12&lt;&gt;"N"),1,0)</f>
        <v>1</v>
      </c>
      <c r="Z12" s="29" t="n">
        <f aca="false">IFERROR((K12+L12)/(I12+J12)-1,0)</f>
        <v>0.131147540983606</v>
      </c>
      <c r="AA12" s="9" t="str">
        <f aca="false">IF(A12="","",IF(Q12&gt;=Settings!$B$17,"High","Low"))</f>
        <v>High</v>
      </c>
      <c r="AB12" s="9" t="str">
        <f aca="false">IF(A12="","",IF(S12&lt;IF(D12="End of life",Settings!$B$9,IF(D12="Core",T12,MIN(T12,Settings!$B$9))),"Low",IF(S12&gt;IF(D12="Core",Settings!$B$19,Settings!$B$9+Settings!$B$18),"High","Balanced")))</f>
        <v>Low</v>
      </c>
      <c r="AC12" s="28" t="str">
        <f aca="false">IF(A12="","",IF(AW12="Y","Held for a campaign",IF(AA12="High",IF(AB12="Low","Selling and short",IF(AB12="High","Selling, heavy","Selling, covered")),IF(AB12="Low","Slow and short",IF(AB12="High","Slow and heavy","Slow, covered")))))</f>
        <v>Selling and short</v>
      </c>
      <c r="AD12" s="9" t="str">
        <f aca="false">IF(A12="","",TRIM(IF(W12="Y","Broken curve. ","")&amp;IF(X12="Y","Hidden from customers. ","")&amp;IF(Options!O12="Y","Promoted. ","")&amp;IF(Options!I12="Y","Range job. ","")&amp;IF(D12="End of life","End of life. ","")&amp;IF(H12&gt;0,"Order due in "&amp;Options!N12&amp;" weeks. ","")&amp;IF(AW12="Y","Held for "&amp;Options!T12&amp;", starts in "&amp;Options!U12&amp;" weeks. ","")&amp;IF(AX12&gt;0,"Covering for "&amp;AX12&amp;" sold-out line(s). ","")))</f>
        <v>Order due in 6 weeks.</v>
      </c>
      <c r="AE12" s="9" t="str">
        <f aca="false">IF(A12="","",IF(AW12="Y",IF(AND(N(Options!V12)&gt;0,G12+H12&gt;N(Options!V12)*1.1),Settings!$A$48,Settings!$A$47),IF(X12="Y",Settings!$A$27,IF(AND(W12="Y",D12&lt;&gt;"End of life",AA12="High"),IF(H12&gt;0,Settings!$A$28,Settings!$A$29),IF(AND(W12="Y",D12="End of life"),Settings!$A$30,IF(AC12="Selling and short",IF(D12="End of life",Settings!$A$31,IF(Options!O12="Y",Settings!$A$32,IF(AX12&gt;0,Settings!$A$33,IF(H12&gt;0,IF(N(Options!N12)&lt;=S12,Settings!$A$34,Settings!$A$35),IF(AND(D12&lt;&gt;"Core",T12&gt;=Settings!$B$9),Settings!$A$36,Settings!$A$37))))),IF(AC12="Selling, heavy",IF(D12="Core",Settings!$A$38,Settings!$A$39),IF(AC12="Selling, covered",Settings!$A$40,IF(AC12="Slow and heavy",IF(Options!I12="Y",Settings!$A$41,IF(D12="End of life",Settings!$A$42,Settings!$A$43)),IF(AC12="Slow and short",IF(W12="Y",Settings!$A$44,Settings!$A$45),Settings!$A$46))))))))))</f>
        <v>Chase the purchase order: it lands after stock runs out</v>
      </c>
      <c r="AF12" s="9" t="str">
        <f aca="false">IF(A12="","",IFERROR(VLOOKUP(AM12,Settings!$A$27:$B$48,2,0),"Assign an owner"))</f>
        <v>Merchandiser</v>
      </c>
      <c r="AG12" s="14" t="n">
        <f aca="false">SUMIFS('SKU Data'!$V$6:$V$505,'SKU Data'!$B$6:$B$505,$A12)</f>
        <v>8025.6</v>
      </c>
      <c r="AH12" s="12" t="n">
        <f aca="false">IF(A12="",0,IF(AW12="Y",IF(N(Options!V12)&gt;0,MAX(0,G12+H12-N(Options!V12)),0),MAX(0,G12+H12-N12*IF(D12="Core",Settings!$B$19,Settings!$B$9))))</f>
        <v>235.04</v>
      </c>
      <c r="AI12" s="14" t="n">
        <f aca="false">IF(OR(A12="",D12="Core"),0,AH12*N(Options!J12)*Settings!$B$21)</f>
        <v>20683.52</v>
      </c>
      <c r="AJ12" s="14" t="n">
        <f aca="false">AH12*N(Options!K12)</f>
        <v>19649.344</v>
      </c>
      <c r="AK12" s="27" t="n">
        <f aca="false">AZ12*(1-AY12)</f>
        <v>0</v>
      </c>
      <c r="AL12" s="27" t="n">
        <f aca="false">AI12+AK12</f>
        <v>20683.52</v>
      </c>
      <c r="AM12" s="9" t="str">
        <f aca="false">IF(A12="","",IF(Options!W12&lt;&gt;"",Options!W12,AE12))</f>
        <v>Chase the purchase order: it lands after stock runs out</v>
      </c>
      <c r="AN12" s="28" t="n">
        <f aca="false">IF(A12="","",COUNTIF($AR$6:$AR$85,"&gt;"&amp;AR12)+1)</f>
        <v>9</v>
      </c>
      <c r="AO12" s="9" t="str">
        <f aca="false">IF(A12="","",Options!D12)</f>
        <v>Jackets</v>
      </c>
      <c r="AP12" s="9" t="str">
        <f aca="false">IF(A12="","",Options!F12)</f>
        <v>Own brand</v>
      </c>
      <c r="AQ12" s="9" t="n">
        <f aca="false">IF(AND(A12&lt;&gt;"",AW12&lt;&gt;"Y",M12&gt;0,COUNTIF($M$6:$M$85,"&gt;"&amp;M12)&lt;Settings!$B$22),1,0)</f>
        <v>1</v>
      </c>
      <c r="AR12" s="28" t="n">
        <f aca="false">IF(A12="",-1,AL12+ROW()/1000000000)</f>
        <v>20683.520000012</v>
      </c>
      <c r="AS12" s="28" t="n">
        <f aca="false">IF(A12="",-1,AK12+ROW()/1000000000)</f>
        <v>1.2E-008</v>
      </c>
      <c r="AT12" s="28" t="n">
        <f aca="false">IF(A12="",-1,AI12+ROW()/1000000000)</f>
        <v>20683.520000012</v>
      </c>
      <c r="AU12" s="25" t="n">
        <f aca="false">SUMIFS('SKU Data'!$W$6:$W$505,'SKU Data'!$B$6:$B$505,$A12)</f>
        <v>32.5</v>
      </c>
      <c r="AV12" s="28" t="n">
        <f aca="false">IF(A12="","",COUNTIFS($C$6:$C$85,C12,$M$6:$M$85,"&gt;"&amp;M12)+1)</f>
        <v>2</v>
      </c>
      <c r="AW12" s="9" t="str">
        <f aca="false">IF(A12="","",IF(AND(Options!T12&lt;&gt;"",N(Options!U12)&gt;0),"Y",""))</f>
        <v/>
      </c>
      <c r="AX12" s="9" t="n">
        <f aca="false">IF(A12="",0,COUNTIFS(Options!$R$6:$R$85,$A12,$V$6:$V$85,"&gt;0"))</f>
        <v>0</v>
      </c>
      <c r="AY12" s="13" t="n">
        <f aca="false">IF(Options!S12&lt;&gt;"",Options!S12,Settings!$B$23)</f>
        <v>0.3</v>
      </c>
      <c r="AZ12" s="14" t="n">
        <f aca="false">SUMIFS('SKU Data'!$U$6:$U$505,'SKU Data'!$B$6:$B$505,$A12)</f>
        <v>0</v>
      </c>
    </row>
    <row r="13" customFormat="false" ht="15" hidden="false" customHeight="false" outlineLevel="0" collapsed="false">
      <c r="A13" s="9" t="str">
        <f aca="false">IF(Options!A13="","",Options!A13)</f>
        <v>OPT008</v>
      </c>
      <c r="B13" s="9" t="str">
        <f aca="false">IF(A13="","",Options!B13&amp;" "&amp;Options!C13)</f>
        <v>Duffle coat Black</v>
      </c>
      <c r="C13" s="9" t="str">
        <f aca="false">IF(A13="","",Options!E13)</f>
        <v>Outerwear</v>
      </c>
      <c r="D13" s="9" t="str">
        <f aca="false">IF(A13="","",Options!H13)</f>
        <v>Seasonal</v>
      </c>
      <c r="E13" s="12" t="n">
        <f aca="false">SUMIFS('SKU Data'!$E$6:$E$505,'SKU Data'!$B$6:$B$505,$A13)</f>
        <v>745</v>
      </c>
      <c r="F13" s="12" t="n">
        <f aca="false">SUMIFS('SKU Data'!$F$6:$F$505,'SKU Data'!$B$6:$B$505,$A13)</f>
        <v>0</v>
      </c>
      <c r="G13" s="12" t="n">
        <f aca="false">SUMIFS('SKU Data'!$G$6:$G$505,'SKU Data'!$B$6:$B$505,$A13)</f>
        <v>187</v>
      </c>
      <c r="H13" s="12" t="n">
        <f aca="false">N(Options!M13)</f>
        <v>0</v>
      </c>
      <c r="I13" s="12" t="n">
        <f aca="false">SUMIFS('SKU Data'!$H$6:$H$505,'SKU Data'!$B$6:$B$505,$A13)</f>
        <v>26</v>
      </c>
      <c r="J13" s="12" t="n">
        <f aca="false">SUMIFS('SKU Data'!$I$6:$I$505,'SKU Data'!$B$6:$B$505,$A13)</f>
        <v>26</v>
      </c>
      <c r="K13" s="12" t="n">
        <f aca="false">SUMIFS('SKU Data'!$J$6:$J$505,'SKU Data'!$B$6:$B$505,$A13)</f>
        <v>29</v>
      </c>
      <c r="L13" s="12" t="n">
        <f aca="false">SUMIFS('SKU Data'!$K$6:$K$505,'SKU Data'!$B$6:$B$505,$A13)</f>
        <v>32</v>
      </c>
      <c r="M13" s="25" t="n">
        <f aca="false">L13*Settings!$B$10+K13*Settings!$B$11+J13*Settings!$B$12+I13*Settings!$B$13</f>
        <v>29.3</v>
      </c>
      <c r="N13" s="25" t="n">
        <f aca="false">M13*Settings!$B$15</f>
        <v>26.37</v>
      </c>
      <c r="O13" s="12" t="n">
        <f aca="false">SUMIFS('SKU Data'!$L$6:$L$505,'SKU Data'!$B$6:$B$505,$A13)</f>
        <v>558</v>
      </c>
      <c r="P13" s="12" t="n">
        <f aca="false">SUMIFS('SKU Data'!$M$6:$M$505,'SKU Data'!$B$6:$B$505,$A13)</f>
        <v>491</v>
      </c>
      <c r="Q13" s="21" t="n">
        <f aca="false">IFERROR(O13/(E13-F13),0)</f>
        <v>0.748993288590604</v>
      </c>
      <c r="R13" s="21" t="n">
        <f aca="false">IFERROR(P13/(E13-F13),0)</f>
        <v>0.659060402684564</v>
      </c>
      <c r="S13" s="26" t="n">
        <f aca="false">IF(N13&lt;=0,IF(G13&gt;0,999,0),G13/N13)</f>
        <v>7.09139173302996</v>
      </c>
      <c r="T13" s="25" t="n">
        <f aca="false">IF(N(Options!L13)&gt;0,Options!L13,Settings!$B$20)</f>
        <v>8</v>
      </c>
      <c r="U13" s="9" t="n">
        <f aca="false">COUNTIFS('SKU Data'!$B$6:$B$505,$A13,'SKU Data'!$D$6:$D$505,"Y")</f>
        <v>3</v>
      </c>
      <c r="V13" s="9" t="n">
        <f aca="false">COUNTIFS('SKU Data'!$B$6:$B$505,$A13,'SKU Data'!$D$6:$D$505,"Y",'SKU Data'!$G$6:$G$505,"&lt;=0")</f>
        <v>0</v>
      </c>
      <c r="W13" s="28" t="str">
        <f aca="false">IF(A13="","",IF(AND(V13&gt;0,G13&gt;0),"Y",""))</f>
        <v/>
      </c>
      <c r="X13" s="9" t="str">
        <f aca="false">IF(A13="","",IF(AND(G13&gt;0,OR(Options!P13="N",Options!Q13="N")),"Y",""))</f>
        <v/>
      </c>
      <c r="Y13" s="9" t="n">
        <f aca="false">IF(AND(A13&lt;&gt;"",U13&gt;0,V13=0,G13&gt;0,Options!P13&lt;&gt;"N",Options!Q13&lt;&gt;"N"),1,0)</f>
        <v>1</v>
      </c>
      <c r="Z13" s="29" t="n">
        <f aca="false">IFERROR((K13+L13)/(I13+J13)-1,0)</f>
        <v>0.173076923076923</v>
      </c>
      <c r="AA13" s="9" t="str">
        <f aca="false">IF(A13="","",IF(Q13&gt;=Settings!$B$17,"High","Low"))</f>
        <v>High</v>
      </c>
      <c r="AB13" s="9" t="str">
        <f aca="false">IF(A13="","",IF(S13&lt;IF(D13="End of life",Settings!$B$9,IF(D13="Core",T13,MIN(T13,Settings!$B$9))),"Low",IF(S13&gt;IF(D13="Core",Settings!$B$19,Settings!$B$9+Settings!$B$18),"High","Balanced")))</f>
        <v>Balanced</v>
      </c>
      <c r="AC13" s="28" t="str">
        <f aca="false">IF(A13="","",IF(AW13="Y","Held for a campaign",IF(AA13="High",IF(AB13="Low","Selling and short",IF(AB13="High","Selling, heavy","Selling, covered")),IF(AB13="Low","Slow and short",IF(AB13="High","Slow and heavy","Slow, covered")))))</f>
        <v>Selling, covered</v>
      </c>
      <c r="AD13" s="9" t="str">
        <f aca="false">IF(A13="","",TRIM(IF(W13="Y","Broken curve. ","")&amp;IF(X13="Y","Hidden from customers. ","")&amp;IF(Options!O13="Y","Promoted. ","")&amp;IF(Options!I13="Y","Range job. ","")&amp;IF(D13="End of life","End of life. ","")&amp;IF(H13&gt;0,"Order due in "&amp;Options!N13&amp;" weeks. ","")&amp;IF(AW13="Y","Held for "&amp;Options!T13&amp;", starts in "&amp;Options!U13&amp;" weeks. ","")&amp;IF(AX13&gt;0,"Covering for "&amp;AX13&amp;" sold-out line(s). ","")))</f>
        <v/>
      </c>
      <c r="AE13" s="9" t="str">
        <f aca="false">IF(A13="","",IF(AW13="Y",IF(AND(N(Options!V13)&gt;0,G13+H13&gt;N(Options!V13)*1.1),Settings!$A$48,Settings!$A$47),IF(X13="Y",Settings!$A$27,IF(AND(W13="Y",D13&lt;&gt;"End of life",AA13="High"),IF(H13&gt;0,Settings!$A$28,Settings!$A$29),IF(AND(W13="Y",D13="End of life"),Settings!$A$30,IF(AC13="Selling and short",IF(D13="End of life",Settings!$A$31,IF(Options!O13="Y",Settings!$A$32,IF(AX13&gt;0,Settings!$A$33,IF(H13&gt;0,IF(N(Options!N13)&lt;=S13,Settings!$A$34,Settings!$A$35),IF(AND(D13&lt;&gt;"Core",T13&gt;=Settings!$B$9),Settings!$A$36,Settings!$A$37))))),IF(AC13="Selling, heavy",IF(D13="Core",Settings!$A$38,Settings!$A$39),IF(AC13="Selling, covered",Settings!$A$40,IF(AC13="Slow and heavy",IF(Options!I13="Y",Settings!$A$41,IF(D13="End of life",Settings!$A$42,Settings!$A$43)),IF(AC13="Slow and short",IF(W13="Y",Settings!$A$44,Settings!$A$45),Settings!$A$46))))))))))</f>
        <v>Hold</v>
      </c>
      <c r="AF13" s="9" t="str">
        <f aca="false">IF(A13="","",IFERROR(VLOOKUP(AM13,Settings!$A$27:$B$48,2,0),"Assign an owner"))</f>
        <v>Merchandiser</v>
      </c>
      <c r="AG13" s="14" t="n">
        <f aca="false">SUMIFS('SKU Data'!$V$6:$V$505,'SKU Data'!$B$6:$B$505,$A13)</f>
        <v>12790.8</v>
      </c>
      <c r="AH13" s="12" t="n">
        <f aca="false">IF(A13="",0,IF(AW13="Y",IF(N(Options!V13)&gt;0,MAX(0,G13+H13-N(Options!V13)),0),MAX(0,G13+H13-N13*IF(D13="Core",Settings!$B$19,Settings!$B$9))))</f>
        <v>81.52</v>
      </c>
      <c r="AI13" s="14" t="n">
        <f aca="false">IF(OR(A13="",D13="Core"),0,AH13*N(Options!J13)*Settings!$B$21)</f>
        <v>5869.44</v>
      </c>
      <c r="AJ13" s="14" t="n">
        <f aca="false">AH13*N(Options!K13)</f>
        <v>5575.968</v>
      </c>
      <c r="AK13" s="27" t="n">
        <f aca="false">AZ13*(1-AY13)</f>
        <v>0</v>
      </c>
      <c r="AL13" s="27" t="n">
        <f aca="false">AI13+AK13</f>
        <v>5869.44</v>
      </c>
      <c r="AM13" s="9" t="str">
        <f aca="false">IF(A13="","",IF(Options!W13&lt;&gt;"",Options!W13,AE13))</f>
        <v>Hold</v>
      </c>
      <c r="AN13" s="28" t="n">
        <f aca="false">IF(A13="","",COUNTIF($AR$6:$AR$85,"&gt;"&amp;AR13)+1)</f>
        <v>19</v>
      </c>
      <c r="AO13" s="9" t="str">
        <f aca="false">IF(A13="","",Options!D13)</f>
        <v>Coats</v>
      </c>
      <c r="AP13" s="9" t="str">
        <f aca="false">IF(A13="","",Options!F13)</f>
        <v>Partner brand</v>
      </c>
      <c r="AQ13" s="9" t="n">
        <f aca="false">IF(AND(A13&lt;&gt;"",AW13&lt;&gt;"Y",M13&gt;0,COUNTIF($M$6:$M$85,"&gt;"&amp;M13)&lt;Settings!$B$22),1,0)</f>
        <v>1</v>
      </c>
      <c r="AR13" s="28" t="n">
        <f aca="false">IF(A13="",-1,AL13+ROW()/1000000000)</f>
        <v>5869.440000013</v>
      </c>
      <c r="AS13" s="28" t="n">
        <f aca="false">IF(A13="",-1,AK13+ROW()/1000000000)</f>
        <v>1.3E-008</v>
      </c>
      <c r="AT13" s="28" t="n">
        <f aca="false">IF(A13="",-1,AI13+ROW()/1000000000)</f>
        <v>5869.440000013</v>
      </c>
      <c r="AU13" s="25" t="n">
        <f aca="false">SUMIFS('SKU Data'!$W$6:$W$505,'SKU Data'!$B$6:$B$505,$A13)</f>
        <v>28.25</v>
      </c>
      <c r="AV13" s="28" t="n">
        <f aca="false">IF(A13="","",COUNTIFS($C$6:$C$85,C13,$M$6:$M$85,"&gt;"&amp;M13)+1)</f>
        <v>3</v>
      </c>
      <c r="AW13" s="9" t="str">
        <f aca="false">IF(A13="","",IF(AND(Options!T13&lt;&gt;"",N(Options!U13)&gt;0),"Y",""))</f>
        <v/>
      </c>
      <c r="AX13" s="9" t="n">
        <f aca="false">IF(A13="",0,COUNTIFS(Options!$R$6:$R$85,$A13,$V$6:$V$85,"&gt;0"))</f>
        <v>0</v>
      </c>
      <c r="AY13" s="13" t="n">
        <f aca="false">IF(Options!S13&lt;&gt;"",Options!S13,Settings!$B$23)</f>
        <v>0.3</v>
      </c>
      <c r="AZ13" s="14" t="n">
        <f aca="false">SUMIFS('SKU Data'!$U$6:$U$505,'SKU Data'!$B$6:$B$505,$A13)</f>
        <v>0</v>
      </c>
    </row>
    <row r="14" customFormat="false" ht="15" hidden="false" customHeight="false" outlineLevel="0" collapsed="false">
      <c r="A14" s="9" t="str">
        <f aca="false">IF(Options!A14="","",Options!A14)</f>
        <v>OPT009</v>
      </c>
      <c r="B14" s="9" t="str">
        <f aca="false">IF(A14="","",Options!B14&amp;" "&amp;Options!C14)</f>
        <v>Harrington jacket Forest</v>
      </c>
      <c r="C14" s="9" t="str">
        <f aca="false">IF(A14="","",Options!E14)</f>
        <v>Outerwear</v>
      </c>
      <c r="D14" s="9" t="str">
        <f aca="false">IF(A14="","",Options!H14)</f>
        <v>Seasonal</v>
      </c>
      <c r="E14" s="12" t="n">
        <f aca="false">SUMIFS('SKU Data'!$E$6:$E$505,'SKU Data'!$B$6:$B$505,$A14)</f>
        <v>297</v>
      </c>
      <c r="F14" s="12" t="n">
        <f aca="false">SUMIFS('SKU Data'!$F$6:$F$505,'SKU Data'!$B$6:$B$505,$A14)</f>
        <v>0</v>
      </c>
      <c r="G14" s="12" t="n">
        <f aca="false">SUMIFS('SKU Data'!$G$6:$G$505,'SKU Data'!$B$6:$B$505,$A14)</f>
        <v>77</v>
      </c>
      <c r="H14" s="12" t="n">
        <f aca="false">N(Options!M14)</f>
        <v>0</v>
      </c>
      <c r="I14" s="12" t="n">
        <f aca="false">SUMIFS('SKU Data'!$H$6:$H$505,'SKU Data'!$B$6:$B$505,$A14)</f>
        <v>8</v>
      </c>
      <c r="J14" s="12" t="n">
        <f aca="false">SUMIFS('SKU Data'!$I$6:$I$505,'SKU Data'!$B$6:$B$505,$A14)</f>
        <v>9</v>
      </c>
      <c r="K14" s="12" t="n">
        <f aca="false">SUMIFS('SKU Data'!$J$6:$J$505,'SKU Data'!$B$6:$B$505,$A14)</f>
        <v>11</v>
      </c>
      <c r="L14" s="12" t="n">
        <f aca="false">SUMIFS('SKU Data'!$K$6:$K$505,'SKU Data'!$B$6:$B$505,$A14)</f>
        <v>13</v>
      </c>
      <c r="M14" s="25" t="n">
        <f aca="false">L14*Settings!$B$10+K14*Settings!$B$11+J14*Settings!$B$12+I14*Settings!$B$13</f>
        <v>11.1</v>
      </c>
      <c r="N14" s="25" t="n">
        <f aca="false">M14*Settings!$B$15</f>
        <v>9.99</v>
      </c>
      <c r="O14" s="12" t="n">
        <f aca="false">SUMIFS('SKU Data'!$L$6:$L$505,'SKU Data'!$B$6:$B$505,$A14)</f>
        <v>220</v>
      </c>
      <c r="P14" s="12" t="n">
        <f aca="false">SUMIFS('SKU Data'!$M$6:$M$505,'SKU Data'!$B$6:$B$505,$A14)</f>
        <v>192</v>
      </c>
      <c r="Q14" s="21" t="n">
        <f aca="false">IFERROR(O14/(E14-F14),0)</f>
        <v>0.740740740740741</v>
      </c>
      <c r="R14" s="21" t="n">
        <f aca="false">IFERROR(P14/(E14-F14),0)</f>
        <v>0.646464646464647</v>
      </c>
      <c r="S14" s="26" t="n">
        <f aca="false">IF(N14&lt;=0,IF(G14&gt;0,999,0),G14/N14)</f>
        <v>7.70770770770771</v>
      </c>
      <c r="T14" s="25" t="n">
        <f aca="false">IF(N(Options!L14)&gt;0,Options!L14,Settings!$B$20)</f>
        <v>8</v>
      </c>
      <c r="U14" s="9" t="n">
        <f aca="false">COUNTIFS('SKU Data'!$B$6:$B$505,$A14,'SKU Data'!$D$6:$D$505,"Y")</f>
        <v>3</v>
      </c>
      <c r="V14" s="9" t="n">
        <f aca="false">COUNTIFS('SKU Data'!$B$6:$B$505,$A14,'SKU Data'!$D$6:$D$505,"Y",'SKU Data'!$G$6:$G$505,"&lt;=0")</f>
        <v>0</v>
      </c>
      <c r="W14" s="28" t="str">
        <f aca="false">IF(A14="","",IF(AND(V14&gt;0,G14&gt;0),"Y",""))</f>
        <v/>
      </c>
      <c r="X14" s="9" t="str">
        <f aca="false">IF(A14="","",IF(AND(G14&gt;0,OR(Options!P14="N",Options!Q14="N")),"Y",""))</f>
        <v/>
      </c>
      <c r="Y14" s="9" t="n">
        <f aca="false">IF(AND(A14&lt;&gt;"",U14&gt;0,V14=0,G14&gt;0,Options!P14&lt;&gt;"N",Options!Q14&lt;&gt;"N"),1,0)</f>
        <v>1</v>
      </c>
      <c r="Z14" s="29" t="n">
        <f aca="false">IFERROR((K14+L14)/(I14+J14)-1,0)</f>
        <v>0.411764705882353</v>
      </c>
      <c r="AA14" s="9" t="str">
        <f aca="false">IF(A14="","",IF(Q14&gt;=Settings!$B$17,"High","Low"))</f>
        <v>High</v>
      </c>
      <c r="AB14" s="9" t="str">
        <f aca="false">IF(A14="","",IF(S14&lt;IF(D14="End of life",Settings!$B$9,IF(D14="Core",T14,MIN(T14,Settings!$B$9))),"Low",IF(S14&gt;IF(D14="Core",Settings!$B$19,Settings!$B$9+Settings!$B$18),"High","Balanced")))</f>
        <v>Balanced</v>
      </c>
      <c r="AC14" s="28" t="str">
        <f aca="false">IF(A14="","",IF(AW14="Y","Held for a campaign",IF(AA14="High",IF(AB14="Low","Selling and short",IF(AB14="High","Selling, heavy","Selling, covered")),IF(AB14="Low","Slow and short",IF(AB14="High","Slow and heavy","Slow, covered")))))</f>
        <v>Selling, covered</v>
      </c>
      <c r="AD14" s="9" t="str">
        <f aca="false">IF(A14="","",TRIM(IF(W14="Y","Broken curve. ","")&amp;IF(X14="Y","Hidden from customers. ","")&amp;IF(Options!O14="Y","Promoted. ","")&amp;IF(Options!I14="Y","Range job. ","")&amp;IF(D14="End of life","End of life. ","")&amp;IF(H14&gt;0,"Order due in "&amp;Options!N14&amp;" weeks. ","")&amp;IF(AW14="Y","Held for "&amp;Options!T14&amp;", starts in "&amp;Options!U14&amp;" weeks. ","")&amp;IF(AX14&gt;0,"Covering for "&amp;AX14&amp;" sold-out line(s). ","")))</f>
        <v/>
      </c>
      <c r="AE14" s="9" t="str">
        <f aca="false">IF(A14="","",IF(AW14="Y",IF(AND(N(Options!V14)&gt;0,G14+H14&gt;N(Options!V14)*1.1),Settings!$A$48,Settings!$A$47),IF(X14="Y",Settings!$A$27,IF(AND(W14="Y",D14&lt;&gt;"End of life",AA14="High"),IF(H14&gt;0,Settings!$A$28,Settings!$A$29),IF(AND(W14="Y",D14="End of life"),Settings!$A$30,IF(AC14="Selling and short",IF(D14="End of life",Settings!$A$31,IF(Options!O14="Y",Settings!$A$32,IF(AX14&gt;0,Settings!$A$33,IF(H14&gt;0,IF(N(Options!N14)&lt;=S14,Settings!$A$34,Settings!$A$35),IF(AND(D14&lt;&gt;"Core",T14&gt;=Settings!$B$9),Settings!$A$36,Settings!$A$37))))),IF(AC14="Selling, heavy",IF(D14="Core",Settings!$A$38,Settings!$A$39),IF(AC14="Selling, covered",Settings!$A$40,IF(AC14="Slow and heavy",IF(Options!I14="Y",Settings!$A$41,IF(D14="End of life",Settings!$A$42,Settings!$A$43)),IF(AC14="Slow and short",IF(W14="Y",Settings!$A$44,Settings!$A$45),Settings!$A$46))))))))))</f>
        <v>Hold</v>
      </c>
      <c r="AF14" s="9" t="str">
        <f aca="false">IF(A14="","",IFERROR(VLOOKUP(AM14,Settings!$A$27:$B$48,2,0),"Assign an owner"))</f>
        <v>Merchandiser</v>
      </c>
      <c r="AG14" s="14" t="n">
        <f aca="false">SUMIFS('SKU Data'!$V$6:$V$505,'SKU Data'!$B$6:$B$505,$A14)</f>
        <v>6437.2</v>
      </c>
      <c r="AH14" s="12" t="n">
        <f aca="false">IF(A14="",0,IF(AW14="Y",IF(N(Options!V14)&gt;0,MAX(0,G14+H14-N(Options!V14)),0),MAX(0,G14+H14-N14*IF(D14="Core",Settings!$B$19,Settings!$B$9))))</f>
        <v>37.04</v>
      </c>
      <c r="AI14" s="14" t="n">
        <f aca="false">IF(OR(A14="",D14="Core"),0,AH14*N(Options!J14)*Settings!$B$21)</f>
        <v>3259.52</v>
      </c>
      <c r="AJ14" s="14" t="n">
        <f aca="false">AH14*N(Options!K14)</f>
        <v>3096.544</v>
      </c>
      <c r="AK14" s="27" t="n">
        <f aca="false">AZ14*(1-AY14)</f>
        <v>0</v>
      </c>
      <c r="AL14" s="27" t="n">
        <f aca="false">AI14+AK14</f>
        <v>3259.52</v>
      </c>
      <c r="AM14" s="9" t="str">
        <f aca="false">IF(A14="","",IF(Options!W14&lt;&gt;"",Options!W14,AE14))</f>
        <v>Hold</v>
      </c>
      <c r="AN14" s="28" t="n">
        <f aca="false">IF(A14="","",COUNTIF($AR$6:$AR$85,"&gt;"&amp;AR14)+1)</f>
        <v>28</v>
      </c>
      <c r="AO14" s="9" t="str">
        <f aca="false">IF(A14="","",Options!D14)</f>
        <v>Jackets</v>
      </c>
      <c r="AP14" s="9" t="str">
        <f aca="false">IF(A14="","",Options!F14)</f>
        <v>Own brand</v>
      </c>
      <c r="AQ14" s="9" t="n">
        <f aca="false">IF(AND(A14&lt;&gt;"",AW14&lt;&gt;"Y",M14&gt;0,COUNTIF($M$6:$M$85,"&gt;"&amp;M14)&lt;Settings!$B$22),1,0)</f>
        <v>0</v>
      </c>
      <c r="AR14" s="28" t="n">
        <f aca="false">IF(A14="",-1,AL14+ROW()/1000000000)</f>
        <v>3259.520000014</v>
      </c>
      <c r="AS14" s="28" t="n">
        <f aca="false">IF(A14="",-1,AK14+ROW()/1000000000)</f>
        <v>1.4E-008</v>
      </c>
      <c r="AT14" s="28" t="n">
        <f aca="false">IF(A14="",-1,AI14+ROW()/1000000000)</f>
        <v>3259.520000014</v>
      </c>
      <c r="AU14" s="25" t="n">
        <f aca="false">SUMIFS('SKU Data'!$W$6:$W$505,'SKU Data'!$B$6:$B$505,$A14)</f>
        <v>10.25</v>
      </c>
      <c r="AV14" s="28" t="n">
        <f aca="false">IF(A14="","",COUNTIFS($C$6:$C$85,C14,$M$6:$M$85,"&gt;"&amp;M14)+1)</f>
        <v>9</v>
      </c>
      <c r="AW14" s="9" t="str">
        <f aca="false">IF(A14="","",IF(AND(Options!T14&lt;&gt;"",N(Options!U14)&gt;0),"Y",""))</f>
        <v/>
      </c>
      <c r="AX14" s="9" t="n">
        <f aca="false">IF(A14="",0,COUNTIFS(Options!$R$6:$R$85,$A14,$V$6:$V$85,"&gt;0"))</f>
        <v>0</v>
      </c>
      <c r="AY14" s="13" t="n">
        <f aca="false">IF(Options!S14&lt;&gt;"",Options!S14,Settings!$B$23)</f>
        <v>0.3</v>
      </c>
      <c r="AZ14" s="14" t="n">
        <f aca="false">SUMIFS('SKU Data'!$U$6:$U$505,'SKU Data'!$B$6:$B$505,$A14)</f>
        <v>0</v>
      </c>
    </row>
    <row r="15" customFormat="false" ht="15" hidden="false" customHeight="false" outlineLevel="0" collapsed="false">
      <c r="A15" s="9" t="str">
        <f aca="false">IF(Options!A15="","",Options!A15)</f>
        <v>OPT010</v>
      </c>
      <c r="B15" s="9" t="str">
        <f aca="false">IF(A15="","",Options!B15&amp;" "&amp;Options!C15)</f>
        <v>Overcoat Sand</v>
      </c>
      <c r="C15" s="9" t="str">
        <f aca="false">IF(A15="","",Options!E15)</f>
        <v>Outerwear</v>
      </c>
      <c r="D15" s="9" t="str">
        <f aca="false">IF(A15="","",Options!H15)</f>
        <v>Seasonal</v>
      </c>
      <c r="E15" s="12" t="n">
        <f aca="false">SUMIFS('SKU Data'!$E$6:$E$505,'SKU Data'!$B$6:$B$505,$A15)</f>
        <v>672</v>
      </c>
      <c r="F15" s="12" t="n">
        <f aca="false">SUMIFS('SKU Data'!$F$6:$F$505,'SKU Data'!$B$6:$B$505,$A15)</f>
        <v>0</v>
      </c>
      <c r="G15" s="12" t="n">
        <f aca="false">SUMIFS('SKU Data'!$G$6:$G$505,'SKU Data'!$B$6:$B$505,$A15)</f>
        <v>190</v>
      </c>
      <c r="H15" s="12" t="n">
        <f aca="false">N(Options!M15)</f>
        <v>0</v>
      </c>
      <c r="I15" s="12" t="n">
        <f aca="false">SUMIFS('SKU Data'!$H$6:$H$505,'SKU Data'!$B$6:$B$505,$A15)</f>
        <v>20</v>
      </c>
      <c r="J15" s="12" t="n">
        <f aca="false">SUMIFS('SKU Data'!$I$6:$I$505,'SKU Data'!$B$6:$B$505,$A15)</f>
        <v>20</v>
      </c>
      <c r="K15" s="12" t="n">
        <f aca="false">SUMIFS('SKU Data'!$J$6:$J$505,'SKU Data'!$B$6:$B$505,$A15)</f>
        <v>22</v>
      </c>
      <c r="L15" s="12" t="n">
        <f aca="false">SUMIFS('SKU Data'!$K$6:$K$505,'SKU Data'!$B$6:$B$505,$A15)</f>
        <v>23</v>
      </c>
      <c r="M15" s="25" t="n">
        <f aca="false">L15*Settings!$B$10+K15*Settings!$B$11+J15*Settings!$B$12+I15*Settings!$B$13</f>
        <v>21.8</v>
      </c>
      <c r="N15" s="25" t="n">
        <f aca="false">M15*Settings!$B$15</f>
        <v>19.62</v>
      </c>
      <c r="O15" s="12" t="n">
        <f aca="false">SUMIFS('SKU Data'!$L$6:$L$505,'SKU Data'!$B$6:$B$505,$A15)</f>
        <v>482</v>
      </c>
      <c r="P15" s="12" t="n">
        <f aca="false">SUMIFS('SKU Data'!$M$6:$M$505,'SKU Data'!$B$6:$B$505,$A15)</f>
        <v>425</v>
      </c>
      <c r="Q15" s="21" t="n">
        <f aca="false">IFERROR(O15/(E15-F15),0)</f>
        <v>0.717261904761905</v>
      </c>
      <c r="R15" s="21" t="n">
        <f aca="false">IFERROR(P15/(E15-F15),0)</f>
        <v>0.632440476190476</v>
      </c>
      <c r="S15" s="26" t="n">
        <f aca="false">IF(N15&lt;=0,IF(G15&gt;0,999,0),G15/N15)</f>
        <v>9.68399592252803</v>
      </c>
      <c r="T15" s="25" t="n">
        <f aca="false">IF(N(Options!L15)&gt;0,Options!L15,Settings!$B$20)</f>
        <v>8</v>
      </c>
      <c r="U15" s="9" t="n">
        <f aca="false">COUNTIFS('SKU Data'!$B$6:$B$505,$A15,'SKU Data'!$D$6:$D$505,"Y")</f>
        <v>3</v>
      </c>
      <c r="V15" s="9" t="n">
        <f aca="false">COUNTIFS('SKU Data'!$B$6:$B$505,$A15,'SKU Data'!$D$6:$D$505,"Y",'SKU Data'!$G$6:$G$505,"&lt;=0")</f>
        <v>0</v>
      </c>
      <c r="W15" s="28" t="str">
        <f aca="false">IF(A15="","",IF(AND(V15&gt;0,G15&gt;0),"Y",""))</f>
        <v/>
      </c>
      <c r="X15" s="9" t="str">
        <f aca="false">IF(A15="","",IF(AND(G15&gt;0,OR(Options!P15="N",Options!Q15="N")),"Y",""))</f>
        <v/>
      </c>
      <c r="Y15" s="9" t="n">
        <f aca="false">IF(AND(A15&lt;&gt;"",U15&gt;0,V15=0,G15&gt;0,Options!P15&lt;&gt;"N",Options!Q15&lt;&gt;"N"),1,0)</f>
        <v>1</v>
      </c>
      <c r="Z15" s="29" t="n">
        <f aca="false">IFERROR((K15+L15)/(I15+J15)-1,0)</f>
        <v>0.125</v>
      </c>
      <c r="AA15" s="9" t="str">
        <f aca="false">IF(A15="","",IF(Q15&gt;=Settings!$B$17,"High","Low"))</f>
        <v>Low</v>
      </c>
      <c r="AB15" s="9" t="str">
        <f aca="false">IF(A15="","",IF(S15&lt;IF(D15="End of life",Settings!$B$9,IF(D15="Core",T15,MIN(T15,Settings!$B$9))),"Low",IF(S15&gt;IF(D15="Core",Settings!$B$19,Settings!$B$9+Settings!$B$18),"High","Balanced")))</f>
        <v>High</v>
      </c>
      <c r="AC15" s="28" t="str">
        <f aca="false">IF(A15="","",IF(AW15="Y","Held for a campaign",IF(AA15="High",IF(AB15="Low","Selling and short",IF(AB15="High","Selling, heavy","Selling, covered")),IF(AB15="Low","Slow and short",IF(AB15="High","Slow and heavy","Slow, covered")))))</f>
        <v>Slow and heavy</v>
      </c>
      <c r="AD15" s="9" t="str">
        <f aca="false">IF(A15="","",TRIM(IF(W15="Y","Broken curve. ","")&amp;IF(X15="Y","Hidden from customers. ","")&amp;IF(Options!O15="Y","Promoted. ","")&amp;IF(Options!I15="Y","Range job. ","")&amp;IF(D15="End of life","End of life. ","")&amp;IF(H15&gt;0,"Order due in "&amp;Options!N15&amp;" weeks. ","")&amp;IF(AW15="Y","Held for "&amp;Options!T15&amp;", starts in "&amp;Options!U15&amp;" weeks. ","")&amp;IF(AX15&gt;0,"Covering for "&amp;AX15&amp;" sold-out line(s). ","")))</f>
        <v/>
      </c>
      <c r="AE15" s="9" t="str">
        <f aca="false">IF(A15="","",IF(AW15="Y",IF(AND(N(Options!V15)&gt;0,G15+H15&gt;N(Options!V15)*1.1),Settings!$A$48,Settings!$A$47),IF(X15="Y",Settings!$A$27,IF(AND(W15="Y",D15&lt;&gt;"End of life",AA15="High"),IF(H15&gt;0,Settings!$A$28,Settings!$A$29),IF(AND(W15="Y",D15="End of life"),Settings!$A$30,IF(AC15="Selling and short",IF(D15="End of life",Settings!$A$31,IF(Options!O15="Y",Settings!$A$32,IF(AX15&gt;0,Settings!$A$33,IF(H15&gt;0,IF(N(Options!N15)&lt;=S15,Settings!$A$34,Settings!$A$35),IF(AND(D15&lt;&gt;"Core",T15&gt;=Settings!$B$9),Settings!$A$36,Settings!$A$37))))),IF(AC15="Selling, heavy",IF(D15="Core",Settings!$A$38,Settings!$A$39),IF(AC15="Selling, covered",Settings!$A$40,IF(AC15="Slow and heavy",IF(Options!I15="Y",Settings!$A$41,IF(D15="End of life",Settings!$A$42,Settings!$A$43)),IF(AC15="Slow and short",IF(W15="Y",Settings!$A$44,Settings!$A$45),Settings!$A$46))))))))))</f>
        <v>Mark down or re-merchandise</v>
      </c>
      <c r="AF15" s="9" t="str">
        <f aca="false">IF(A15="","",IFERROR(VLOOKUP(AM15,Settings!$A$27:$B$48,2,0),"Assign an owner"))</f>
        <v>Trading Manager</v>
      </c>
      <c r="AG15" s="14" t="n">
        <f aca="false">SUMIFS('SKU Data'!$V$6:$V$505,'SKU Data'!$B$6:$B$505,$A15)</f>
        <v>12996</v>
      </c>
      <c r="AH15" s="12" t="n">
        <f aca="false">IF(A15="",0,IF(AW15="Y",IF(N(Options!V15)&gt;0,MAX(0,G15+H15-N(Options!V15)),0),MAX(0,G15+H15-N15*IF(D15="Core",Settings!$B$19,Settings!$B$9))))</f>
        <v>111.52</v>
      </c>
      <c r="AI15" s="14" t="n">
        <f aca="false">IF(OR(A15="",D15="Core"),0,AH15*N(Options!J15)*Settings!$B$21)</f>
        <v>8029.44</v>
      </c>
      <c r="AJ15" s="14" t="n">
        <f aca="false">AH15*N(Options!K15)</f>
        <v>7627.968</v>
      </c>
      <c r="AK15" s="27" t="n">
        <f aca="false">AZ15*(1-AY15)</f>
        <v>0</v>
      </c>
      <c r="AL15" s="27" t="n">
        <f aca="false">AI15+AK15</f>
        <v>8029.44</v>
      </c>
      <c r="AM15" s="9" t="str">
        <f aca="false">IF(A15="","",IF(Options!W15&lt;&gt;"",Options!W15,AE15))</f>
        <v>Mark down or re-merchandise</v>
      </c>
      <c r="AN15" s="28" t="n">
        <f aca="false">IF(A15="","",COUNTIF($AR$6:$AR$85,"&gt;"&amp;AR15)+1)</f>
        <v>14</v>
      </c>
      <c r="AO15" s="9" t="str">
        <f aca="false">IF(A15="","",Options!D15)</f>
        <v>Coats</v>
      </c>
      <c r="AP15" s="9" t="str">
        <f aca="false">IF(A15="","",Options!F15)</f>
        <v>Own brand</v>
      </c>
      <c r="AQ15" s="9" t="n">
        <f aca="false">IF(AND(A15&lt;&gt;"",AW15&lt;&gt;"Y",M15&gt;0,COUNTIF($M$6:$M$85,"&gt;"&amp;M15)&lt;Settings!$B$22),1,0)</f>
        <v>1</v>
      </c>
      <c r="AR15" s="28" t="n">
        <f aca="false">IF(A15="",-1,AL15+ROW()/1000000000)</f>
        <v>8029.440000015</v>
      </c>
      <c r="AS15" s="28" t="n">
        <f aca="false">IF(A15="",-1,AK15+ROW()/1000000000)</f>
        <v>1.5E-008</v>
      </c>
      <c r="AT15" s="28" t="n">
        <f aca="false">IF(A15="",-1,AI15+ROW()/1000000000)</f>
        <v>8029.440000015</v>
      </c>
      <c r="AU15" s="25" t="n">
        <f aca="false">SUMIFS('SKU Data'!$W$6:$W$505,'SKU Data'!$B$6:$B$505,$A15)</f>
        <v>21.25</v>
      </c>
      <c r="AV15" s="28" t="n">
        <f aca="false">IF(A15="","",COUNTIFS($C$6:$C$85,C15,$M$6:$M$85,"&gt;"&amp;M15)+1)</f>
        <v>5</v>
      </c>
      <c r="AW15" s="9" t="str">
        <f aca="false">IF(A15="","",IF(AND(Options!T15&lt;&gt;"",N(Options!U15)&gt;0),"Y",""))</f>
        <v/>
      </c>
      <c r="AX15" s="9" t="n">
        <f aca="false">IF(A15="",0,COUNTIFS(Options!$R$6:$R$85,$A15,$V$6:$V$85,"&gt;0"))</f>
        <v>0</v>
      </c>
      <c r="AY15" s="13" t="n">
        <f aca="false">IF(Options!S15&lt;&gt;"",Options!S15,Settings!$B$23)</f>
        <v>0.3</v>
      </c>
      <c r="AZ15" s="14" t="n">
        <f aca="false">SUMIFS('SKU Data'!$U$6:$U$505,'SKU Data'!$B$6:$B$505,$A15)</f>
        <v>0</v>
      </c>
    </row>
    <row r="16" customFormat="false" ht="15" hidden="false" customHeight="false" outlineLevel="0" collapsed="false">
      <c r="A16" s="9" t="str">
        <f aca="false">IF(Options!A16="","",Options!A16)</f>
        <v>OPT011</v>
      </c>
      <c r="B16" s="9" t="str">
        <f aca="false">IF(A16="","",Options!B16&amp;" "&amp;Options!C16)</f>
        <v>Shacket Teal</v>
      </c>
      <c r="C16" s="9" t="str">
        <f aca="false">IF(A16="","",Options!E16)</f>
        <v>Outerwear</v>
      </c>
      <c r="D16" s="9" t="str">
        <f aca="false">IF(A16="","",Options!H16)</f>
        <v>Seasonal</v>
      </c>
      <c r="E16" s="12" t="n">
        <f aca="false">SUMIFS('SKU Data'!$E$6:$E$505,'SKU Data'!$B$6:$B$505,$A16)</f>
        <v>683</v>
      </c>
      <c r="F16" s="12" t="n">
        <f aca="false">SUMIFS('SKU Data'!$F$6:$F$505,'SKU Data'!$B$6:$B$505,$A16)</f>
        <v>0</v>
      </c>
      <c r="G16" s="12" t="n">
        <f aca="false">SUMIFS('SKU Data'!$G$6:$G$505,'SKU Data'!$B$6:$B$505,$A16)</f>
        <v>142</v>
      </c>
      <c r="H16" s="12" t="n">
        <f aca="false">N(Options!M16)</f>
        <v>0</v>
      </c>
      <c r="I16" s="12" t="n">
        <f aca="false">SUMIFS('SKU Data'!$H$6:$H$505,'SKU Data'!$B$6:$B$505,$A16)</f>
        <v>20</v>
      </c>
      <c r="J16" s="12" t="n">
        <f aca="false">SUMIFS('SKU Data'!$I$6:$I$505,'SKU Data'!$B$6:$B$505,$A16)</f>
        <v>23</v>
      </c>
      <c r="K16" s="12" t="n">
        <f aca="false">SUMIFS('SKU Data'!$J$6:$J$505,'SKU Data'!$B$6:$B$505,$A16)</f>
        <v>26</v>
      </c>
      <c r="L16" s="12" t="n">
        <f aca="false">SUMIFS('SKU Data'!$K$6:$K$505,'SKU Data'!$B$6:$B$505,$A16)</f>
        <v>27</v>
      </c>
      <c r="M16" s="25" t="n">
        <f aca="false">L16*Settings!$B$10+K16*Settings!$B$11+J16*Settings!$B$12+I16*Settings!$B$13</f>
        <v>25.2</v>
      </c>
      <c r="N16" s="25" t="n">
        <f aca="false">M16*Settings!$B$15</f>
        <v>22.68</v>
      </c>
      <c r="O16" s="12" t="n">
        <f aca="false">SUMIFS('SKU Data'!$L$6:$L$505,'SKU Data'!$B$6:$B$505,$A16)</f>
        <v>541</v>
      </c>
      <c r="P16" s="12" t="n">
        <f aca="false">SUMIFS('SKU Data'!$M$6:$M$505,'SKU Data'!$B$6:$B$505,$A16)</f>
        <v>476</v>
      </c>
      <c r="Q16" s="21" t="n">
        <f aca="false">IFERROR(O16/(E16-F16),0)</f>
        <v>0.792093704245974</v>
      </c>
      <c r="R16" s="21" t="n">
        <f aca="false">IFERROR(P16/(E16-F16),0)</f>
        <v>0.69692532942899</v>
      </c>
      <c r="S16" s="26" t="n">
        <f aca="false">IF(N16&lt;=0,IF(G16&gt;0,999,0),G16/N16)</f>
        <v>6.26102292768959</v>
      </c>
      <c r="T16" s="25" t="n">
        <f aca="false">IF(N(Options!L16)&gt;0,Options!L16,Settings!$B$20)</f>
        <v>6</v>
      </c>
      <c r="U16" s="9" t="n">
        <f aca="false">COUNTIFS('SKU Data'!$B$6:$B$505,$A16,'SKU Data'!$D$6:$D$505,"Y")</f>
        <v>3</v>
      </c>
      <c r="V16" s="9" t="n">
        <f aca="false">COUNTIFS('SKU Data'!$B$6:$B$505,$A16,'SKU Data'!$D$6:$D$505,"Y",'SKU Data'!$G$6:$G$505,"&lt;=0")</f>
        <v>0</v>
      </c>
      <c r="W16" s="28" t="str">
        <f aca="false">IF(A16="","",IF(AND(V16&gt;0,G16&gt;0),"Y",""))</f>
        <v/>
      </c>
      <c r="X16" s="9" t="str">
        <f aca="false">IF(A16="","",IF(AND(G16&gt;0,OR(Options!P16="N",Options!Q16="N")),"Y",""))</f>
        <v/>
      </c>
      <c r="Y16" s="9" t="n">
        <f aca="false">IF(AND(A16&lt;&gt;"",U16&gt;0,V16=0,G16&gt;0,Options!P16&lt;&gt;"N",Options!Q16&lt;&gt;"N"),1,0)</f>
        <v>1</v>
      </c>
      <c r="Z16" s="29" t="n">
        <f aca="false">IFERROR((K16+L16)/(I16+J16)-1,0)</f>
        <v>0.232558139534884</v>
      </c>
      <c r="AA16" s="9" t="str">
        <f aca="false">IF(A16="","",IF(Q16&gt;=Settings!$B$17,"High","Low"))</f>
        <v>High</v>
      </c>
      <c r="AB16" s="9" t="str">
        <f aca="false">IF(A16="","",IF(S16&lt;IF(D16="End of life",Settings!$B$9,IF(D16="Core",T16,MIN(T16,Settings!$B$9))),"Low",IF(S16&gt;IF(D16="Core",Settings!$B$19,Settings!$B$9+Settings!$B$18),"High","Balanced")))</f>
        <v>Balanced</v>
      </c>
      <c r="AC16" s="28" t="str">
        <f aca="false">IF(A16="","",IF(AW16="Y","Held for a campaign",IF(AA16="High",IF(AB16="Low","Selling and short",IF(AB16="High","Selling, heavy","Selling, covered")),IF(AB16="Low","Slow and short",IF(AB16="High","Slow and heavy","Slow, covered")))))</f>
        <v>Selling, covered</v>
      </c>
      <c r="AD16" s="9" t="str">
        <f aca="false">IF(A16="","",TRIM(IF(W16="Y","Broken curve. ","")&amp;IF(X16="Y","Hidden from customers. ","")&amp;IF(Options!O16="Y","Promoted. ","")&amp;IF(Options!I16="Y","Range job. ","")&amp;IF(D16="End of life","End of life. ","")&amp;IF(H16&gt;0,"Order due in "&amp;Options!N16&amp;" weeks. ","")&amp;IF(AW16="Y","Held for "&amp;Options!T16&amp;", starts in "&amp;Options!U16&amp;" weeks. ","")&amp;IF(AX16&gt;0,"Covering for "&amp;AX16&amp;" sold-out line(s). ","")))</f>
        <v/>
      </c>
      <c r="AE16" s="9" t="str">
        <f aca="false">IF(A16="","",IF(AW16="Y",IF(AND(N(Options!V16)&gt;0,G16+H16&gt;N(Options!V16)*1.1),Settings!$A$48,Settings!$A$47),IF(X16="Y",Settings!$A$27,IF(AND(W16="Y",D16&lt;&gt;"End of life",AA16="High"),IF(H16&gt;0,Settings!$A$28,Settings!$A$29),IF(AND(W16="Y",D16="End of life"),Settings!$A$30,IF(AC16="Selling and short",IF(D16="End of life",Settings!$A$31,IF(Options!O16="Y",Settings!$A$32,IF(AX16&gt;0,Settings!$A$33,IF(H16&gt;0,IF(N(Options!N16)&lt;=S16,Settings!$A$34,Settings!$A$35),IF(AND(D16&lt;&gt;"Core",T16&gt;=Settings!$B$9),Settings!$A$36,Settings!$A$37))))),IF(AC16="Selling, heavy",IF(D16="Core",Settings!$A$38,Settings!$A$39),IF(AC16="Selling, covered",Settings!$A$40,IF(AC16="Slow and heavy",IF(Options!I16="Y",Settings!$A$41,IF(D16="End of life",Settings!$A$42,Settings!$A$43)),IF(AC16="Slow and short",IF(W16="Y",Settings!$A$44,Settings!$A$45),Settings!$A$46))))))))))</f>
        <v>Hold</v>
      </c>
      <c r="AF16" s="9" t="str">
        <f aca="false">IF(A16="","",IFERROR(VLOOKUP(AM16,Settings!$A$27:$B$48,2,0),"Assign an owner"))</f>
        <v>Merchandiser</v>
      </c>
      <c r="AG16" s="14" t="n">
        <f aca="false">SUMIFS('SKU Data'!$V$6:$V$505,'SKU Data'!$B$6:$B$505,$A16)</f>
        <v>9712.8</v>
      </c>
      <c r="AH16" s="12" t="n">
        <f aca="false">IF(A16="",0,IF(AW16="Y",IF(N(Options!V16)&gt;0,MAX(0,G16+H16-N(Options!V16)),0),MAX(0,G16+H16-N16*IF(D16="Core",Settings!$B$19,Settings!$B$9))))</f>
        <v>51.28</v>
      </c>
      <c r="AI16" s="14" t="n">
        <f aca="false">IF(OR(A16="",D16="Core"),0,AH16*N(Options!J16)*Settings!$B$21)</f>
        <v>3692.16</v>
      </c>
      <c r="AJ16" s="14" t="n">
        <f aca="false">AH16*N(Options!K16)</f>
        <v>3507.552</v>
      </c>
      <c r="AK16" s="27" t="n">
        <f aca="false">AZ16*(1-AY16)</f>
        <v>0</v>
      </c>
      <c r="AL16" s="27" t="n">
        <f aca="false">AI16+AK16</f>
        <v>3692.16</v>
      </c>
      <c r="AM16" s="9" t="str">
        <f aca="false">IF(A16="","",IF(Options!W16&lt;&gt;"",Options!W16,AE16))</f>
        <v>Hold</v>
      </c>
      <c r="AN16" s="28" t="n">
        <f aca="false">IF(A16="","",COUNTIF($AR$6:$AR$85,"&gt;"&amp;AR16)+1)</f>
        <v>25</v>
      </c>
      <c r="AO16" s="9" t="str">
        <f aca="false">IF(A16="","",Options!D16)</f>
        <v>Jackets</v>
      </c>
      <c r="AP16" s="9" t="str">
        <f aca="false">IF(A16="","",Options!F16)</f>
        <v>Own brand</v>
      </c>
      <c r="AQ16" s="9" t="n">
        <f aca="false">IF(AND(A16&lt;&gt;"",AW16&lt;&gt;"Y",M16&gt;0,COUNTIF($M$6:$M$85,"&gt;"&amp;M16)&lt;Settings!$B$22),1,0)</f>
        <v>1</v>
      </c>
      <c r="AR16" s="28" t="n">
        <f aca="false">IF(A16="",-1,AL16+ROW()/1000000000)</f>
        <v>3692.160000016</v>
      </c>
      <c r="AS16" s="28" t="n">
        <f aca="false">IF(A16="",-1,AK16+ROW()/1000000000)</f>
        <v>1.6E-008</v>
      </c>
      <c r="AT16" s="28" t="n">
        <f aca="false">IF(A16="",-1,AI16+ROW()/1000000000)</f>
        <v>3692.160000016</v>
      </c>
      <c r="AU16" s="25" t="n">
        <f aca="false">SUMIFS('SKU Data'!$W$6:$W$505,'SKU Data'!$B$6:$B$505,$A16)</f>
        <v>24</v>
      </c>
      <c r="AV16" s="28" t="n">
        <f aca="false">IF(A16="","",COUNTIFS($C$6:$C$85,C16,$M$6:$M$85,"&gt;"&amp;M16)+1)</f>
        <v>4</v>
      </c>
      <c r="AW16" s="9" t="str">
        <f aca="false">IF(A16="","",IF(AND(Options!T16&lt;&gt;"",N(Options!U16)&gt;0),"Y",""))</f>
        <v/>
      </c>
      <c r="AX16" s="9" t="n">
        <f aca="false">IF(A16="",0,COUNTIFS(Options!$R$6:$R$85,$A16,$V$6:$V$85,"&gt;0"))</f>
        <v>0</v>
      </c>
      <c r="AY16" s="13" t="n">
        <f aca="false">IF(Options!S16&lt;&gt;"",Options!S16,Settings!$B$23)</f>
        <v>0.3</v>
      </c>
      <c r="AZ16" s="14" t="n">
        <f aca="false">SUMIFS('SKU Data'!$U$6:$U$505,'SKU Data'!$B$6:$B$505,$A16)</f>
        <v>0</v>
      </c>
    </row>
    <row r="17" customFormat="false" ht="15" hidden="false" customHeight="false" outlineLevel="0" collapsed="false">
      <c r="A17" s="9" t="str">
        <f aca="false">IF(Options!A17="","",Options!A17)</f>
        <v>OPT012</v>
      </c>
      <c r="B17" s="9" t="str">
        <f aca="false">IF(A17="","",Options!B17&amp;" "&amp;Options!C17)</f>
        <v>Car coat Mustard</v>
      </c>
      <c r="C17" s="9" t="str">
        <f aca="false">IF(A17="","",Options!E17)</f>
        <v>Outerwear</v>
      </c>
      <c r="D17" s="9" t="str">
        <f aca="false">IF(A17="","",Options!H17)</f>
        <v>Seasonal</v>
      </c>
      <c r="E17" s="12" t="n">
        <f aca="false">SUMIFS('SKU Data'!$E$6:$E$505,'SKU Data'!$B$6:$B$505,$A17)</f>
        <v>982</v>
      </c>
      <c r="F17" s="12" t="n">
        <f aca="false">SUMIFS('SKU Data'!$F$6:$F$505,'SKU Data'!$B$6:$B$505,$A17)</f>
        <v>0</v>
      </c>
      <c r="G17" s="12" t="n">
        <f aca="false">SUMIFS('SKU Data'!$G$6:$G$505,'SKU Data'!$B$6:$B$505,$A17)</f>
        <v>627</v>
      </c>
      <c r="H17" s="12" t="n">
        <f aca="false">N(Options!M17)</f>
        <v>0</v>
      </c>
      <c r="I17" s="12" t="n">
        <f aca="false">SUMIFS('SKU Data'!$H$6:$H$505,'SKU Data'!$B$6:$B$505,$A17)</f>
        <v>11</v>
      </c>
      <c r="J17" s="12" t="n">
        <f aca="false">SUMIFS('SKU Data'!$I$6:$I$505,'SKU Data'!$B$6:$B$505,$A17)</f>
        <v>11</v>
      </c>
      <c r="K17" s="12" t="n">
        <f aca="false">SUMIFS('SKU Data'!$J$6:$J$505,'SKU Data'!$B$6:$B$505,$A17)</f>
        <v>13</v>
      </c>
      <c r="L17" s="12" t="n">
        <f aca="false">SUMIFS('SKU Data'!$K$6:$K$505,'SKU Data'!$B$6:$B$505,$A17)</f>
        <v>12</v>
      </c>
      <c r="M17" s="25" t="n">
        <f aca="false">L17*Settings!$B$10+K17*Settings!$B$11+J17*Settings!$B$12+I17*Settings!$B$13</f>
        <v>12</v>
      </c>
      <c r="N17" s="25" t="n">
        <f aca="false">M17*Settings!$B$15</f>
        <v>10.8</v>
      </c>
      <c r="O17" s="12" t="n">
        <f aca="false">SUMIFS('SKU Data'!$L$6:$L$505,'SKU Data'!$B$6:$B$505,$A17)</f>
        <v>355</v>
      </c>
      <c r="P17" s="12" t="n">
        <f aca="false">SUMIFS('SKU Data'!$M$6:$M$505,'SKU Data'!$B$6:$B$505,$A17)</f>
        <v>213</v>
      </c>
      <c r="Q17" s="21" t="n">
        <f aca="false">IFERROR(O17/(E17-F17),0)</f>
        <v>0.361507128309572</v>
      </c>
      <c r="R17" s="21" t="n">
        <f aca="false">IFERROR(P17/(E17-F17),0)</f>
        <v>0.216904276985743</v>
      </c>
      <c r="S17" s="26" t="n">
        <f aca="false">IF(N17&lt;=0,IF(G17&gt;0,999,0),G17/N17)</f>
        <v>58.0555555555555</v>
      </c>
      <c r="T17" s="25" t="n">
        <f aca="false">IF(N(Options!L17)&gt;0,Options!L17,Settings!$B$20)</f>
        <v>8</v>
      </c>
      <c r="U17" s="9" t="n">
        <f aca="false">COUNTIFS('SKU Data'!$B$6:$B$505,$A17,'SKU Data'!$D$6:$D$505,"Y")</f>
        <v>3</v>
      </c>
      <c r="V17" s="9" t="n">
        <f aca="false">COUNTIFS('SKU Data'!$B$6:$B$505,$A17,'SKU Data'!$D$6:$D$505,"Y",'SKU Data'!$G$6:$G$505,"&lt;=0")</f>
        <v>0</v>
      </c>
      <c r="W17" s="28" t="str">
        <f aca="false">IF(A17="","",IF(AND(V17&gt;0,G17&gt;0),"Y",""))</f>
        <v/>
      </c>
      <c r="X17" s="9" t="str">
        <f aca="false">IF(A17="","",IF(AND(G17&gt;0,OR(Options!P17="N",Options!Q17="N")),"Y",""))</f>
        <v/>
      </c>
      <c r="Y17" s="9" t="n">
        <f aca="false">IF(AND(A17&lt;&gt;"",U17&gt;0,V17=0,G17&gt;0,Options!P17&lt;&gt;"N",Options!Q17&lt;&gt;"N"),1,0)</f>
        <v>1</v>
      </c>
      <c r="Z17" s="29" t="n">
        <f aca="false">IFERROR((K17+L17)/(I17+J17)-1,0)</f>
        <v>0.136363636363636</v>
      </c>
      <c r="AA17" s="9" t="str">
        <f aca="false">IF(A17="","",IF(Q17&gt;=Settings!$B$17,"High","Low"))</f>
        <v>Low</v>
      </c>
      <c r="AB17" s="9" t="str">
        <f aca="false">IF(A17="","",IF(S17&lt;IF(D17="End of life",Settings!$B$9,IF(D17="Core",T17,MIN(T17,Settings!$B$9))),"Low",IF(S17&gt;IF(D17="Core",Settings!$B$19,Settings!$B$9+Settings!$B$18),"High","Balanced")))</f>
        <v>High</v>
      </c>
      <c r="AC17" s="28" t="str">
        <f aca="false">IF(A17="","",IF(AW17="Y","Held for a campaign",IF(AA17="High",IF(AB17="Low","Selling and short",IF(AB17="High","Selling, heavy","Selling, covered")),IF(AB17="Low","Slow and short",IF(AB17="High","Slow and heavy","Slow, covered")))))</f>
        <v>Slow and heavy</v>
      </c>
      <c r="AD17" s="9" t="str">
        <f aca="false">IF(A17="","",TRIM(IF(W17="Y","Broken curve. ","")&amp;IF(X17="Y","Hidden from customers. ","")&amp;IF(Options!O17="Y","Promoted. ","")&amp;IF(Options!I17="Y","Range job. ","")&amp;IF(D17="End of life","End of life. ","")&amp;IF(H17&gt;0,"Order due in "&amp;Options!N17&amp;" weeks. ","")&amp;IF(AW17="Y","Held for "&amp;Options!T17&amp;", starts in "&amp;Options!U17&amp;" weeks. ","")&amp;IF(AX17&gt;0,"Covering for "&amp;AX17&amp;" sold-out line(s). ","")))</f>
        <v/>
      </c>
      <c r="AE17" s="9" t="str">
        <f aca="false">IF(A17="","",IF(AW17="Y",IF(AND(N(Options!V17)&gt;0,G17+H17&gt;N(Options!V17)*1.1),Settings!$A$48,Settings!$A$47),IF(X17="Y",Settings!$A$27,IF(AND(W17="Y",D17&lt;&gt;"End of life",AA17="High"),IF(H17&gt;0,Settings!$A$28,Settings!$A$29),IF(AND(W17="Y",D17="End of life"),Settings!$A$30,IF(AC17="Selling and short",IF(D17="End of life",Settings!$A$31,IF(Options!O17="Y",Settings!$A$32,IF(AX17&gt;0,Settings!$A$33,IF(H17&gt;0,IF(N(Options!N17)&lt;=S17,Settings!$A$34,Settings!$A$35),IF(AND(D17&lt;&gt;"Core",T17&gt;=Settings!$B$9),Settings!$A$36,Settings!$A$37))))),IF(AC17="Selling, heavy",IF(D17="Core",Settings!$A$38,Settings!$A$39),IF(AC17="Selling, covered",Settings!$A$40,IF(AC17="Slow and heavy",IF(Options!I17="Y",Settings!$A$41,IF(D17="End of life",Settings!$A$42,Settings!$A$43)),IF(AC17="Slow and short",IF(W17="Y",Settings!$A$44,Settings!$A$45),Settings!$A$46))))))))))</f>
        <v>Mark down or re-merchandise</v>
      </c>
      <c r="AF17" s="9" t="str">
        <f aca="false">IF(A17="","",IFERROR(VLOOKUP(AM17,Settings!$A$27:$B$48,2,0),"Assign an owner"))</f>
        <v>Trading Manager</v>
      </c>
      <c r="AG17" s="14" t="n">
        <f aca="false">SUMIFS('SKU Data'!$V$6:$V$505,'SKU Data'!$B$6:$B$505,$A17)</f>
        <v>42886.8</v>
      </c>
      <c r="AH17" s="12" t="n">
        <f aca="false">IF(A17="",0,IF(AW17="Y",IF(N(Options!V17)&gt;0,MAX(0,G17+H17-N(Options!V17)),0),MAX(0,G17+H17-N17*IF(D17="Core",Settings!$B$19,Settings!$B$9))))</f>
        <v>583.8</v>
      </c>
      <c r="AI17" s="14" t="n">
        <f aca="false">IF(OR(A17="",D17="Core"),0,AH17*N(Options!J17)*Settings!$B$21)</f>
        <v>42033.6</v>
      </c>
      <c r="AJ17" s="14" t="n">
        <f aca="false">AH17*N(Options!K17)</f>
        <v>39931.92</v>
      </c>
      <c r="AK17" s="27" t="n">
        <f aca="false">AZ17*(1-AY17)</f>
        <v>0</v>
      </c>
      <c r="AL17" s="27" t="n">
        <f aca="false">AI17+AK17</f>
        <v>42033.6</v>
      </c>
      <c r="AM17" s="9" t="str">
        <f aca="false">IF(A17="","",IF(Options!W17&lt;&gt;"",Options!W17,AE17))</f>
        <v>Mark down or re-merchandise</v>
      </c>
      <c r="AN17" s="28" t="n">
        <f aca="false">IF(A17="","",COUNTIF($AR$6:$AR$85,"&gt;"&amp;AR17)+1)</f>
        <v>2</v>
      </c>
      <c r="AO17" s="9" t="str">
        <f aca="false">IF(A17="","",Options!D17)</f>
        <v>Coats</v>
      </c>
      <c r="AP17" s="9" t="str">
        <f aca="false">IF(A17="","",Options!F17)</f>
        <v>Own brand</v>
      </c>
      <c r="AQ17" s="9" t="n">
        <f aca="false">IF(AND(A17&lt;&gt;"",AW17&lt;&gt;"Y",M17&gt;0,COUNTIF($M$6:$M$85,"&gt;"&amp;M17)&lt;Settings!$B$22),1,0)</f>
        <v>0</v>
      </c>
      <c r="AR17" s="28" t="n">
        <f aca="false">IF(A17="",-1,AL17+ROW()/1000000000)</f>
        <v>42033.600000017</v>
      </c>
      <c r="AS17" s="28" t="n">
        <f aca="false">IF(A17="",-1,AK17+ROW()/1000000000)</f>
        <v>1.7E-008</v>
      </c>
      <c r="AT17" s="28" t="n">
        <f aca="false">IF(A17="",-1,AI17+ROW()/1000000000)</f>
        <v>42033.600000017</v>
      </c>
      <c r="AU17" s="25" t="n">
        <f aca="false">SUMIFS('SKU Data'!$W$6:$W$505,'SKU Data'!$B$6:$B$505,$A17)</f>
        <v>11.75</v>
      </c>
      <c r="AV17" s="28" t="n">
        <f aca="false">IF(A17="","",COUNTIFS($C$6:$C$85,C17,$M$6:$M$85,"&gt;"&amp;M17)+1)</f>
        <v>8</v>
      </c>
      <c r="AW17" s="9" t="str">
        <f aca="false">IF(A17="","",IF(AND(Options!T17&lt;&gt;"",N(Options!U17)&gt;0),"Y",""))</f>
        <v/>
      </c>
      <c r="AX17" s="9" t="n">
        <f aca="false">IF(A17="",0,COUNTIFS(Options!$R$6:$R$85,$A17,$V$6:$V$85,"&gt;0"))</f>
        <v>0</v>
      </c>
      <c r="AY17" s="13" t="n">
        <f aca="false">IF(Options!S17&lt;&gt;"",Options!S17,Settings!$B$23)</f>
        <v>0.3</v>
      </c>
      <c r="AZ17" s="14" t="n">
        <f aca="false">SUMIFS('SKU Data'!$U$6:$U$505,'SKU Data'!$B$6:$B$505,$A17)</f>
        <v>0</v>
      </c>
    </row>
    <row r="18" customFormat="false" ht="15" hidden="false" customHeight="false" outlineLevel="0" collapsed="false">
      <c r="A18" s="9" t="str">
        <f aca="false">IF(Options!A18="","",Options!A18)</f>
        <v>OPT013</v>
      </c>
      <c r="B18" s="9" t="str">
        <f aca="false">IF(A18="","",Options!B18&amp;" "&amp;Options!C18)</f>
        <v>Harrington jacket Mustard</v>
      </c>
      <c r="C18" s="9" t="str">
        <f aca="false">IF(A18="","",Options!E18)</f>
        <v>Outerwear</v>
      </c>
      <c r="D18" s="9" t="str">
        <f aca="false">IF(A18="","",Options!H18)</f>
        <v>Seasonal</v>
      </c>
      <c r="E18" s="12" t="n">
        <f aca="false">SUMIFS('SKU Data'!$E$6:$E$505,'SKU Data'!$B$6:$B$505,$A18)</f>
        <v>927</v>
      </c>
      <c r="F18" s="12" t="n">
        <f aca="false">SUMIFS('SKU Data'!$F$6:$F$505,'SKU Data'!$B$6:$B$505,$A18)</f>
        <v>0</v>
      </c>
      <c r="G18" s="12" t="n">
        <f aca="false">SUMIFS('SKU Data'!$G$6:$G$505,'SKU Data'!$B$6:$B$505,$A18)</f>
        <v>662</v>
      </c>
      <c r="H18" s="12" t="n">
        <f aca="false">N(Options!M18)</f>
        <v>0</v>
      </c>
      <c r="I18" s="12" t="n">
        <f aca="false">SUMIFS('SKU Data'!$H$6:$H$505,'SKU Data'!$B$6:$B$505,$A18)</f>
        <v>7</v>
      </c>
      <c r="J18" s="12" t="n">
        <f aca="false">SUMIFS('SKU Data'!$I$6:$I$505,'SKU Data'!$B$6:$B$505,$A18)</f>
        <v>9</v>
      </c>
      <c r="K18" s="12" t="n">
        <f aca="false">SUMIFS('SKU Data'!$J$6:$J$505,'SKU Data'!$B$6:$B$505,$A18)</f>
        <v>11</v>
      </c>
      <c r="L18" s="12" t="n">
        <f aca="false">SUMIFS('SKU Data'!$K$6:$K$505,'SKU Data'!$B$6:$B$505,$A18)</f>
        <v>11</v>
      </c>
      <c r="M18" s="25" t="n">
        <f aca="false">L18*Settings!$B$10+K18*Settings!$B$11+J18*Settings!$B$12+I18*Settings!$B$13</f>
        <v>10.2</v>
      </c>
      <c r="N18" s="25" t="n">
        <f aca="false">M18*Settings!$B$15</f>
        <v>9.18</v>
      </c>
      <c r="O18" s="12" t="n">
        <f aca="false">SUMIFS('SKU Data'!$L$6:$L$505,'SKU Data'!$B$6:$B$505,$A18)</f>
        <v>265</v>
      </c>
      <c r="P18" s="12" t="n">
        <f aca="false">SUMIFS('SKU Data'!$M$6:$M$505,'SKU Data'!$B$6:$B$505,$A18)</f>
        <v>158</v>
      </c>
      <c r="Q18" s="21" t="n">
        <f aca="false">IFERROR(O18/(E18-F18),0)</f>
        <v>0.285868392664509</v>
      </c>
      <c r="R18" s="21" t="n">
        <f aca="false">IFERROR(P18/(E18-F18),0)</f>
        <v>0.170442286947141</v>
      </c>
      <c r="S18" s="26" t="n">
        <f aca="false">IF(N18&lt;=0,IF(G18&gt;0,999,0),G18/N18)</f>
        <v>72.1132897603486</v>
      </c>
      <c r="T18" s="25" t="n">
        <f aca="false">IF(N(Options!L18)&gt;0,Options!L18,Settings!$B$20)</f>
        <v>10</v>
      </c>
      <c r="U18" s="9" t="n">
        <f aca="false">COUNTIFS('SKU Data'!$B$6:$B$505,$A18,'SKU Data'!$D$6:$D$505,"Y")</f>
        <v>3</v>
      </c>
      <c r="V18" s="9" t="n">
        <f aca="false">COUNTIFS('SKU Data'!$B$6:$B$505,$A18,'SKU Data'!$D$6:$D$505,"Y",'SKU Data'!$G$6:$G$505,"&lt;=0")</f>
        <v>0</v>
      </c>
      <c r="W18" s="28" t="str">
        <f aca="false">IF(A18="","",IF(AND(V18&gt;0,G18&gt;0),"Y",""))</f>
        <v/>
      </c>
      <c r="X18" s="9" t="str">
        <f aca="false">IF(A18="","",IF(AND(G18&gt;0,OR(Options!P18="N",Options!Q18="N")),"Y",""))</f>
        <v/>
      </c>
      <c r="Y18" s="9" t="n">
        <f aca="false">IF(AND(A18&lt;&gt;"",U18&gt;0,V18=0,G18&gt;0,Options!P18&lt;&gt;"N",Options!Q18&lt;&gt;"N"),1,0)</f>
        <v>1</v>
      </c>
      <c r="Z18" s="29" t="n">
        <f aca="false">IFERROR((K18+L18)/(I18+J18)-1,0)</f>
        <v>0.375</v>
      </c>
      <c r="AA18" s="9" t="str">
        <f aca="false">IF(A18="","",IF(Q18&gt;=Settings!$B$17,"High","Low"))</f>
        <v>Low</v>
      </c>
      <c r="AB18" s="9" t="str">
        <f aca="false">IF(A18="","",IF(S18&lt;IF(D18="End of life",Settings!$B$9,IF(D18="Core",T18,MIN(T18,Settings!$B$9))),"Low",IF(S18&gt;IF(D18="Core",Settings!$B$19,Settings!$B$9+Settings!$B$18),"High","Balanced")))</f>
        <v>High</v>
      </c>
      <c r="AC18" s="28" t="str">
        <f aca="false">IF(A18="","",IF(AW18="Y","Held for a campaign",IF(AA18="High",IF(AB18="Low","Selling and short",IF(AB18="High","Selling, heavy","Selling, covered")),IF(AB18="Low","Slow and short",IF(AB18="High","Slow and heavy","Slow, covered")))))</f>
        <v>Slow and heavy</v>
      </c>
      <c r="AD18" s="9" t="str">
        <f aca="false">IF(A18="","",TRIM(IF(W18="Y","Broken curve. ","")&amp;IF(X18="Y","Hidden from customers. ","")&amp;IF(Options!O18="Y","Promoted. ","")&amp;IF(Options!I18="Y","Range job. ","")&amp;IF(D18="End of life","End of life. ","")&amp;IF(H18&gt;0,"Order due in "&amp;Options!N18&amp;" weeks. ","")&amp;IF(AW18="Y","Held for "&amp;Options!T18&amp;", starts in "&amp;Options!U18&amp;" weeks. ","")&amp;IF(AX18&gt;0,"Covering for "&amp;AX18&amp;" sold-out line(s). ","")))</f>
        <v>Range job.</v>
      </c>
      <c r="AE18" s="9" t="str">
        <f aca="false">IF(A18="","",IF(AW18="Y",IF(AND(N(Options!V18)&gt;0,G18+H18&gt;N(Options!V18)*1.1),Settings!$A$48,Settings!$A$47),IF(X18="Y",Settings!$A$27,IF(AND(W18="Y",D18&lt;&gt;"End of life",AA18="High"),IF(H18&gt;0,Settings!$A$28,Settings!$A$29),IF(AND(W18="Y",D18="End of life"),Settings!$A$30,IF(AC18="Selling and short",IF(D18="End of life",Settings!$A$31,IF(Options!O18="Y",Settings!$A$32,IF(AX18&gt;0,Settings!$A$33,IF(H18&gt;0,IF(N(Options!N18)&lt;=S18,Settings!$A$34,Settings!$A$35),IF(AND(D18&lt;&gt;"Core",T18&gt;=Settings!$B$9),Settings!$A$36,Settings!$A$37))))),IF(AC18="Selling, heavy",IF(D18="Core",Settings!$A$38,Settings!$A$39),IF(AC18="Selling, covered",Settings!$A$40,IF(AC18="Slow and heavy",IF(Options!I18="Y",Settings!$A$41,IF(D18="End of life",Settings!$A$42,Settings!$A$43)),IF(AC18="Slow and short",IF(W18="Y",Settings!$A$44,Settings!$A$45),Settings!$A$46))))))))))</f>
        <v>Leave it: it is doing a range job (check the evidence)</v>
      </c>
      <c r="AF18" s="9" t="str">
        <f aca="false">IF(A18="","",IFERROR(VLOOKUP(AM18,Settings!$A$27:$B$48,2,0),"Assign an owner"))</f>
        <v>Merchandise Director</v>
      </c>
      <c r="AG18" s="14" t="n">
        <f aca="false">SUMIFS('SKU Data'!$V$6:$V$505,'SKU Data'!$B$6:$B$505,$A18)</f>
        <v>45280.8</v>
      </c>
      <c r="AH18" s="12" t="n">
        <f aca="false">IF(A18="",0,IF(AW18="Y",IF(N(Options!V18)&gt;0,MAX(0,G18+H18-N(Options!V18)),0),MAX(0,G18+H18-N18*IF(D18="Core",Settings!$B$19,Settings!$B$9))))</f>
        <v>625.28</v>
      </c>
      <c r="AI18" s="14" t="n">
        <f aca="false">IF(OR(A18="",D18="Core"),0,AH18*N(Options!J18)*Settings!$B$21)</f>
        <v>45020.16</v>
      </c>
      <c r="AJ18" s="14" t="n">
        <f aca="false">AH18*N(Options!K18)</f>
        <v>42769.152</v>
      </c>
      <c r="AK18" s="27" t="n">
        <f aca="false">AZ18*(1-AY18)</f>
        <v>0</v>
      </c>
      <c r="AL18" s="27" t="n">
        <f aca="false">AI18+AK18</f>
        <v>45020.16</v>
      </c>
      <c r="AM18" s="9" t="str">
        <f aca="false">IF(A18="","",IF(Options!W18&lt;&gt;"",Options!W18,AE18))</f>
        <v>Leave it: it is doing a range job (check the evidence)</v>
      </c>
      <c r="AN18" s="28" t="n">
        <f aca="false">IF(A18="","",COUNTIF($AR$6:$AR$85,"&gt;"&amp;AR18)+1)</f>
        <v>1</v>
      </c>
      <c r="AO18" s="9" t="str">
        <f aca="false">IF(A18="","",Options!D18)</f>
        <v>Jackets</v>
      </c>
      <c r="AP18" s="9" t="str">
        <f aca="false">IF(A18="","",Options!F18)</f>
        <v>Partner brand</v>
      </c>
      <c r="AQ18" s="9" t="n">
        <f aca="false">IF(AND(A18&lt;&gt;"",AW18&lt;&gt;"Y",M18&gt;0,COUNTIF($M$6:$M$85,"&gt;"&amp;M18)&lt;Settings!$B$22),1,0)</f>
        <v>0</v>
      </c>
      <c r="AR18" s="28" t="n">
        <f aca="false">IF(A18="",-1,AL18+ROW()/1000000000)</f>
        <v>45020.160000018</v>
      </c>
      <c r="AS18" s="28" t="n">
        <f aca="false">IF(A18="",-1,AK18+ROW()/1000000000)</f>
        <v>1.8E-008</v>
      </c>
      <c r="AT18" s="28" t="n">
        <f aca="false">IF(A18="",-1,AI18+ROW()/1000000000)</f>
        <v>45020.160000018</v>
      </c>
      <c r="AU18" s="25" t="n">
        <f aca="false">SUMIFS('SKU Data'!$W$6:$W$505,'SKU Data'!$B$6:$B$505,$A18)</f>
        <v>9.5</v>
      </c>
      <c r="AV18" s="28" t="n">
        <f aca="false">IF(A18="","",COUNTIFS($C$6:$C$85,C18,$M$6:$M$85,"&gt;"&amp;M18)+1)</f>
        <v>12</v>
      </c>
      <c r="AW18" s="9" t="str">
        <f aca="false">IF(A18="","",IF(AND(Options!T18&lt;&gt;"",N(Options!U18)&gt;0),"Y",""))</f>
        <v/>
      </c>
      <c r="AX18" s="9" t="n">
        <f aca="false">IF(A18="",0,COUNTIFS(Options!$R$6:$R$85,$A18,$V$6:$V$85,"&gt;0"))</f>
        <v>0</v>
      </c>
      <c r="AY18" s="13" t="n">
        <f aca="false">IF(Options!S18&lt;&gt;"",Options!S18,Settings!$B$23)</f>
        <v>0.3</v>
      </c>
      <c r="AZ18" s="14" t="n">
        <f aca="false">SUMIFS('SKU Data'!$U$6:$U$505,'SKU Data'!$B$6:$B$505,$A18)</f>
        <v>0</v>
      </c>
    </row>
    <row r="19" customFormat="false" ht="15" hidden="false" customHeight="false" outlineLevel="0" collapsed="false">
      <c r="A19" s="9" t="str">
        <f aca="false">IF(Options!A19="","",Options!A19)</f>
        <v>OPT014</v>
      </c>
      <c r="B19" s="9" t="str">
        <f aca="false">IF(A19="","",Options!B19&amp;" "&amp;Options!C19)</f>
        <v>Parka Cobalt</v>
      </c>
      <c r="C19" s="9" t="str">
        <f aca="false">IF(A19="","",Options!E19)</f>
        <v>Outerwear</v>
      </c>
      <c r="D19" s="9" t="str">
        <f aca="false">IF(A19="","",Options!H19)</f>
        <v>Seasonal</v>
      </c>
      <c r="E19" s="12" t="n">
        <f aca="false">SUMIFS('SKU Data'!$E$6:$E$505,'SKU Data'!$B$6:$B$505,$A19)</f>
        <v>682</v>
      </c>
      <c r="F19" s="12" t="n">
        <f aca="false">SUMIFS('SKU Data'!$F$6:$F$505,'SKU Data'!$B$6:$B$505,$A19)</f>
        <v>0</v>
      </c>
      <c r="G19" s="12" t="n">
        <f aca="false">SUMIFS('SKU Data'!$G$6:$G$505,'SKU Data'!$B$6:$B$505,$A19)</f>
        <v>5</v>
      </c>
      <c r="H19" s="12" t="n">
        <f aca="false">N(Options!M19)</f>
        <v>0</v>
      </c>
      <c r="I19" s="12" t="n">
        <f aca="false">SUMIFS('SKU Data'!$H$6:$H$505,'SKU Data'!$B$6:$B$505,$A19)</f>
        <v>3</v>
      </c>
      <c r="J19" s="12" t="n">
        <f aca="false">SUMIFS('SKU Data'!$I$6:$I$505,'SKU Data'!$B$6:$B$505,$A19)</f>
        <v>4</v>
      </c>
      <c r="K19" s="12" t="n">
        <f aca="false">SUMIFS('SKU Data'!$J$6:$J$505,'SKU Data'!$B$6:$B$505,$A19)</f>
        <v>3</v>
      </c>
      <c r="L19" s="12" t="n">
        <f aca="false">SUMIFS('SKU Data'!$K$6:$K$505,'SKU Data'!$B$6:$B$505,$A19)</f>
        <v>2</v>
      </c>
      <c r="M19" s="25" t="n">
        <f aca="false">L19*Settings!$B$10+K19*Settings!$B$11+J19*Settings!$B$12+I19*Settings!$B$13</f>
        <v>2.8</v>
      </c>
      <c r="N19" s="25" t="n">
        <f aca="false">M19*Settings!$B$15</f>
        <v>2.52</v>
      </c>
      <c r="O19" s="12" t="n">
        <f aca="false">SUMIFS('SKU Data'!$L$6:$L$505,'SKU Data'!$B$6:$B$505,$A19)</f>
        <v>460</v>
      </c>
      <c r="P19" s="12" t="n">
        <f aca="false">SUMIFS('SKU Data'!$M$6:$M$505,'SKU Data'!$B$6:$B$505,$A19)</f>
        <v>403</v>
      </c>
      <c r="Q19" s="21" t="n">
        <f aca="false">IFERROR(O19/(E19-F19),0)</f>
        <v>0.674486803519062</v>
      </c>
      <c r="R19" s="21" t="n">
        <f aca="false">IFERROR(P19/(E19-F19),0)</f>
        <v>0.590909090909091</v>
      </c>
      <c r="S19" s="26" t="n">
        <f aca="false">IF(N19&lt;=0,IF(G19&gt;0,999,0),G19/N19)</f>
        <v>1.98412698412698</v>
      </c>
      <c r="T19" s="25" t="n">
        <f aca="false">IF(N(Options!L19)&gt;0,Options!L19,Settings!$B$20)</f>
        <v>8</v>
      </c>
      <c r="U19" s="9" t="n">
        <f aca="false">COUNTIFS('SKU Data'!$B$6:$B$505,$A19,'SKU Data'!$D$6:$D$505,"Y")</f>
        <v>3</v>
      </c>
      <c r="V19" s="9" t="n">
        <f aca="false">COUNTIFS('SKU Data'!$B$6:$B$505,$A19,'SKU Data'!$D$6:$D$505,"Y",'SKU Data'!$G$6:$G$505,"&lt;=0")</f>
        <v>3</v>
      </c>
      <c r="W19" s="28" t="str">
        <f aca="false">IF(A19="","",IF(AND(V19&gt;0,G19&gt;0),"Y",""))</f>
        <v>Y</v>
      </c>
      <c r="X19" s="9" t="str">
        <f aca="false">IF(A19="","",IF(AND(G19&gt;0,OR(Options!P19="N",Options!Q19="N")),"Y",""))</f>
        <v/>
      </c>
      <c r="Y19" s="9" t="n">
        <f aca="false">IF(AND(A19&lt;&gt;"",U19&gt;0,V19=0,G19&gt;0,Options!P19&lt;&gt;"N",Options!Q19&lt;&gt;"N"),1,0)</f>
        <v>0</v>
      </c>
      <c r="Z19" s="29" t="n">
        <f aca="false">IFERROR((K19+L19)/(I19+J19)-1,0)</f>
        <v>-0.285714285714286</v>
      </c>
      <c r="AA19" s="9" t="str">
        <f aca="false">IF(A19="","",IF(Q19&gt;=Settings!$B$17,"High","Low"))</f>
        <v>Low</v>
      </c>
      <c r="AB19" s="9" t="str">
        <f aca="false">IF(A19="","",IF(S19&lt;IF(D19="End of life",Settings!$B$9,IF(D19="Core",T19,MIN(T19,Settings!$B$9))),"Low",IF(S19&gt;IF(D19="Core",Settings!$B$19,Settings!$B$9+Settings!$B$18),"High","Balanced")))</f>
        <v>Low</v>
      </c>
      <c r="AC19" s="28" t="str">
        <f aca="false">IF(A19="","",IF(AW19="Y","Held for a campaign",IF(AA19="High",IF(AB19="Low","Selling and short",IF(AB19="High","Selling, heavy","Selling, covered")),IF(AB19="Low","Slow and short",IF(AB19="High","Slow and heavy","Slow, covered")))))</f>
        <v>Slow and short</v>
      </c>
      <c r="AD19" s="9" t="str">
        <f aca="false">IF(A19="","",TRIM(IF(W19="Y","Broken curve. ","")&amp;IF(X19="Y","Hidden from customers. ","")&amp;IF(Options!O19="Y","Promoted. ","")&amp;IF(Options!I19="Y","Range job. ","")&amp;IF(D19="End of life","End of life. ","")&amp;IF(H19&gt;0,"Order due in "&amp;Options!N19&amp;" weeks. ","")&amp;IF(AW19="Y","Held for "&amp;Options!T19&amp;", starts in "&amp;Options!U19&amp;" weeks. ","")&amp;IF(AX19&gt;0,"Covering for "&amp;AX19&amp;" sold-out line(s). ","")))</f>
        <v>Broken curve.</v>
      </c>
      <c r="AE19" s="9" t="str">
        <f aca="false">IF(A19="","",IF(AW19="Y",IF(AND(N(Options!V19)&gt;0,G19+H19&gt;N(Options!V19)*1.1),Settings!$A$48,Settings!$A$47),IF(X19="Y",Settings!$A$27,IF(AND(W19="Y",D19&lt;&gt;"End of life",AA19="High"),IF(H19&gt;0,Settings!$A$28,Settings!$A$29),IF(AND(W19="Y",D19="End of life"),Settings!$A$30,IF(AC19="Selling and short",IF(D19="End of life",Settings!$A$31,IF(Options!O19="Y",Settings!$A$32,IF(AX19&gt;0,Settings!$A$33,IF(H19&gt;0,IF(N(Options!N19)&lt;=S19,Settings!$A$34,Settings!$A$35),IF(AND(D19&lt;&gt;"Core",T19&gt;=Settings!$B$9),Settings!$A$36,Settings!$A$37))))),IF(AC19="Selling, heavy",IF(D19="Core",Settings!$A$38,Settings!$A$39),IF(AC19="Selling, covered",Settings!$A$40,IF(AC19="Slow and heavy",IF(Options!I19="Y",Settings!$A$41,IF(D19="End of life",Settings!$A$42,Settings!$A$43)),IF(AC19="Slow and short",IF(W19="Y",Settings!$A$44,Settings!$A$45),Settings!$A$46))))))))))</f>
        <v>Fix the size curve or exit</v>
      </c>
      <c r="AF19" s="9" t="str">
        <f aca="false">IF(A19="","",IFERROR(VLOOKUP(AM19,Settings!$A$27:$B$48,2,0),"Assign an owner"))</f>
        <v>Merchandiser</v>
      </c>
      <c r="AG19" s="14" t="n">
        <f aca="false">SUMIFS('SKU Data'!$V$6:$V$505,'SKU Data'!$B$6:$B$505,$A19)</f>
        <v>342</v>
      </c>
      <c r="AH19" s="12" t="n">
        <f aca="false">IF(A19="",0,IF(AW19="Y",IF(N(Options!V19)&gt;0,MAX(0,G19+H19-N(Options!V19)),0),MAX(0,G19+H19-N19*IF(D19="Core",Settings!$B$19,Settings!$B$9))))</f>
        <v>0</v>
      </c>
      <c r="AI19" s="14" t="n">
        <f aca="false">IF(OR(A19="",D19="Core"),0,AH19*N(Options!J19)*Settings!$B$21)</f>
        <v>0</v>
      </c>
      <c r="AJ19" s="14" t="n">
        <f aca="false">AH19*N(Options!K19)</f>
        <v>0</v>
      </c>
      <c r="AK19" s="27" t="n">
        <f aca="false">AZ19*(1-AY19)</f>
        <v>5670</v>
      </c>
      <c r="AL19" s="27" t="n">
        <f aca="false">AI19+AK19</f>
        <v>5670</v>
      </c>
      <c r="AM19" s="9" t="str">
        <f aca="false">IF(A19="","",IF(Options!W19&lt;&gt;"",Options!W19,AE19))</f>
        <v>Fix the size curve or exit</v>
      </c>
      <c r="AN19" s="28" t="n">
        <f aca="false">IF(A19="","",COUNTIF($AR$6:$AR$85,"&gt;"&amp;AR19)+1)</f>
        <v>20</v>
      </c>
      <c r="AO19" s="9" t="str">
        <f aca="false">IF(A19="","",Options!D19)</f>
        <v>Coats</v>
      </c>
      <c r="AP19" s="9" t="str">
        <f aca="false">IF(A19="","",Options!F19)</f>
        <v>Own brand</v>
      </c>
      <c r="AQ19" s="9" t="n">
        <f aca="false">IF(AND(A19&lt;&gt;"",AW19&lt;&gt;"Y",M19&gt;0,COUNTIF($M$6:$M$85,"&gt;"&amp;M19)&lt;Settings!$B$22),1,0)</f>
        <v>0</v>
      </c>
      <c r="AR19" s="28" t="n">
        <f aca="false">IF(A19="",-1,AL19+ROW()/1000000000)</f>
        <v>5670.000000019</v>
      </c>
      <c r="AS19" s="28" t="n">
        <f aca="false">IF(A19="",-1,AK19+ROW()/1000000000)</f>
        <v>5670.000000019</v>
      </c>
      <c r="AT19" s="28" t="n">
        <f aca="false">IF(A19="",-1,AI19+ROW()/1000000000)</f>
        <v>1.9E-008</v>
      </c>
      <c r="AU19" s="25" t="n">
        <f aca="false">SUMIFS('SKU Data'!$W$6:$W$505,'SKU Data'!$B$6:$B$505,$A19)</f>
        <v>14.25</v>
      </c>
      <c r="AV19" s="28" t="n">
        <f aca="false">IF(A19="","",COUNTIFS($C$6:$C$85,C19,$M$6:$M$85,"&gt;"&amp;M19)+1)</f>
        <v>15</v>
      </c>
      <c r="AW19" s="9" t="str">
        <f aca="false">IF(A19="","",IF(AND(Options!T19&lt;&gt;"",N(Options!U19)&gt;0),"Y",""))</f>
        <v/>
      </c>
      <c r="AX19" s="9" t="n">
        <f aca="false">IF(A19="",0,COUNTIFS(Options!$R$6:$R$85,$A19,$V$6:$V$85,"&gt;0"))</f>
        <v>0</v>
      </c>
      <c r="AY19" s="13" t="n">
        <f aca="false">IF(Options!S19&lt;&gt;"",Options!S19,Settings!$B$23)</f>
        <v>0.3</v>
      </c>
      <c r="AZ19" s="14" t="n">
        <f aca="false">SUMIFS('SKU Data'!$U$6:$U$505,'SKU Data'!$B$6:$B$505,$A19)</f>
        <v>8100</v>
      </c>
    </row>
    <row r="20" customFormat="false" ht="15" hidden="false" customHeight="false" outlineLevel="0" collapsed="false">
      <c r="A20" s="9" t="str">
        <f aca="false">IF(Options!A20="","",Options!A20)</f>
        <v>OPT015</v>
      </c>
      <c r="B20" s="9" t="str">
        <f aca="false">IF(A20="","",Options!B20&amp;" "&amp;Options!C20)</f>
        <v>Puffer jacket Tan</v>
      </c>
      <c r="C20" s="9" t="str">
        <f aca="false">IF(A20="","",Options!E20)</f>
        <v>Outerwear</v>
      </c>
      <c r="D20" s="9" t="str">
        <f aca="false">IF(A20="","",Options!H20)</f>
        <v>Seasonal</v>
      </c>
      <c r="E20" s="12" t="n">
        <f aca="false">SUMIFS('SKU Data'!$E$6:$E$505,'SKU Data'!$B$6:$B$505,$A20)</f>
        <v>578</v>
      </c>
      <c r="F20" s="12" t="n">
        <f aca="false">SUMIFS('SKU Data'!$F$6:$F$505,'SKU Data'!$B$6:$B$505,$A20)</f>
        <v>0</v>
      </c>
      <c r="G20" s="12" t="n">
        <f aca="false">SUMIFS('SKU Data'!$G$6:$G$505,'SKU Data'!$B$6:$B$505,$A20)</f>
        <v>113</v>
      </c>
      <c r="H20" s="12" t="n">
        <f aca="false">N(Options!M20)</f>
        <v>0</v>
      </c>
      <c r="I20" s="12" t="n">
        <f aca="false">SUMIFS('SKU Data'!$H$6:$H$505,'SKU Data'!$B$6:$B$505,$A20)</f>
        <v>19</v>
      </c>
      <c r="J20" s="12" t="n">
        <f aca="false">SUMIFS('SKU Data'!$I$6:$I$505,'SKU Data'!$B$6:$B$505,$A20)</f>
        <v>18</v>
      </c>
      <c r="K20" s="12" t="n">
        <f aca="false">SUMIFS('SKU Data'!$J$6:$J$505,'SKU Data'!$B$6:$B$505,$A20)</f>
        <v>23</v>
      </c>
      <c r="L20" s="12" t="n">
        <f aca="false">SUMIFS('SKU Data'!$K$6:$K$505,'SKU Data'!$B$6:$B$505,$A20)</f>
        <v>21</v>
      </c>
      <c r="M20" s="25" t="n">
        <f aca="false">L20*Settings!$B$10+K20*Settings!$B$11+J20*Settings!$B$12+I20*Settings!$B$13</f>
        <v>20.8</v>
      </c>
      <c r="N20" s="25" t="n">
        <f aca="false">M20*Settings!$B$15</f>
        <v>18.72</v>
      </c>
      <c r="O20" s="12" t="n">
        <f aca="false">SUMIFS('SKU Data'!$L$6:$L$505,'SKU Data'!$B$6:$B$505,$A20)</f>
        <v>465</v>
      </c>
      <c r="P20" s="12" t="n">
        <f aca="false">SUMIFS('SKU Data'!$M$6:$M$505,'SKU Data'!$B$6:$B$505,$A20)</f>
        <v>409</v>
      </c>
      <c r="Q20" s="21" t="n">
        <f aca="false">IFERROR(O20/(E20-F20),0)</f>
        <v>0.804498269896194</v>
      </c>
      <c r="R20" s="21" t="n">
        <f aca="false">IFERROR(P20/(E20-F20),0)</f>
        <v>0.707612456747405</v>
      </c>
      <c r="S20" s="26" t="n">
        <f aca="false">IF(N20&lt;=0,IF(G20&gt;0,999,0),G20/N20)</f>
        <v>6.03632478632479</v>
      </c>
      <c r="T20" s="25" t="n">
        <f aca="false">IF(N(Options!L20)&gt;0,Options!L20,Settings!$B$20)</f>
        <v>8</v>
      </c>
      <c r="U20" s="9" t="n">
        <f aca="false">COUNTIFS('SKU Data'!$B$6:$B$505,$A20,'SKU Data'!$D$6:$D$505,"Y")</f>
        <v>3</v>
      </c>
      <c r="V20" s="9" t="n">
        <f aca="false">COUNTIFS('SKU Data'!$B$6:$B$505,$A20,'SKU Data'!$D$6:$D$505,"Y",'SKU Data'!$G$6:$G$505,"&lt;=0")</f>
        <v>0</v>
      </c>
      <c r="W20" s="28" t="str">
        <f aca="false">IF(A20="","",IF(AND(V20&gt;0,G20&gt;0),"Y",""))</f>
        <v/>
      </c>
      <c r="X20" s="9" t="str">
        <f aca="false">IF(A20="","",IF(AND(G20&gt;0,OR(Options!P20="N",Options!Q20="N")),"Y",""))</f>
        <v/>
      </c>
      <c r="Y20" s="9" t="n">
        <f aca="false">IF(AND(A20&lt;&gt;"",U20&gt;0,V20=0,G20&gt;0,Options!P20&lt;&gt;"N",Options!Q20&lt;&gt;"N"),1,0)</f>
        <v>1</v>
      </c>
      <c r="Z20" s="29" t="n">
        <f aca="false">IFERROR((K20+L20)/(I20+J20)-1,0)</f>
        <v>0.189189189189189</v>
      </c>
      <c r="AA20" s="9" t="str">
        <f aca="false">IF(A20="","",IF(Q20&gt;=Settings!$B$17,"High","Low"))</f>
        <v>High</v>
      </c>
      <c r="AB20" s="9" t="str">
        <f aca="false">IF(A20="","",IF(S20&lt;IF(D20="End of life",Settings!$B$9,IF(D20="Core",T20,MIN(T20,Settings!$B$9))),"Low",IF(S20&gt;IF(D20="Core",Settings!$B$19,Settings!$B$9+Settings!$B$18),"High","Balanced")))</f>
        <v>Balanced</v>
      </c>
      <c r="AC20" s="28" t="str">
        <f aca="false">IF(A20="","",IF(AW20="Y","Held for a campaign",IF(AA20="High",IF(AB20="Low","Selling and short",IF(AB20="High","Selling, heavy","Selling, covered")),IF(AB20="Low","Slow and short",IF(AB20="High","Slow and heavy","Slow, covered")))))</f>
        <v>Selling, covered</v>
      </c>
      <c r="AD20" s="9" t="str">
        <f aca="false">IF(A20="","",TRIM(IF(W20="Y","Broken curve. ","")&amp;IF(X20="Y","Hidden from customers. ","")&amp;IF(Options!O20="Y","Promoted. ","")&amp;IF(Options!I20="Y","Range job. ","")&amp;IF(D20="End of life","End of life. ","")&amp;IF(H20&gt;0,"Order due in "&amp;Options!N20&amp;" weeks. ","")&amp;IF(AW20="Y","Held for "&amp;Options!T20&amp;", starts in "&amp;Options!U20&amp;" weeks. ","")&amp;IF(AX20&gt;0,"Covering for "&amp;AX20&amp;" sold-out line(s). ","")))</f>
        <v/>
      </c>
      <c r="AE20" s="9" t="str">
        <f aca="false">IF(A20="","",IF(AW20="Y",IF(AND(N(Options!V20)&gt;0,G20+H20&gt;N(Options!V20)*1.1),Settings!$A$48,Settings!$A$47),IF(X20="Y",Settings!$A$27,IF(AND(W20="Y",D20&lt;&gt;"End of life",AA20="High"),IF(H20&gt;0,Settings!$A$28,Settings!$A$29),IF(AND(W20="Y",D20="End of life"),Settings!$A$30,IF(AC20="Selling and short",IF(D20="End of life",Settings!$A$31,IF(Options!O20="Y",Settings!$A$32,IF(AX20&gt;0,Settings!$A$33,IF(H20&gt;0,IF(N(Options!N20)&lt;=S20,Settings!$A$34,Settings!$A$35),IF(AND(D20&lt;&gt;"Core",T20&gt;=Settings!$B$9),Settings!$A$36,Settings!$A$37))))),IF(AC20="Selling, heavy",IF(D20="Core",Settings!$A$38,Settings!$A$39),IF(AC20="Selling, covered",Settings!$A$40,IF(AC20="Slow and heavy",IF(Options!I20="Y",Settings!$A$41,IF(D20="End of life",Settings!$A$42,Settings!$A$43)),IF(AC20="Slow and short",IF(W20="Y",Settings!$A$44,Settings!$A$45),Settings!$A$46))))))))))</f>
        <v>Hold</v>
      </c>
      <c r="AF20" s="9" t="str">
        <f aca="false">IF(A20="","",IFERROR(VLOOKUP(AM20,Settings!$A$27:$B$48,2,0),"Assign an owner"))</f>
        <v>Merchandiser</v>
      </c>
      <c r="AG20" s="14" t="n">
        <f aca="false">SUMIFS('SKU Data'!$V$6:$V$505,'SKU Data'!$B$6:$B$505,$A20)</f>
        <v>9446.8</v>
      </c>
      <c r="AH20" s="12" t="n">
        <f aca="false">IF(A20="",0,IF(AW20="Y",IF(N(Options!V20)&gt;0,MAX(0,G20+H20-N(Options!V20)),0),MAX(0,G20+H20-N20*IF(D20="Core",Settings!$B$19,Settings!$B$9))))</f>
        <v>38.12</v>
      </c>
      <c r="AI20" s="14" t="n">
        <f aca="false">IF(OR(A20="",D20="Core"),0,AH20*N(Options!J20)*Settings!$B$21)</f>
        <v>3354.56</v>
      </c>
      <c r="AJ20" s="14" t="n">
        <f aca="false">AH20*N(Options!K20)</f>
        <v>3186.832</v>
      </c>
      <c r="AK20" s="27" t="n">
        <f aca="false">AZ20*(1-AY20)</f>
        <v>0</v>
      </c>
      <c r="AL20" s="27" t="n">
        <f aca="false">AI20+AK20</f>
        <v>3354.56</v>
      </c>
      <c r="AM20" s="9" t="str">
        <f aca="false">IF(A20="","",IF(Options!W20&lt;&gt;"",Options!W20,AE20))</f>
        <v>Hold</v>
      </c>
      <c r="AN20" s="28" t="n">
        <f aca="false">IF(A20="","",COUNTIF($AR$6:$AR$85,"&gt;"&amp;AR20)+1)</f>
        <v>27</v>
      </c>
      <c r="AO20" s="9" t="str">
        <f aca="false">IF(A20="","",Options!D20)</f>
        <v>Jackets</v>
      </c>
      <c r="AP20" s="9" t="str">
        <f aca="false">IF(A20="","",Options!F20)</f>
        <v>Own brand</v>
      </c>
      <c r="AQ20" s="9" t="n">
        <f aca="false">IF(AND(A20&lt;&gt;"",AW20&lt;&gt;"Y",M20&gt;0,COUNTIF($M$6:$M$85,"&gt;"&amp;M20)&lt;Settings!$B$22),1,0)</f>
        <v>1</v>
      </c>
      <c r="AR20" s="28" t="n">
        <f aca="false">IF(A20="",-1,AL20+ROW()/1000000000)</f>
        <v>3354.56000002</v>
      </c>
      <c r="AS20" s="28" t="n">
        <f aca="false">IF(A20="",-1,AK20+ROW()/1000000000)</f>
        <v>2E-008</v>
      </c>
      <c r="AT20" s="28" t="n">
        <f aca="false">IF(A20="",-1,AI20+ROW()/1000000000)</f>
        <v>3354.56000002</v>
      </c>
      <c r="AU20" s="25" t="n">
        <f aca="false">SUMIFS('SKU Data'!$W$6:$W$505,'SKU Data'!$B$6:$B$505,$A20)</f>
        <v>20.25</v>
      </c>
      <c r="AV20" s="28" t="n">
        <f aca="false">IF(A20="","",COUNTIFS($C$6:$C$85,C20,$M$6:$M$85,"&gt;"&amp;M20)+1)</f>
        <v>6</v>
      </c>
      <c r="AW20" s="9" t="str">
        <f aca="false">IF(A20="","",IF(AND(Options!T20&lt;&gt;"",N(Options!U20)&gt;0),"Y",""))</f>
        <v/>
      </c>
      <c r="AX20" s="9" t="n">
        <f aca="false">IF(A20="",0,COUNTIFS(Options!$R$6:$R$85,$A20,$V$6:$V$85,"&gt;0"))</f>
        <v>0</v>
      </c>
      <c r="AY20" s="13" t="n">
        <f aca="false">IF(Options!S20&lt;&gt;"",Options!S20,Settings!$B$23)</f>
        <v>0.3</v>
      </c>
      <c r="AZ20" s="14" t="n">
        <f aca="false">SUMIFS('SKU Data'!$U$6:$U$505,'SKU Data'!$B$6:$B$505,$A20)</f>
        <v>0</v>
      </c>
    </row>
    <row r="21" customFormat="false" ht="15" hidden="false" customHeight="false" outlineLevel="0" collapsed="false">
      <c r="A21" s="9" t="str">
        <f aca="false">IF(Options!A21="","",Options!A21)</f>
        <v>OPT016</v>
      </c>
      <c r="B21" s="9" t="str">
        <f aca="false">IF(A21="","",Options!B21&amp;" "&amp;Options!C21)</f>
        <v>Lambswool crew Burgundy</v>
      </c>
      <c r="C21" s="9" t="str">
        <f aca="false">IF(A21="","",Options!E21)</f>
        <v>Knitwear</v>
      </c>
      <c r="D21" s="9" t="str">
        <f aca="false">IF(A21="","",Options!H21)</f>
        <v>Seasonal</v>
      </c>
      <c r="E21" s="12" t="n">
        <f aca="false">SUMIFS('SKU Data'!$E$6:$E$505,'SKU Data'!$B$6:$B$505,$A21)</f>
        <v>587</v>
      </c>
      <c r="F21" s="12" t="n">
        <f aca="false">SUMIFS('SKU Data'!$F$6:$F$505,'SKU Data'!$B$6:$B$505,$A21)</f>
        <v>0</v>
      </c>
      <c r="G21" s="12" t="n">
        <f aca="false">SUMIFS('SKU Data'!$G$6:$G$505,'SKU Data'!$B$6:$B$505,$A21)</f>
        <v>71</v>
      </c>
      <c r="H21" s="12" t="n">
        <f aca="false">N(Options!M21)</f>
        <v>0</v>
      </c>
      <c r="I21" s="12" t="n">
        <f aca="false">SUMIFS('SKU Data'!$H$6:$H$505,'SKU Data'!$B$6:$B$505,$A21)</f>
        <v>36</v>
      </c>
      <c r="J21" s="12" t="n">
        <f aca="false">SUMIFS('SKU Data'!$I$6:$I$505,'SKU Data'!$B$6:$B$505,$A21)</f>
        <v>36</v>
      </c>
      <c r="K21" s="12" t="n">
        <f aca="false">SUMIFS('SKU Data'!$J$6:$J$505,'SKU Data'!$B$6:$B$505,$A21)</f>
        <v>38</v>
      </c>
      <c r="L21" s="12" t="n">
        <f aca="false">SUMIFS('SKU Data'!$K$6:$K$505,'SKU Data'!$B$6:$B$505,$A21)</f>
        <v>41</v>
      </c>
      <c r="M21" s="25" t="n">
        <f aca="false">L21*Settings!$B$10+K21*Settings!$B$11+J21*Settings!$B$12+I21*Settings!$B$13</f>
        <v>38.6</v>
      </c>
      <c r="N21" s="25" t="n">
        <f aca="false">M21*Settings!$B$15</f>
        <v>34.74</v>
      </c>
      <c r="O21" s="12" t="n">
        <f aca="false">SUMIFS('SKU Data'!$L$6:$L$505,'SKU Data'!$B$6:$B$505,$A21)</f>
        <v>516</v>
      </c>
      <c r="P21" s="12" t="n">
        <f aca="false">SUMIFS('SKU Data'!$M$6:$M$505,'SKU Data'!$B$6:$B$505,$A21)</f>
        <v>454</v>
      </c>
      <c r="Q21" s="21" t="n">
        <f aca="false">IFERROR(O21/(E21-F21),0)</f>
        <v>0.879045996592845</v>
      </c>
      <c r="R21" s="21" t="n">
        <f aca="false">IFERROR(P21/(E21-F21),0)</f>
        <v>0.773424190800682</v>
      </c>
      <c r="S21" s="26" t="n">
        <f aca="false">IF(N21&lt;=0,IF(G21&gt;0,999,0),G21/N21)</f>
        <v>2.04375359815774</v>
      </c>
      <c r="T21" s="25" t="n">
        <f aca="false">IF(N(Options!L21)&gt;0,Options!L21,Settings!$B$20)</f>
        <v>8</v>
      </c>
      <c r="U21" s="9" t="n">
        <f aca="false">COUNTIFS('SKU Data'!$B$6:$B$505,$A21,'SKU Data'!$D$6:$D$505,"Y")</f>
        <v>3</v>
      </c>
      <c r="V21" s="9" t="n">
        <f aca="false">COUNTIFS('SKU Data'!$B$6:$B$505,$A21,'SKU Data'!$D$6:$D$505,"Y",'SKU Data'!$G$6:$G$505,"&lt;=0")</f>
        <v>0</v>
      </c>
      <c r="W21" s="28" t="str">
        <f aca="false">IF(A21="","",IF(AND(V21&gt;0,G21&gt;0),"Y",""))</f>
        <v/>
      </c>
      <c r="X21" s="9" t="str">
        <f aca="false">IF(A21="","",IF(AND(G21&gt;0,OR(Options!P21="N",Options!Q21="N")),"Y",""))</f>
        <v/>
      </c>
      <c r="Y21" s="9" t="n">
        <f aca="false">IF(AND(A21&lt;&gt;"",U21&gt;0,V21=0,G21&gt;0,Options!P21&lt;&gt;"N",Options!Q21&lt;&gt;"N"),1,0)</f>
        <v>1</v>
      </c>
      <c r="Z21" s="29" t="n">
        <f aca="false">IFERROR((K21+L21)/(I21+J21)-1,0)</f>
        <v>0.0972222222222223</v>
      </c>
      <c r="AA21" s="9" t="str">
        <f aca="false">IF(A21="","",IF(Q21&gt;=Settings!$B$17,"High","Low"))</f>
        <v>High</v>
      </c>
      <c r="AB21" s="9" t="str">
        <f aca="false">IF(A21="","",IF(S21&lt;IF(D21="End of life",Settings!$B$9,IF(D21="Core",T21,MIN(T21,Settings!$B$9))),"Low",IF(S21&gt;IF(D21="Core",Settings!$B$19,Settings!$B$9+Settings!$B$18),"High","Balanced")))</f>
        <v>Low</v>
      </c>
      <c r="AC21" s="28" t="str">
        <f aca="false">IF(A21="","",IF(AW21="Y","Held for a campaign",IF(AA21="High",IF(AB21="Low","Selling and short",IF(AB21="High","Selling, heavy","Selling, covered")),IF(AB21="Low","Slow and short",IF(AB21="High","Slow and heavy","Slow, covered")))))</f>
        <v>Selling and short</v>
      </c>
      <c r="AD21" s="9" t="str">
        <f aca="false">IF(A21="","",TRIM(IF(W21="Y","Broken curve. ","")&amp;IF(X21="Y","Hidden from customers. ","")&amp;IF(Options!O21="Y","Promoted. ","")&amp;IF(Options!I21="Y","Range job. ","")&amp;IF(D21="End of life","End of life. ","")&amp;IF(H21&gt;0,"Order due in "&amp;Options!N21&amp;" weeks. ","")&amp;IF(AW21="Y","Held for "&amp;Options!T21&amp;", starts in "&amp;Options!U21&amp;" weeks. ","")&amp;IF(AX21&gt;0,"Covering for "&amp;AX21&amp;" sold-out line(s). ","")))</f>
        <v>Covering for 1 sold-out line(s).</v>
      </c>
      <c r="AE21" s="9" t="str">
        <f aca="false">IF(A21="","",IF(AW21="Y",IF(AND(N(Options!V21)&gt;0,G21+H21&gt;N(Options!V21)*1.1),Settings!$A$48,Settings!$A$47),IF(X21="Y",Settings!$A$27,IF(AND(W21="Y",D21&lt;&gt;"End of life",AA21="High"),IF(H21&gt;0,Settings!$A$28,Settings!$A$29),IF(AND(W21="Y",D21="End of life"),Settings!$A$30,IF(AC21="Selling and short",IF(D21="End of life",Settings!$A$31,IF(Options!O21="Y",Settings!$A$32,IF(AX21&gt;0,Settings!$A$33,IF(H21&gt;0,IF(N(Options!N21)&lt;=S21,Settings!$A$34,Settings!$A$35),IF(AND(D21&lt;&gt;"Core",T21&gt;=Settings!$B$9),Settings!$A$36,Settings!$A$37))))),IF(AC21="Selling, heavy",IF(D21="Core",Settings!$A$38,Settings!$A$39),IF(AC21="Selling, covered",Settings!$A$40,IF(AC21="Slow and heavy",IF(Options!I21="Y",Settings!$A$41,IF(D21="End of life",Settings!$A$42,Settings!$A$43)),IF(AC21="Slow and short",IF(W21="Y",Settings!$A$44,Settings!$A$45),Settings!$A$46))))))))))</f>
        <v>Check how much of its rate is borrowed from a sold-out line before reordering</v>
      </c>
      <c r="AF21" s="9" t="str">
        <f aca="false">IF(A21="","",IFERROR(VLOOKUP(AM21,Settings!$A$27:$B$48,2,0),"Assign an owner"))</f>
        <v>Merchandiser</v>
      </c>
      <c r="AG21" s="14" t="n">
        <f aca="false">SUMIFS('SKU Data'!$V$6:$V$505,'SKU Data'!$B$6:$B$505,$A21)</f>
        <v>2293.3</v>
      </c>
      <c r="AH21" s="12" t="n">
        <f aca="false">IF(A21="",0,IF(AW21="Y",IF(N(Options!V21)&gt;0,MAX(0,G21+H21-N(Options!V21)),0),MAX(0,G21+H21-N21*IF(D21="Core",Settings!$B$19,Settings!$B$9))))</f>
        <v>0</v>
      </c>
      <c r="AI21" s="14" t="n">
        <f aca="false">IF(OR(A21="",D21="Core"),0,AH21*N(Options!J21)*Settings!$B$21)</f>
        <v>0</v>
      </c>
      <c r="AJ21" s="14" t="n">
        <f aca="false">AH21*N(Options!K21)</f>
        <v>0</v>
      </c>
      <c r="AK21" s="27" t="n">
        <f aca="false">AZ21*(1-AY21)</f>
        <v>0</v>
      </c>
      <c r="AL21" s="27" t="n">
        <f aca="false">AI21+AK21</f>
        <v>0</v>
      </c>
      <c r="AM21" s="9" t="str">
        <f aca="false">IF(A21="","",IF(Options!W21&lt;&gt;"",Options!W21,AE21))</f>
        <v>Check how much of its rate is borrowed from a sold-out line before reordering</v>
      </c>
      <c r="AN21" s="28" t="n">
        <f aca="false">IF(A21="","",COUNTIF($AR$6:$AR$85,"&gt;"&amp;AR21)+1)</f>
        <v>58</v>
      </c>
      <c r="AO21" s="9" t="str">
        <f aca="false">IF(A21="","",Options!D21)</f>
        <v>Crew necks</v>
      </c>
      <c r="AP21" s="9" t="str">
        <f aca="false">IF(A21="","",Options!F21)</f>
        <v>Partner brand</v>
      </c>
      <c r="AQ21" s="9" t="n">
        <f aca="false">IF(AND(A21&lt;&gt;"",AW21&lt;&gt;"Y",M21&gt;0,COUNTIF($M$6:$M$85,"&gt;"&amp;M21)&lt;Settings!$B$22),1,0)</f>
        <v>1</v>
      </c>
      <c r="AR21" s="28" t="n">
        <f aca="false">IF(A21="",-1,AL21+ROW()/1000000000)</f>
        <v>2.1E-008</v>
      </c>
      <c r="AS21" s="28" t="n">
        <f aca="false">IF(A21="",-1,AK21+ROW()/1000000000)</f>
        <v>2.1E-008</v>
      </c>
      <c r="AT21" s="28" t="n">
        <f aca="false">IF(A21="",-1,AI21+ROW()/1000000000)</f>
        <v>2.1E-008</v>
      </c>
      <c r="AU21" s="25" t="n">
        <f aca="false">SUMIFS('SKU Data'!$W$6:$W$505,'SKU Data'!$B$6:$B$505,$A21)</f>
        <v>37.75</v>
      </c>
      <c r="AV21" s="28" t="n">
        <f aca="false">IF(A21="","",COUNTIFS($C$6:$C$85,C21,$M$6:$M$85,"&gt;"&amp;M21)+1)</f>
        <v>1</v>
      </c>
      <c r="AW21" s="9" t="str">
        <f aca="false">IF(A21="","",IF(AND(Options!T21&lt;&gt;"",N(Options!U21)&gt;0),"Y",""))</f>
        <v/>
      </c>
      <c r="AX21" s="9" t="n">
        <f aca="false">IF(A21="",0,COUNTIFS(Options!$R$6:$R$85,$A21,$V$6:$V$85,"&gt;0"))</f>
        <v>1</v>
      </c>
      <c r="AY21" s="13" t="n">
        <f aca="false">IF(Options!S21&lt;&gt;"",Options!S21,Settings!$B$23)</f>
        <v>0.3</v>
      </c>
      <c r="AZ21" s="14" t="n">
        <f aca="false">SUMIFS('SKU Data'!$U$6:$U$505,'SKU Data'!$B$6:$B$505,$A21)</f>
        <v>0</v>
      </c>
    </row>
    <row r="22" customFormat="false" ht="15" hidden="false" customHeight="false" outlineLevel="0" collapsed="false">
      <c r="A22" s="9" t="str">
        <f aca="false">IF(Options!A22="","",Options!A22)</f>
        <v>OPT017</v>
      </c>
      <c r="B22" s="9" t="str">
        <f aca="false">IF(A22="","",Options!B22&amp;" "&amp;Options!C22)</f>
        <v>Button cardigan Rust</v>
      </c>
      <c r="C22" s="9" t="str">
        <f aca="false">IF(A22="","",Options!E22)</f>
        <v>Knitwear</v>
      </c>
      <c r="D22" s="9" t="str">
        <f aca="false">IF(A22="","",Options!H22)</f>
        <v>Seasonal</v>
      </c>
      <c r="E22" s="12" t="n">
        <f aca="false">SUMIFS('SKU Data'!$E$6:$E$505,'SKU Data'!$B$6:$B$505,$A22)</f>
        <v>640</v>
      </c>
      <c r="F22" s="12" t="n">
        <f aca="false">SUMIFS('SKU Data'!$F$6:$F$505,'SKU Data'!$B$6:$B$505,$A22)</f>
        <v>0</v>
      </c>
      <c r="G22" s="12" t="n">
        <f aca="false">SUMIFS('SKU Data'!$G$6:$G$505,'SKU Data'!$B$6:$B$505,$A22)</f>
        <v>181</v>
      </c>
      <c r="H22" s="12" t="n">
        <f aca="false">N(Options!M22)</f>
        <v>0</v>
      </c>
      <c r="I22" s="12" t="n">
        <f aca="false">SUMIFS('SKU Data'!$H$6:$H$505,'SKU Data'!$B$6:$B$505,$A22)</f>
        <v>19</v>
      </c>
      <c r="J22" s="12" t="n">
        <f aca="false">SUMIFS('SKU Data'!$I$6:$I$505,'SKU Data'!$B$6:$B$505,$A22)</f>
        <v>19</v>
      </c>
      <c r="K22" s="12" t="n">
        <f aca="false">SUMIFS('SKU Data'!$J$6:$J$505,'SKU Data'!$B$6:$B$505,$A22)</f>
        <v>22</v>
      </c>
      <c r="L22" s="12" t="n">
        <f aca="false">SUMIFS('SKU Data'!$K$6:$K$505,'SKU Data'!$B$6:$B$505,$A22)</f>
        <v>25</v>
      </c>
      <c r="M22" s="25" t="n">
        <f aca="false">L22*Settings!$B$10+K22*Settings!$B$11+J22*Settings!$B$12+I22*Settings!$B$13</f>
        <v>22.3</v>
      </c>
      <c r="N22" s="25" t="n">
        <f aca="false">M22*Settings!$B$15</f>
        <v>20.07</v>
      </c>
      <c r="O22" s="12" t="n">
        <f aca="false">SUMIFS('SKU Data'!$L$6:$L$505,'SKU Data'!$B$6:$B$505,$A22)</f>
        <v>459</v>
      </c>
      <c r="P22" s="12" t="n">
        <f aca="false">SUMIFS('SKU Data'!$M$6:$M$505,'SKU Data'!$B$6:$B$505,$A22)</f>
        <v>404</v>
      </c>
      <c r="Q22" s="21" t="n">
        <f aca="false">IFERROR(O22/(E22-F22),0)</f>
        <v>0.7171875</v>
      </c>
      <c r="R22" s="21" t="n">
        <f aca="false">IFERROR(P22/(E22-F22),0)</f>
        <v>0.63125</v>
      </c>
      <c r="S22" s="26" t="n">
        <f aca="false">IF(N22&lt;=0,IF(G22&gt;0,999,0),G22/N22)</f>
        <v>9.01843547583458</v>
      </c>
      <c r="T22" s="25" t="n">
        <f aca="false">IF(N(Options!L22)&gt;0,Options!L22,Settings!$B$20)</f>
        <v>8</v>
      </c>
      <c r="U22" s="9" t="n">
        <f aca="false">COUNTIFS('SKU Data'!$B$6:$B$505,$A22,'SKU Data'!$D$6:$D$505,"Y")</f>
        <v>3</v>
      </c>
      <c r="V22" s="9" t="n">
        <f aca="false">COUNTIFS('SKU Data'!$B$6:$B$505,$A22,'SKU Data'!$D$6:$D$505,"Y",'SKU Data'!$G$6:$G$505,"&lt;=0")</f>
        <v>0</v>
      </c>
      <c r="W22" s="28" t="str">
        <f aca="false">IF(A22="","",IF(AND(V22&gt;0,G22&gt;0),"Y",""))</f>
        <v/>
      </c>
      <c r="X22" s="9" t="str">
        <f aca="false">IF(A22="","",IF(AND(G22&gt;0,OR(Options!P22="N",Options!Q22="N")),"Y",""))</f>
        <v/>
      </c>
      <c r="Y22" s="9" t="n">
        <f aca="false">IF(AND(A22&lt;&gt;"",U22&gt;0,V22=0,G22&gt;0,Options!P22&lt;&gt;"N",Options!Q22&lt;&gt;"N"),1,0)</f>
        <v>1</v>
      </c>
      <c r="Z22" s="29" t="n">
        <f aca="false">IFERROR((K22+L22)/(I22+J22)-1,0)</f>
        <v>0.236842105263158</v>
      </c>
      <c r="AA22" s="9" t="str">
        <f aca="false">IF(A22="","",IF(Q22&gt;=Settings!$B$17,"High","Low"))</f>
        <v>Low</v>
      </c>
      <c r="AB22" s="9" t="str">
        <f aca="false">IF(A22="","",IF(S22&lt;IF(D22="End of life",Settings!$B$9,IF(D22="Core",T22,MIN(T22,Settings!$B$9))),"Low",IF(S22&gt;IF(D22="Core",Settings!$B$19,Settings!$B$9+Settings!$B$18),"High","Balanced")))</f>
        <v>High</v>
      </c>
      <c r="AC22" s="28" t="str">
        <f aca="false">IF(A22="","",IF(AW22="Y","Held for a campaign",IF(AA22="High",IF(AB22="Low","Selling and short",IF(AB22="High","Selling, heavy","Selling, covered")),IF(AB22="Low","Slow and short",IF(AB22="High","Slow and heavy","Slow, covered")))))</f>
        <v>Slow and heavy</v>
      </c>
      <c r="AD22" s="9" t="str">
        <f aca="false">IF(A22="","",TRIM(IF(W22="Y","Broken curve. ","")&amp;IF(X22="Y","Hidden from customers. ","")&amp;IF(Options!O22="Y","Promoted. ","")&amp;IF(Options!I22="Y","Range job. ","")&amp;IF(D22="End of life","End of life. ","")&amp;IF(H22&gt;0,"Order due in "&amp;Options!N22&amp;" weeks. ","")&amp;IF(AW22="Y","Held for "&amp;Options!T22&amp;", starts in "&amp;Options!U22&amp;" weeks. ","")&amp;IF(AX22&gt;0,"Covering for "&amp;AX22&amp;" sold-out line(s). ","")))</f>
        <v/>
      </c>
      <c r="AE22" s="9" t="str">
        <f aca="false">IF(A22="","",IF(AW22="Y",IF(AND(N(Options!V22)&gt;0,G22+H22&gt;N(Options!V22)*1.1),Settings!$A$48,Settings!$A$47),IF(X22="Y",Settings!$A$27,IF(AND(W22="Y",D22&lt;&gt;"End of life",AA22="High"),IF(H22&gt;0,Settings!$A$28,Settings!$A$29),IF(AND(W22="Y",D22="End of life"),Settings!$A$30,IF(AC22="Selling and short",IF(D22="End of life",Settings!$A$31,IF(Options!O22="Y",Settings!$A$32,IF(AX22&gt;0,Settings!$A$33,IF(H22&gt;0,IF(N(Options!N22)&lt;=S22,Settings!$A$34,Settings!$A$35),IF(AND(D22&lt;&gt;"Core",T22&gt;=Settings!$B$9),Settings!$A$36,Settings!$A$37))))),IF(AC22="Selling, heavy",IF(D22="Core",Settings!$A$38,Settings!$A$39),IF(AC22="Selling, covered",Settings!$A$40,IF(AC22="Slow and heavy",IF(Options!I22="Y",Settings!$A$41,IF(D22="End of life",Settings!$A$42,Settings!$A$43)),IF(AC22="Slow and short",IF(W22="Y",Settings!$A$44,Settings!$A$45),Settings!$A$46))))))))))</f>
        <v>Mark down or re-merchandise</v>
      </c>
      <c r="AF22" s="9" t="str">
        <f aca="false">IF(A22="","",IFERROR(VLOOKUP(AM22,Settings!$A$27:$B$48,2,0),"Assign an owner"))</f>
        <v>Trading Manager</v>
      </c>
      <c r="AG22" s="14" t="n">
        <f aca="false">SUMIFS('SKU Data'!$V$6:$V$505,'SKU Data'!$B$6:$B$505,$A22)</f>
        <v>4814.6</v>
      </c>
      <c r="AH22" s="12" t="n">
        <f aca="false">IF(A22="",0,IF(AW22="Y",IF(N(Options!V22)&gt;0,MAX(0,G22+H22-N(Options!V22)),0),MAX(0,G22+H22-N22*IF(D22="Core",Settings!$B$19,Settings!$B$9))))</f>
        <v>100.72</v>
      </c>
      <c r="AI22" s="14" t="n">
        <f aca="false">IF(OR(A22="",D22="Core"),0,AH22*N(Options!J22)*Settings!$B$21)</f>
        <v>2820.16</v>
      </c>
      <c r="AJ22" s="14" t="n">
        <f aca="false">AH22*N(Options!K22)</f>
        <v>2679.152</v>
      </c>
      <c r="AK22" s="27" t="n">
        <f aca="false">AZ22*(1-AY22)</f>
        <v>0</v>
      </c>
      <c r="AL22" s="27" t="n">
        <f aca="false">AI22+AK22</f>
        <v>2820.16</v>
      </c>
      <c r="AM22" s="9" t="str">
        <f aca="false">IF(A22="","",IF(Options!W22&lt;&gt;"",Options!W22,AE22))</f>
        <v>Mark down or re-merchandise</v>
      </c>
      <c r="AN22" s="28" t="n">
        <f aca="false">IF(A22="","",COUNTIF($AR$6:$AR$85,"&gt;"&amp;AR22)+1)</f>
        <v>32</v>
      </c>
      <c r="AO22" s="9" t="str">
        <f aca="false">IF(A22="","",Options!D22)</f>
        <v>Cardigans</v>
      </c>
      <c r="AP22" s="9" t="str">
        <f aca="false">IF(A22="","",Options!F22)</f>
        <v>Own brand</v>
      </c>
      <c r="AQ22" s="9" t="n">
        <f aca="false">IF(AND(A22&lt;&gt;"",AW22&lt;&gt;"Y",M22&gt;0,COUNTIF($M$6:$M$85,"&gt;"&amp;M22)&lt;Settings!$B$22),1,0)</f>
        <v>1</v>
      </c>
      <c r="AR22" s="28" t="n">
        <f aca="false">IF(A22="",-1,AL22+ROW()/1000000000)</f>
        <v>2820.160000022</v>
      </c>
      <c r="AS22" s="28" t="n">
        <f aca="false">IF(A22="",-1,AK22+ROW()/1000000000)</f>
        <v>2.2E-008</v>
      </c>
      <c r="AT22" s="28" t="n">
        <f aca="false">IF(A22="",-1,AI22+ROW()/1000000000)</f>
        <v>2820.160000022</v>
      </c>
      <c r="AU22" s="25" t="n">
        <f aca="false">SUMIFS('SKU Data'!$W$6:$W$505,'SKU Data'!$B$6:$B$505,$A22)</f>
        <v>21.25</v>
      </c>
      <c r="AV22" s="28" t="n">
        <f aca="false">IF(A22="","",COUNTIFS($C$6:$C$85,C22,$M$6:$M$85,"&gt;"&amp;M22)+1)</f>
        <v>6</v>
      </c>
      <c r="AW22" s="9" t="str">
        <f aca="false">IF(A22="","",IF(AND(Options!T22&lt;&gt;"",N(Options!U22)&gt;0),"Y",""))</f>
        <v/>
      </c>
      <c r="AX22" s="9" t="n">
        <f aca="false">IF(A22="",0,COUNTIFS(Options!$R$6:$R$85,$A22,$V$6:$V$85,"&gt;0"))</f>
        <v>0</v>
      </c>
      <c r="AY22" s="13" t="n">
        <f aca="false">IF(Options!S22&lt;&gt;"",Options!S22,Settings!$B$23)</f>
        <v>0.3</v>
      </c>
      <c r="AZ22" s="14" t="n">
        <f aca="false">SUMIFS('SKU Data'!$U$6:$U$505,'SKU Data'!$B$6:$B$505,$A22)</f>
        <v>0</v>
      </c>
    </row>
    <row r="23" customFormat="false" ht="15" hidden="false" customHeight="false" outlineLevel="0" collapsed="false">
      <c r="A23" s="9" t="str">
        <f aca="false">IF(Options!A23="","",Options!A23)</f>
        <v>OPT018</v>
      </c>
      <c r="B23" s="9" t="str">
        <f aca="false">IF(A23="","",Options!B23&amp;" "&amp;Options!C23)</f>
        <v>Lambswool crew Cream</v>
      </c>
      <c r="C23" s="9" t="str">
        <f aca="false">IF(A23="","",Options!E23)</f>
        <v>Knitwear</v>
      </c>
      <c r="D23" s="9" t="str">
        <f aca="false">IF(A23="","",Options!H23)</f>
        <v>Seasonal</v>
      </c>
      <c r="E23" s="12" t="n">
        <f aca="false">SUMIFS('SKU Data'!$E$6:$E$505,'SKU Data'!$B$6:$B$505,$A23)</f>
        <v>682</v>
      </c>
      <c r="F23" s="12" t="n">
        <f aca="false">SUMIFS('SKU Data'!$F$6:$F$505,'SKU Data'!$B$6:$B$505,$A23)</f>
        <v>0</v>
      </c>
      <c r="G23" s="12" t="n">
        <f aca="false">SUMIFS('SKU Data'!$G$6:$G$505,'SKU Data'!$B$6:$B$505,$A23)</f>
        <v>176</v>
      </c>
      <c r="H23" s="12" t="n">
        <f aca="false">N(Options!M23)</f>
        <v>0</v>
      </c>
      <c r="I23" s="12" t="n">
        <f aca="false">SUMIFS('SKU Data'!$H$6:$H$505,'SKU Data'!$B$6:$B$505,$A23)</f>
        <v>7</v>
      </c>
      <c r="J23" s="12" t="n">
        <f aca="false">SUMIFS('SKU Data'!$I$6:$I$505,'SKU Data'!$B$6:$B$505,$A23)</f>
        <v>7</v>
      </c>
      <c r="K23" s="12" t="n">
        <f aca="false">SUMIFS('SKU Data'!$J$6:$J$505,'SKU Data'!$B$6:$B$505,$A23)</f>
        <v>9</v>
      </c>
      <c r="L23" s="12" t="n">
        <f aca="false">SUMIFS('SKU Data'!$K$6:$K$505,'SKU Data'!$B$6:$B$505,$A23)</f>
        <v>4</v>
      </c>
      <c r="M23" s="25" t="n">
        <f aca="false">L23*Settings!$B$10+K23*Settings!$B$11+J23*Settings!$B$12+I23*Settings!$B$13</f>
        <v>6.4</v>
      </c>
      <c r="N23" s="25" t="n">
        <f aca="false">M23*Settings!$B$15</f>
        <v>5.76</v>
      </c>
      <c r="O23" s="12" t="n">
        <f aca="false">SUMIFS('SKU Data'!$L$6:$L$505,'SKU Data'!$B$6:$B$505,$A23)</f>
        <v>506</v>
      </c>
      <c r="P23" s="12" t="n">
        <f aca="false">SUMIFS('SKU Data'!$M$6:$M$505,'SKU Data'!$B$6:$B$505,$A23)</f>
        <v>444</v>
      </c>
      <c r="Q23" s="21" t="n">
        <f aca="false">IFERROR(O23/(E23-F23),0)</f>
        <v>0.741935483870968</v>
      </c>
      <c r="R23" s="21" t="n">
        <f aca="false">IFERROR(P23/(E23-F23),0)</f>
        <v>0.651026392961877</v>
      </c>
      <c r="S23" s="26" t="n">
        <f aca="false">IF(N23&lt;=0,IF(G23&gt;0,999,0),G23/N23)</f>
        <v>30.5555555555556</v>
      </c>
      <c r="T23" s="25" t="n">
        <f aca="false">IF(N(Options!L23)&gt;0,Options!L23,Settings!$B$20)</f>
        <v>6</v>
      </c>
      <c r="U23" s="9" t="n">
        <f aca="false">COUNTIFS('SKU Data'!$B$6:$B$505,$A23,'SKU Data'!$D$6:$D$505,"Y")</f>
        <v>3</v>
      </c>
      <c r="V23" s="9" t="n">
        <f aca="false">COUNTIFS('SKU Data'!$B$6:$B$505,$A23,'SKU Data'!$D$6:$D$505,"Y",'SKU Data'!$G$6:$G$505,"&lt;=0")</f>
        <v>3</v>
      </c>
      <c r="W23" s="28" t="str">
        <f aca="false">IF(A23="","",IF(AND(V23&gt;0,G23&gt;0),"Y",""))</f>
        <v>Y</v>
      </c>
      <c r="X23" s="9" t="str">
        <f aca="false">IF(A23="","",IF(AND(G23&gt;0,OR(Options!P23="N",Options!Q23="N")),"Y",""))</f>
        <v/>
      </c>
      <c r="Y23" s="9" t="n">
        <f aca="false">IF(AND(A23&lt;&gt;"",U23&gt;0,V23=0,G23&gt;0,Options!P23&lt;&gt;"N",Options!Q23&lt;&gt;"N"),1,0)</f>
        <v>0</v>
      </c>
      <c r="Z23" s="29" t="n">
        <f aca="false">IFERROR((K23+L23)/(I23+J23)-1,0)</f>
        <v>-0.0714285714285714</v>
      </c>
      <c r="AA23" s="9" t="str">
        <f aca="false">IF(A23="","",IF(Q23&gt;=Settings!$B$17,"High","Low"))</f>
        <v>High</v>
      </c>
      <c r="AB23" s="9" t="str">
        <f aca="false">IF(A23="","",IF(S23&lt;IF(D23="End of life",Settings!$B$9,IF(D23="Core",T23,MIN(T23,Settings!$B$9))),"Low",IF(S23&gt;IF(D23="Core",Settings!$B$19,Settings!$B$9+Settings!$B$18),"High","Balanced")))</f>
        <v>High</v>
      </c>
      <c r="AC23" s="28" t="str">
        <f aca="false">IF(A23="","",IF(AW23="Y","Held for a campaign",IF(AA23="High",IF(AB23="Low","Selling and short",IF(AB23="High","Selling, heavy","Selling, covered")),IF(AB23="Low","Slow and short",IF(AB23="High","Slow and heavy","Slow, covered")))))</f>
        <v>Selling, heavy</v>
      </c>
      <c r="AD23" s="9" t="str">
        <f aca="false">IF(A23="","",TRIM(IF(W23="Y","Broken curve. ","")&amp;IF(X23="Y","Hidden from customers. ","")&amp;IF(Options!O23="Y","Promoted. ","")&amp;IF(Options!I23="Y","Range job. ","")&amp;IF(D23="End of life","End of life. ","")&amp;IF(H23&gt;0,"Order due in "&amp;Options!N23&amp;" weeks. ","")&amp;IF(AW23="Y","Held for "&amp;Options!T23&amp;", starts in "&amp;Options!U23&amp;" weeks. ","")&amp;IF(AX23&gt;0,"Covering for "&amp;AX23&amp;" sold-out line(s). ","")))</f>
        <v>Broken curve.</v>
      </c>
      <c r="AE23" s="9" t="str">
        <f aca="false">IF(A23="","",IF(AW23="Y",IF(AND(N(Options!V23)&gt;0,G23+H23&gt;N(Options!V23)*1.1),Settings!$A$48,Settings!$A$47),IF(X23="Y",Settings!$A$27,IF(AND(W23="Y",D23&lt;&gt;"End of life",AA23="High"),IF(H23&gt;0,Settings!$A$28,Settings!$A$29),IF(AND(W23="Y",D23="End of life"),Settings!$A$30,IF(AC23="Selling and short",IF(D23="End of life",Settings!$A$31,IF(Options!O23="Y",Settings!$A$32,IF(AX23&gt;0,Settings!$A$33,IF(H23&gt;0,IF(N(Options!N23)&lt;=S23,Settings!$A$34,Settings!$A$35),IF(AND(D23&lt;&gt;"Core",T23&gt;=Settings!$B$9),Settings!$A$36,Settings!$A$37))))),IF(AC23="Selling, heavy",IF(D23="Core",Settings!$A$38,Settings!$A$39),IF(AC23="Selling, covered",Settings!$A$40,IF(AC23="Slow and heavy",IF(Options!I23="Y",Settings!$A$41,IF(D23="End of life",Settings!$A$42,Settings!$A$43)),IF(AC23="Slow and short",IF(W23="Y",Settings!$A$44,Settings!$A$45),Settings!$A$46))))))))))</f>
        <v>Reorder core sizes, or transfer them in</v>
      </c>
      <c r="AF23" s="9" t="str">
        <f aca="false">IF(A23="","",IFERROR(VLOOKUP(AM23,Settings!$A$27:$B$48,2,0),"Assign an owner"))</f>
        <v>Merchandiser</v>
      </c>
      <c r="AG23" s="14" t="n">
        <f aca="false">SUMIFS('SKU Data'!$V$6:$V$505,'SKU Data'!$B$6:$B$505,$A23)</f>
        <v>5684.8</v>
      </c>
      <c r="AH23" s="12" t="n">
        <f aca="false">IF(A23="",0,IF(AW23="Y",IF(N(Options!V23)&gt;0,MAX(0,G23+H23-N(Options!V23)),0),MAX(0,G23+H23-N23*IF(D23="Core",Settings!$B$19,Settings!$B$9))))</f>
        <v>152.96</v>
      </c>
      <c r="AI23" s="14" t="n">
        <f aca="false">IF(OR(A23="",D23="Core"),0,AH23*N(Options!J23)*Settings!$B$21)</f>
        <v>5200.64</v>
      </c>
      <c r="AJ23" s="14" t="n">
        <f aca="false">AH23*N(Options!K23)</f>
        <v>4940.608</v>
      </c>
      <c r="AK23" s="27" t="n">
        <f aca="false">AZ23*(1-AY23)</f>
        <v>2227</v>
      </c>
      <c r="AL23" s="27" t="n">
        <f aca="false">AI23+AK23</f>
        <v>7427.64</v>
      </c>
      <c r="AM23" s="9" t="str">
        <f aca="false">IF(A23="","",IF(Options!W23&lt;&gt;"",Options!W23,AE23))</f>
        <v>Reorder core sizes, or transfer them in</v>
      </c>
      <c r="AN23" s="28" t="n">
        <f aca="false">IF(A23="","",COUNTIF($AR$6:$AR$85,"&gt;"&amp;AR23)+1)</f>
        <v>17</v>
      </c>
      <c r="AO23" s="9" t="str">
        <f aca="false">IF(A23="","",Options!D23)</f>
        <v>Crew necks</v>
      </c>
      <c r="AP23" s="9" t="str">
        <f aca="false">IF(A23="","",Options!F23)</f>
        <v>Own brand</v>
      </c>
      <c r="AQ23" s="9" t="n">
        <f aca="false">IF(AND(A23&lt;&gt;"",AW23&lt;&gt;"Y",M23&gt;0,COUNTIF($M$6:$M$85,"&gt;"&amp;M23)&lt;Settings!$B$22),1,0)</f>
        <v>0</v>
      </c>
      <c r="AR23" s="28" t="n">
        <f aca="false">IF(A23="",-1,AL23+ROW()/1000000000)</f>
        <v>7427.640000023</v>
      </c>
      <c r="AS23" s="28" t="n">
        <f aca="false">IF(A23="",-1,AK23+ROW()/1000000000)</f>
        <v>2227.000000023</v>
      </c>
      <c r="AT23" s="28" t="n">
        <f aca="false">IF(A23="",-1,AI23+ROW()/1000000000)</f>
        <v>5200.640000023</v>
      </c>
      <c r="AU23" s="25" t="n">
        <f aca="false">SUMIFS('SKU Data'!$W$6:$W$505,'SKU Data'!$B$6:$B$505,$A23)</f>
        <v>17.6666666666667</v>
      </c>
      <c r="AV23" s="28" t="n">
        <f aca="false">IF(A23="","",COUNTIFS($C$6:$C$85,C23,$M$6:$M$85,"&gt;"&amp;M23)+1)</f>
        <v>13</v>
      </c>
      <c r="AW23" s="9" t="str">
        <f aca="false">IF(A23="","",IF(AND(Options!T23&lt;&gt;"",N(Options!U23)&gt;0),"Y",""))</f>
        <v/>
      </c>
      <c r="AX23" s="9" t="n">
        <f aca="false">IF(A23="",0,COUNTIFS(Options!$R$6:$R$85,$A23,$V$6:$V$85,"&gt;0"))</f>
        <v>0</v>
      </c>
      <c r="AY23" s="13" t="n">
        <f aca="false">IF(Options!S23&lt;&gt;"",Options!S23,Settings!$B$23)</f>
        <v>0.4</v>
      </c>
      <c r="AZ23" s="14" t="n">
        <f aca="false">SUMIFS('SKU Data'!$U$6:$U$505,'SKU Data'!$B$6:$B$505,$A23)</f>
        <v>3711.66666666667</v>
      </c>
    </row>
    <row r="24" customFormat="false" ht="15" hidden="false" customHeight="false" outlineLevel="0" collapsed="false">
      <c r="A24" s="9" t="str">
        <f aca="false">IF(Options!A24="","",Options!A24)</f>
        <v>OPT019</v>
      </c>
      <c r="B24" s="9" t="str">
        <f aca="false">IF(A24="","",Options!B24&amp;" "&amp;Options!C24)</f>
        <v>Shawl cardigan Black</v>
      </c>
      <c r="C24" s="9" t="str">
        <f aca="false">IF(A24="","",Options!E24)</f>
        <v>Knitwear</v>
      </c>
      <c r="D24" s="9" t="str">
        <f aca="false">IF(A24="","",Options!H24)</f>
        <v>Seasonal</v>
      </c>
      <c r="E24" s="12" t="n">
        <f aca="false">SUMIFS('SKU Data'!$E$6:$E$505,'SKU Data'!$B$6:$B$505,$A24)</f>
        <v>270</v>
      </c>
      <c r="F24" s="12" t="n">
        <f aca="false">SUMIFS('SKU Data'!$F$6:$F$505,'SKU Data'!$B$6:$B$505,$A24)</f>
        <v>0</v>
      </c>
      <c r="G24" s="12" t="n">
        <f aca="false">SUMIFS('SKU Data'!$G$6:$G$505,'SKU Data'!$B$6:$B$505,$A24)</f>
        <v>66</v>
      </c>
      <c r="H24" s="12" t="n">
        <f aca="false">N(Options!M24)</f>
        <v>0</v>
      </c>
      <c r="I24" s="12" t="n">
        <f aca="false">SUMIFS('SKU Data'!$H$6:$H$505,'SKU Data'!$B$6:$B$505,$A24)</f>
        <v>10</v>
      </c>
      <c r="J24" s="12" t="n">
        <f aca="false">SUMIFS('SKU Data'!$I$6:$I$505,'SKU Data'!$B$6:$B$505,$A24)</f>
        <v>8</v>
      </c>
      <c r="K24" s="12" t="n">
        <f aca="false">SUMIFS('SKU Data'!$J$6:$J$505,'SKU Data'!$B$6:$B$505,$A24)</f>
        <v>10</v>
      </c>
      <c r="L24" s="12" t="n">
        <f aca="false">SUMIFS('SKU Data'!$K$6:$K$505,'SKU Data'!$B$6:$B$505,$A24)</f>
        <v>11</v>
      </c>
      <c r="M24" s="25" t="n">
        <f aca="false">L24*Settings!$B$10+K24*Settings!$B$11+J24*Settings!$B$12+I24*Settings!$B$13</f>
        <v>10</v>
      </c>
      <c r="N24" s="25" t="n">
        <f aca="false">M24*Settings!$B$15</f>
        <v>9</v>
      </c>
      <c r="O24" s="12" t="n">
        <f aca="false">SUMIFS('SKU Data'!$L$6:$L$505,'SKU Data'!$B$6:$B$505,$A24)</f>
        <v>204</v>
      </c>
      <c r="P24" s="12" t="n">
        <f aca="false">SUMIFS('SKU Data'!$M$6:$M$505,'SKU Data'!$B$6:$B$505,$A24)</f>
        <v>181</v>
      </c>
      <c r="Q24" s="21" t="n">
        <f aca="false">IFERROR(O24/(E24-F24),0)</f>
        <v>0.755555555555556</v>
      </c>
      <c r="R24" s="21" t="n">
        <f aca="false">IFERROR(P24/(E24-F24),0)</f>
        <v>0.67037037037037</v>
      </c>
      <c r="S24" s="26" t="n">
        <f aca="false">IF(N24&lt;=0,IF(G24&gt;0,999,0),G24/N24)</f>
        <v>7.33333333333333</v>
      </c>
      <c r="T24" s="25" t="n">
        <f aca="false">IF(N(Options!L24)&gt;0,Options!L24,Settings!$B$20)</f>
        <v>10</v>
      </c>
      <c r="U24" s="9" t="n">
        <f aca="false">COUNTIFS('SKU Data'!$B$6:$B$505,$A24,'SKU Data'!$D$6:$D$505,"Y")</f>
        <v>3</v>
      </c>
      <c r="V24" s="9" t="n">
        <f aca="false">COUNTIFS('SKU Data'!$B$6:$B$505,$A24,'SKU Data'!$D$6:$D$505,"Y",'SKU Data'!$G$6:$G$505,"&lt;=0")</f>
        <v>0</v>
      </c>
      <c r="W24" s="28" t="str">
        <f aca="false">IF(A24="","",IF(AND(V24&gt;0,G24&gt;0),"Y",""))</f>
        <v/>
      </c>
      <c r="X24" s="9" t="str">
        <f aca="false">IF(A24="","",IF(AND(G24&gt;0,OR(Options!P24="N",Options!Q24="N")),"Y",""))</f>
        <v/>
      </c>
      <c r="Y24" s="9" t="n">
        <f aca="false">IF(AND(A24&lt;&gt;"",U24&gt;0,V24=0,G24&gt;0,Options!P24&lt;&gt;"N",Options!Q24&lt;&gt;"N"),1,0)</f>
        <v>1</v>
      </c>
      <c r="Z24" s="29" t="n">
        <f aca="false">IFERROR((K24+L24)/(I24+J24)-1,0)</f>
        <v>0.166666666666667</v>
      </c>
      <c r="AA24" s="9" t="str">
        <f aca="false">IF(A24="","",IF(Q24&gt;=Settings!$B$17,"High","Low"))</f>
        <v>High</v>
      </c>
      <c r="AB24" s="9" t="str">
        <f aca="false">IF(A24="","",IF(S24&lt;IF(D24="End of life",Settings!$B$9,IF(D24="Core",T24,MIN(T24,Settings!$B$9))),"Low",IF(S24&gt;IF(D24="Core",Settings!$B$19,Settings!$B$9+Settings!$B$18),"High","Balanced")))</f>
        <v>Balanced</v>
      </c>
      <c r="AC24" s="28" t="str">
        <f aca="false">IF(A24="","",IF(AW24="Y","Held for a campaign",IF(AA24="High",IF(AB24="Low","Selling and short",IF(AB24="High","Selling, heavy","Selling, covered")),IF(AB24="Low","Slow and short",IF(AB24="High","Slow and heavy","Slow, covered")))))</f>
        <v>Selling, covered</v>
      </c>
      <c r="AD24" s="9" t="str">
        <f aca="false">IF(A24="","",TRIM(IF(W24="Y","Broken curve. ","")&amp;IF(X24="Y","Hidden from customers. ","")&amp;IF(Options!O24="Y","Promoted. ","")&amp;IF(Options!I24="Y","Range job. ","")&amp;IF(D24="End of life","End of life. ","")&amp;IF(H24&gt;0,"Order due in "&amp;Options!N24&amp;" weeks. ","")&amp;IF(AW24="Y","Held for "&amp;Options!T24&amp;", starts in "&amp;Options!U24&amp;" weeks. ","")&amp;IF(AX24&gt;0,"Covering for "&amp;AX24&amp;" sold-out line(s). ","")))</f>
        <v/>
      </c>
      <c r="AE24" s="9" t="str">
        <f aca="false">IF(A24="","",IF(AW24="Y",IF(AND(N(Options!V24)&gt;0,G24+H24&gt;N(Options!V24)*1.1),Settings!$A$48,Settings!$A$47),IF(X24="Y",Settings!$A$27,IF(AND(W24="Y",D24&lt;&gt;"End of life",AA24="High"),IF(H24&gt;0,Settings!$A$28,Settings!$A$29),IF(AND(W24="Y",D24="End of life"),Settings!$A$30,IF(AC24="Selling and short",IF(D24="End of life",Settings!$A$31,IF(Options!O24="Y",Settings!$A$32,IF(AX24&gt;0,Settings!$A$33,IF(H24&gt;0,IF(N(Options!N24)&lt;=S24,Settings!$A$34,Settings!$A$35),IF(AND(D24&lt;&gt;"Core",T24&gt;=Settings!$B$9),Settings!$A$36,Settings!$A$37))))),IF(AC24="Selling, heavy",IF(D24="Core",Settings!$A$38,Settings!$A$39),IF(AC24="Selling, covered",Settings!$A$40,IF(AC24="Slow and heavy",IF(Options!I24="Y",Settings!$A$41,IF(D24="End of life",Settings!$A$42,Settings!$A$43)),IF(AC24="Slow and short",IF(W24="Y",Settings!$A$44,Settings!$A$45),Settings!$A$46))))))))))</f>
        <v>Hold</v>
      </c>
      <c r="AF24" s="9" t="str">
        <f aca="false">IF(A24="","",IFERROR(VLOOKUP(AM24,Settings!$A$27:$B$48,2,0),"Assign an owner"))</f>
        <v>Merchandiser</v>
      </c>
      <c r="AG24" s="14" t="n">
        <f aca="false">SUMIFS('SKU Data'!$V$6:$V$505,'SKU Data'!$B$6:$B$505,$A24)</f>
        <v>1755.6</v>
      </c>
      <c r="AH24" s="12" t="n">
        <f aca="false">IF(A24="",0,IF(AW24="Y",IF(N(Options!V24)&gt;0,MAX(0,G24+H24-N(Options!V24)),0),MAX(0,G24+H24-N24*IF(D24="Core",Settings!$B$19,Settings!$B$9))))</f>
        <v>30</v>
      </c>
      <c r="AI24" s="14" t="n">
        <f aca="false">IF(OR(A24="",D24="Core"),0,AH24*N(Options!J24)*Settings!$B$21)</f>
        <v>840</v>
      </c>
      <c r="AJ24" s="14" t="n">
        <f aca="false">AH24*N(Options!K24)</f>
        <v>798</v>
      </c>
      <c r="AK24" s="27" t="n">
        <f aca="false">AZ24*(1-AY24)</f>
        <v>0</v>
      </c>
      <c r="AL24" s="27" t="n">
        <f aca="false">AI24+AK24</f>
        <v>840</v>
      </c>
      <c r="AM24" s="9" t="str">
        <f aca="false">IF(A24="","",IF(Options!W24&lt;&gt;"",Options!W24,AE24))</f>
        <v>Hold</v>
      </c>
      <c r="AN24" s="28" t="n">
        <f aca="false">IF(A24="","",COUNTIF($AR$6:$AR$85,"&gt;"&amp;AR24)+1)</f>
        <v>43</v>
      </c>
      <c r="AO24" s="9" t="str">
        <f aca="false">IF(A24="","",Options!D24)</f>
        <v>Cardigans</v>
      </c>
      <c r="AP24" s="9" t="str">
        <f aca="false">IF(A24="","",Options!F24)</f>
        <v>Own brand</v>
      </c>
      <c r="AQ24" s="9" t="n">
        <f aca="false">IF(AND(A24&lt;&gt;"",AW24&lt;&gt;"Y",M24&gt;0,COUNTIF($M$6:$M$85,"&gt;"&amp;M24)&lt;Settings!$B$22),1,0)</f>
        <v>0</v>
      </c>
      <c r="AR24" s="28" t="n">
        <f aca="false">IF(A24="",-1,AL24+ROW()/1000000000)</f>
        <v>840.000000024</v>
      </c>
      <c r="AS24" s="28" t="n">
        <f aca="false">IF(A24="",-1,AK24+ROW()/1000000000)</f>
        <v>2.4E-008</v>
      </c>
      <c r="AT24" s="28" t="n">
        <f aca="false">IF(A24="",-1,AI24+ROW()/1000000000)</f>
        <v>840.000000024</v>
      </c>
      <c r="AU24" s="25" t="n">
        <f aca="false">SUMIFS('SKU Data'!$W$6:$W$505,'SKU Data'!$B$6:$B$505,$A24)</f>
        <v>9.75</v>
      </c>
      <c r="AV24" s="28" t="n">
        <f aca="false">IF(A24="","",COUNTIFS($C$6:$C$85,C24,$M$6:$M$85,"&gt;"&amp;M24)+1)</f>
        <v>12</v>
      </c>
      <c r="AW24" s="9" t="str">
        <f aca="false">IF(A24="","",IF(AND(Options!T24&lt;&gt;"",N(Options!U24)&gt;0),"Y",""))</f>
        <v/>
      </c>
      <c r="AX24" s="9" t="n">
        <f aca="false">IF(A24="",0,COUNTIFS(Options!$R$6:$R$85,$A24,$V$6:$V$85,"&gt;0"))</f>
        <v>0</v>
      </c>
      <c r="AY24" s="13" t="n">
        <f aca="false">IF(Options!S24&lt;&gt;"",Options!S24,Settings!$B$23)</f>
        <v>0.3</v>
      </c>
      <c r="AZ24" s="14" t="n">
        <f aca="false">SUMIFS('SKU Data'!$U$6:$U$505,'SKU Data'!$B$6:$B$505,$A24)</f>
        <v>0</v>
      </c>
    </row>
    <row r="25" customFormat="false" ht="15" hidden="false" customHeight="false" outlineLevel="0" collapsed="false">
      <c r="A25" s="9" t="str">
        <f aca="false">IF(Options!A25="","",Options!A25)</f>
        <v>OPT020</v>
      </c>
      <c r="B25" s="9" t="str">
        <f aca="false">IF(A25="","",Options!B25&amp;" "&amp;Options!C25)</f>
        <v>Lambswool crew Forest</v>
      </c>
      <c r="C25" s="9" t="str">
        <f aca="false">IF(A25="","",Options!E25)</f>
        <v>Knitwear</v>
      </c>
      <c r="D25" s="9" t="str">
        <f aca="false">IF(A25="","",Options!H25)</f>
        <v>Seasonal</v>
      </c>
      <c r="E25" s="12" t="n">
        <f aca="false">SUMIFS('SKU Data'!$E$6:$E$505,'SKU Data'!$B$6:$B$505,$A25)</f>
        <v>708</v>
      </c>
      <c r="F25" s="12" t="n">
        <f aca="false">SUMIFS('SKU Data'!$F$6:$F$505,'SKU Data'!$B$6:$B$505,$A25)</f>
        <v>0</v>
      </c>
      <c r="G25" s="12" t="n">
        <f aca="false">SUMIFS('SKU Data'!$G$6:$G$505,'SKU Data'!$B$6:$B$505,$A25)</f>
        <v>232</v>
      </c>
      <c r="H25" s="12" t="n">
        <f aca="false">N(Options!M25)</f>
        <v>0</v>
      </c>
      <c r="I25" s="12" t="n">
        <f aca="false">SUMIFS('SKU Data'!$H$6:$H$505,'SKU Data'!$B$6:$B$505,$A25)</f>
        <v>20</v>
      </c>
      <c r="J25" s="12" t="n">
        <f aca="false">SUMIFS('SKU Data'!$I$6:$I$505,'SKU Data'!$B$6:$B$505,$A25)</f>
        <v>19</v>
      </c>
      <c r="K25" s="12" t="n">
        <f aca="false">SUMIFS('SKU Data'!$J$6:$J$505,'SKU Data'!$B$6:$B$505,$A25)</f>
        <v>24</v>
      </c>
      <c r="L25" s="12" t="n">
        <f aca="false">SUMIFS('SKU Data'!$K$6:$K$505,'SKU Data'!$B$6:$B$505,$A25)</f>
        <v>26</v>
      </c>
      <c r="M25" s="25" t="n">
        <f aca="false">L25*Settings!$B$10+K25*Settings!$B$11+J25*Settings!$B$12+I25*Settings!$B$13</f>
        <v>23.4</v>
      </c>
      <c r="N25" s="25" t="n">
        <f aca="false">M25*Settings!$B$15</f>
        <v>21.06</v>
      </c>
      <c r="O25" s="12" t="n">
        <f aca="false">SUMIFS('SKU Data'!$L$6:$L$505,'SKU Data'!$B$6:$B$505,$A25)</f>
        <v>476</v>
      </c>
      <c r="P25" s="12" t="n">
        <f aca="false">SUMIFS('SKU Data'!$M$6:$M$505,'SKU Data'!$B$6:$B$505,$A25)</f>
        <v>419</v>
      </c>
      <c r="Q25" s="21" t="n">
        <f aca="false">IFERROR(O25/(E25-F25),0)</f>
        <v>0.672316384180791</v>
      </c>
      <c r="R25" s="21" t="n">
        <f aca="false">IFERROR(P25/(E25-F25),0)</f>
        <v>0.59180790960452</v>
      </c>
      <c r="S25" s="26" t="n">
        <f aca="false">IF(N25&lt;=0,IF(G25&gt;0,999,0),G25/N25)</f>
        <v>11.0161443494777</v>
      </c>
      <c r="T25" s="25" t="n">
        <f aca="false">IF(N(Options!L25)&gt;0,Options!L25,Settings!$B$20)</f>
        <v>8</v>
      </c>
      <c r="U25" s="9" t="n">
        <f aca="false">COUNTIFS('SKU Data'!$B$6:$B$505,$A25,'SKU Data'!$D$6:$D$505,"Y")</f>
        <v>3</v>
      </c>
      <c r="V25" s="9" t="n">
        <f aca="false">COUNTIFS('SKU Data'!$B$6:$B$505,$A25,'SKU Data'!$D$6:$D$505,"Y",'SKU Data'!$G$6:$G$505,"&lt;=0")</f>
        <v>0</v>
      </c>
      <c r="W25" s="28" t="str">
        <f aca="false">IF(A25="","",IF(AND(V25&gt;0,G25&gt;0),"Y",""))</f>
        <v/>
      </c>
      <c r="X25" s="9" t="str">
        <f aca="false">IF(A25="","",IF(AND(G25&gt;0,OR(Options!P25="N",Options!Q25="N")),"Y",""))</f>
        <v/>
      </c>
      <c r="Y25" s="9" t="n">
        <f aca="false">IF(AND(A25&lt;&gt;"",U25&gt;0,V25=0,G25&gt;0,Options!P25&lt;&gt;"N",Options!Q25&lt;&gt;"N"),1,0)</f>
        <v>1</v>
      </c>
      <c r="Z25" s="29" t="n">
        <f aca="false">IFERROR((K25+L25)/(I25+J25)-1,0)</f>
        <v>0.282051282051282</v>
      </c>
      <c r="AA25" s="9" t="str">
        <f aca="false">IF(A25="","",IF(Q25&gt;=Settings!$B$17,"High","Low"))</f>
        <v>Low</v>
      </c>
      <c r="AB25" s="9" t="str">
        <f aca="false">IF(A25="","",IF(S25&lt;IF(D25="End of life",Settings!$B$9,IF(D25="Core",T25,MIN(T25,Settings!$B$9))),"Low",IF(S25&gt;IF(D25="Core",Settings!$B$19,Settings!$B$9+Settings!$B$18),"High","Balanced")))</f>
        <v>High</v>
      </c>
      <c r="AC25" s="28" t="str">
        <f aca="false">IF(A25="","",IF(AW25="Y","Held for a campaign",IF(AA25="High",IF(AB25="Low","Selling and short",IF(AB25="High","Selling, heavy","Selling, covered")),IF(AB25="Low","Slow and short",IF(AB25="High","Slow and heavy","Slow, covered")))))</f>
        <v>Slow and heavy</v>
      </c>
      <c r="AD25" s="9" t="str">
        <f aca="false">IF(A25="","",TRIM(IF(W25="Y","Broken curve. ","")&amp;IF(X25="Y","Hidden from customers. ","")&amp;IF(Options!O25="Y","Promoted. ","")&amp;IF(Options!I25="Y","Range job. ","")&amp;IF(D25="End of life","End of life. ","")&amp;IF(H25&gt;0,"Order due in "&amp;Options!N25&amp;" weeks. ","")&amp;IF(AW25="Y","Held for "&amp;Options!T25&amp;", starts in "&amp;Options!U25&amp;" weeks. ","")&amp;IF(AX25&gt;0,"Covering for "&amp;AX25&amp;" sold-out line(s). ","")))</f>
        <v/>
      </c>
      <c r="AE25" s="9" t="str">
        <f aca="false">IF(A25="","",IF(AW25="Y",IF(AND(N(Options!V25)&gt;0,G25+H25&gt;N(Options!V25)*1.1),Settings!$A$48,Settings!$A$47),IF(X25="Y",Settings!$A$27,IF(AND(W25="Y",D25&lt;&gt;"End of life",AA25="High"),IF(H25&gt;0,Settings!$A$28,Settings!$A$29),IF(AND(W25="Y",D25="End of life"),Settings!$A$30,IF(AC25="Selling and short",IF(D25="End of life",Settings!$A$31,IF(Options!O25="Y",Settings!$A$32,IF(AX25&gt;0,Settings!$A$33,IF(H25&gt;0,IF(N(Options!N25)&lt;=S25,Settings!$A$34,Settings!$A$35),IF(AND(D25&lt;&gt;"Core",T25&gt;=Settings!$B$9),Settings!$A$36,Settings!$A$37))))),IF(AC25="Selling, heavy",IF(D25="Core",Settings!$A$38,Settings!$A$39),IF(AC25="Selling, covered",Settings!$A$40,IF(AC25="Slow and heavy",IF(Options!I25="Y",Settings!$A$41,IF(D25="End of life",Settings!$A$42,Settings!$A$43)),IF(AC25="Slow and short",IF(W25="Y",Settings!$A$44,Settings!$A$45),Settings!$A$46))))))))))</f>
        <v>Mark down or re-merchandise</v>
      </c>
      <c r="AF25" s="9" t="str">
        <f aca="false">IF(A25="","",IFERROR(VLOOKUP(AM25,Settings!$A$27:$B$48,2,0),"Assign an owner"))</f>
        <v>Trading Manager</v>
      </c>
      <c r="AG25" s="14" t="n">
        <f aca="false">SUMIFS('SKU Data'!$V$6:$V$505,'SKU Data'!$B$6:$B$505,$A25)</f>
        <v>6171.2</v>
      </c>
      <c r="AH25" s="12" t="n">
        <f aca="false">IF(A25="",0,IF(AW25="Y",IF(N(Options!V25)&gt;0,MAX(0,G25+H25-N(Options!V25)),0),MAX(0,G25+H25-N25*IF(D25="Core",Settings!$B$19,Settings!$B$9))))</f>
        <v>147.76</v>
      </c>
      <c r="AI25" s="14" t="n">
        <f aca="false">IF(OR(A25="",D25="Core"),0,AH25*N(Options!J25)*Settings!$B$21)</f>
        <v>4137.28</v>
      </c>
      <c r="AJ25" s="14" t="n">
        <f aca="false">AH25*N(Options!K25)</f>
        <v>3930.416</v>
      </c>
      <c r="AK25" s="27" t="n">
        <f aca="false">AZ25*(1-AY25)</f>
        <v>0</v>
      </c>
      <c r="AL25" s="27" t="n">
        <f aca="false">AI25+AK25</f>
        <v>4137.28</v>
      </c>
      <c r="AM25" s="9" t="str">
        <f aca="false">IF(A25="","",IF(Options!W25&lt;&gt;"",Options!W25,AE25))</f>
        <v>Mark down or re-merchandise</v>
      </c>
      <c r="AN25" s="28" t="n">
        <f aca="false">IF(A25="","",COUNTIF($AR$6:$AR$85,"&gt;"&amp;AR25)+1)</f>
        <v>24</v>
      </c>
      <c r="AO25" s="9" t="str">
        <f aca="false">IF(A25="","",Options!D25)</f>
        <v>Crew necks</v>
      </c>
      <c r="AP25" s="9" t="str">
        <f aca="false">IF(A25="","",Options!F25)</f>
        <v>Own brand</v>
      </c>
      <c r="AQ25" s="9" t="n">
        <f aca="false">IF(AND(A25&lt;&gt;"",AW25&lt;&gt;"Y",M25&gt;0,COUNTIF($M$6:$M$85,"&gt;"&amp;M25)&lt;Settings!$B$22),1,0)</f>
        <v>1</v>
      </c>
      <c r="AR25" s="28" t="n">
        <f aca="false">IF(A25="",-1,AL25+ROW()/1000000000)</f>
        <v>4137.280000025</v>
      </c>
      <c r="AS25" s="28" t="n">
        <f aca="false">IF(A25="",-1,AK25+ROW()/1000000000)</f>
        <v>2.5E-008</v>
      </c>
      <c r="AT25" s="28" t="n">
        <f aca="false">IF(A25="",-1,AI25+ROW()/1000000000)</f>
        <v>4137.280000025</v>
      </c>
      <c r="AU25" s="25" t="n">
        <f aca="false">SUMIFS('SKU Data'!$W$6:$W$505,'SKU Data'!$B$6:$B$505,$A25)</f>
        <v>22.25</v>
      </c>
      <c r="AV25" s="28" t="n">
        <f aca="false">IF(A25="","",COUNTIFS($C$6:$C$85,C25,$M$6:$M$85,"&gt;"&amp;M25)+1)</f>
        <v>4</v>
      </c>
      <c r="AW25" s="9" t="str">
        <f aca="false">IF(A25="","",IF(AND(Options!T25&lt;&gt;"",N(Options!U25)&gt;0),"Y",""))</f>
        <v/>
      </c>
      <c r="AX25" s="9" t="n">
        <f aca="false">IF(A25="",0,COUNTIFS(Options!$R$6:$R$85,$A25,$V$6:$V$85,"&gt;0"))</f>
        <v>0</v>
      </c>
      <c r="AY25" s="13" t="n">
        <f aca="false">IF(Options!S25&lt;&gt;"",Options!S25,Settings!$B$23)</f>
        <v>0.3</v>
      </c>
      <c r="AZ25" s="14" t="n">
        <f aca="false">SUMIFS('SKU Data'!$U$6:$U$505,'SKU Data'!$B$6:$B$505,$A25)</f>
        <v>0</v>
      </c>
    </row>
    <row r="26" customFormat="false" ht="15" hidden="false" customHeight="false" outlineLevel="0" collapsed="false">
      <c r="A26" s="9" t="str">
        <f aca="false">IF(Options!A26="","",Options!A26)</f>
        <v>OPT021</v>
      </c>
      <c r="B26" s="9" t="str">
        <f aca="false">IF(A26="","",Options!B26&amp;" "&amp;Options!C26)</f>
        <v>Shawl cardigan Sand</v>
      </c>
      <c r="C26" s="9" t="str">
        <f aca="false">IF(A26="","",Options!E26)</f>
        <v>Knitwear</v>
      </c>
      <c r="D26" s="9" t="str">
        <f aca="false">IF(A26="","",Options!H26)</f>
        <v>Seasonal</v>
      </c>
      <c r="E26" s="12" t="n">
        <f aca="false">SUMIFS('SKU Data'!$E$6:$E$505,'SKU Data'!$B$6:$B$505,$A26)</f>
        <v>104</v>
      </c>
      <c r="F26" s="12" t="n">
        <f aca="false">SUMIFS('SKU Data'!$F$6:$F$505,'SKU Data'!$B$6:$B$505,$A26)</f>
        <v>0</v>
      </c>
      <c r="G26" s="12" t="n">
        <f aca="false">SUMIFS('SKU Data'!$G$6:$G$505,'SKU Data'!$B$6:$B$505,$A26)</f>
        <v>94</v>
      </c>
      <c r="H26" s="12" t="n">
        <f aca="false">N(Options!M26)</f>
        <v>0</v>
      </c>
      <c r="I26" s="12" t="n">
        <f aca="false">SUMIFS('SKU Data'!$H$6:$H$505,'SKU Data'!$B$6:$B$505,$A26)</f>
        <v>1</v>
      </c>
      <c r="J26" s="12" t="n">
        <f aca="false">SUMIFS('SKU Data'!$I$6:$I$505,'SKU Data'!$B$6:$B$505,$A26)</f>
        <v>0</v>
      </c>
      <c r="K26" s="12" t="n">
        <f aca="false">SUMIFS('SKU Data'!$J$6:$J$505,'SKU Data'!$B$6:$B$505,$A26)</f>
        <v>2</v>
      </c>
      <c r="L26" s="12" t="n">
        <f aca="false">SUMIFS('SKU Data'!$K$6:$K$505,'SKU Data'!$B$6:$B$505,$A26)</f>
        <v>1</v>
      </c>
      <c r="M26" s="25" t="n">
        <f aca="false">L26*Settings!$B$10+K26*Settings!$B$11+J26*Settings!$B$12+I26*Settings!$B$13</f>
        <v>1.1</v>
      </c>
      <c r="N26" s="25" t="n">
        <f aca="false">M26*Settings!$B$15</f>
        <v>0.99</v>
      </c>
      <c r="O26" s="12" t="n">
        <f aca="false">SUMIFS('SKU Data'!$L$6:$L$505,'SKU Data'!$B$6:$B$505,$A26)</f>
        <v>10</v>
      </c>
      <c r="P26" s="12" t="n">
        <f aca="false">SUMIFS('SKU Data'!$M$6:$M$505,'SKU Data'!$B$6:$B$505,$A26)</f>
        <v>10</v>
      </c>
      <c r="Q26" s="21" t="n">
        <f aca="false">IFERROR(O26/(E26-F26),0)</f>
        <v>0.0961538461538462</v>
      </c>
      <c r="R26" s="21" t="n">
        <f aca="false">IFERROR(P26/(E26-F26),0)</f>
        <v>0.0961538461538462</v>
      </c>
      <c r="S26" s="26" t="n">
        <f aca="false">IF(N26&lt;=0,IF(G26&gt;0,999,0),G26/N26)</f>
        <v>94.9494949494949</v>
      </c>
      <c r="T26" s="25" t="n">
        <f aca="false">IF(N(Options!L26)&gt;0,Options!L26,Settings!$B$20)</f>
        <v>8</v>
      </c>
      <c r="U26" s="9" t="n">
        <f aca="false">COUNTIFS('SKU Data'!$B$6:$B$505,$A26,'SKU Data'!$D$6:$D$505,"Y")</f>
        <v>3</v>
      </c>
      <c r="V26" s="9" t="n">
        <f aca="false">COUNTIFS('SKU Data'!$B$6:$B$505,$A26,'SKU Data'!$D$6:$D$505,"Y",'SKU Data'!$G$6:$G$505,"&lt;=0")</f>
        <v>0</v>
      </c>
      <c r="W26" s="28" t="str">
        <f aca="false">IF(A26="","",IF(AND(V26&gt;0,G26&gt;0),"Y",""))</f>
        <v/>
      </c>
      <c r="X26" s="9" t="str">
        <f aca="false">IF(A26="","",IF(AND(G26&gt;0,OR(Options!P26="N",Options!Q26="N")),"Y",""))</f>
        <v/>
      </c>
      <c r="Y26" s="9" t="n">
        <f aca="false">IF(AND(A26&lt;&gt;"",U26&gt;0,V26=0,G26&gt;0,Options!P26&lt;&gt;"N",Options!Q26&lt;&gt;"N"),1,0)</f>
        <v>1</v>
      </c>
      <c r="Z26" s="29" t="n">
        <f aca="false">IFERROR((K26+L26)/(I26+J26)-1,0)</f>
        <v>2</v>
      </c>
      <c r="AA26" s="9" t="str">
        <f aca="false">IF(A26="","",IF(Q26&gt;=Settings!$B$17,"High","Low"))</f>
        <v>Low</v>
      </c>
      <c r="AB26" s="9" t="str">
        <f aca="false">IF(A26="","",IF(S26&lt;IF(D26="End of life",Settings!$B$9,IF(D26="Core",T26,MIN(T26,Settings!$B$9))),"Low",IF(S26&gt;IF(D26="Core",Settings!$B$19,Settings!$B$9+Settings!$B$18),"High","Balanced")))</f>
        <v>High</v>
      </c>
      <c r="AC26" s="28" t="str">
        <f aca="false">IF(A26="","",IF(AW26="Y","Held for a campaign",IF(AA26="High",IF(AB26="Low","Selling and short",IF(AB26="High","Selling, heavy","Selling, covered")),IF(AB26="Low","Slow and short",IF(AB26="High","Slow and heavy","Slow, covered")))))</f>
        <v>Held for a campaign</v>
      </c>
      <c r="AD26" s="9" t="str">
        <f aca="false">IF(A26="","",TRIM(IF(W26="Y","Broken curve. ","")&amp;IF(X26="Y","Hidden from customers. ","")&amp;IF(Options!O26="Y","Promoted. ","")&amp;IF(Options!I26="Y","Range job. ","")&amp;IF(D26="End of life","End of life. ","")&amp;IF(H26&gt;0,"Order due in "&amp;Options!N26&amp;" weeks. ","")&amp;IF(AW26="Y","Held for "&amp;Options!T26&amp;", starts in "&amp;Options!U26&amp;" weeks. ","")&amp;IF(AX26&gt;0,"Covering for "&amp;AX26&amp;" sold-out line(s). ","")))</f>
        <v>Held for Valentine's gifting, starts in 5 weeks.</v>
      </c>
      <c r="AE26" s="9" t="str">
        <f aca="false">IF(A26="","",IF(AW26="Y",IF(AND(N(Options!V26)&gt;0,G26+H26&gt;N(Options!V26)*1.1),Settings!$A$48,Settings!$A$47),IF(X26="Y",Settings!$A$27,IF(AND(W26="Y",D26&lt;&gt;"End of life",AA26="High"),IF(H26&gt;0,Settings!$A$28,Settings!$A$29),IF(AND(W26="Y",D26="End of life"),Settings!$A$30,IF(AC26="Selling and short",IF(D26="End of life",Settings!$A$31,IF(Options!O26="Y",Settings!$A$32,IF(AX26&gt;0,Settings!$A$33,IF(H26&gt;0,IF(N(Options!N26)&lt;=S26,Settings!$A$34,Settings!$A$35),IF(AND(D26&lt;&gt;"Core",T26&gt;=Settings!$B$9),Settings!$A$36,Settings!$A$37))))),IF(AC26="Selling, heavy",IF(D26="Core",Settings!$A$38,Settings!$A$39),IF(AC26="Selling, covered",Settings!$A$40,IF(AC26="Slow and heavy",IF(Options!I26="Y",Settings!$A$41,IF(D26="End of life",Settings!$A$42,Settings!$A$43)),IF(AC26="Slow and short",IF(W26="Y",Settings!$A$44,Settings!$A$45),Settings!$A$46))))))))))</f>
        <v>Hold for the campaign, but stock exceeds the campaign plan: agree the exit now</v>
      </c>
      <c r="AF26" s="9" t="str">
        <f aca="false">IF(A26="","",IFERROR(VLOOKUP(AM26,Settings!$A$27:$B$48,2,0),"Assign an owner"))</f>
        <v>Trading Manager</v>
      </c>
      <c r="AG26" s="14" t="n">
        <f aca="false">SUMIFS('SKU Data'!$V$6:$V$505,'SKU Data'!$B$6:$B$505,$A26)</f>
        <v>2500.4</v>
      </c>
      <c r="AH26" s="12" t="n">
        <f aca="false">IF(A26="",0,IF(AW26="Y",IF(N(Options!V26)&gt;0,MAX(0,G26+H26-N(Options!V26)),0),MAX(0,G26+H26-N26*IF(D26="Core",Settings!$B$19,Settings!$B$9))))</f>
        <v>14</v>
      </c>
      <c r="AI26" s="14" t="n">
        <f aca="false">IF(OR(A26="",D26="Core"),0,AH26*N(Options!J26)*Settings!$B$21)</f>
        <v>392</v>
      </c>
      <c r="AJ26" s="14" t="n">
        <f aca="false">AH26*N(Options!K26)</f>
        <v>372.4</v>
      </c>
      <c r="AK26" s="27" t="n">
        <f aca="false">AZ26*(1-AY26)</f>
        <v>0</v>
      </c>
      <c r="AL26" s="27" t="n">
        <f aca="false">AI26+AK26</f>
        <v>392</v>
      </c>
      <c r="AM26" s="9" t="str">
        <f aca="false">IF(A26="","",IF(Options!W26&lt;&gt;"",Options!W26,AE26))</f>
        <v>Hold for the campaign, but stock exceeds the campaign plan: agree the exit now</v>
      </c>
      <c r="AN26" s="28" t="n">
        <f aca="false">IF(A26="","",COUNTIF($AR$6:$AR$85,"&gt;"&amp;AR26)+1)</f>
        <v>47</v>
      </c>
      <c r="AO26" s="9" t="str">
        <f aca="false">IF(A26="","",Options!D26)</f>
        <v>Cardigans</v>
      </c>
      <c r="AP26" s="9" t="str">
        <f aca="false">IF(A26="","",Options!F26)</f>
        <v>Own brand</v>
      </c>
      <c r="AQ26" s="9" t="n">
        <f aca="false">IF(AND(A26&lt;&gt;"",AW26&lt;&gt;"Y",M26&gt;0,COUNTIF($M$6:$M$85,"&gt;"&amp;M26)&lt;Settings!$B$22),1,0)</f>
        <v>0</v>
      </c>
      <c r="AR26" s="28" t="n">
        <f aca="false">IF(A26="",-1,AL26+ROW()/1000000000)</f>
        <v>392.000000026</v>
      </c>
      <c r="AS26" s="28" t="n">
        <f aca="false">IF(A26="",-1,AK26+ROW()/1000000000)</f>
        <v>2.6E-008</v>
      </c>
      <c r="AT26" s="28" t="n">
        <f aca="false">IF(A26="",-1,AI26+ROW()/1000000000)</f>
        <v>392.000000026</v>
      </c>
      <c r="AU26" s="25" t="n">
        <f aca="false">SUMIFS('SKU Data'!$W$6:$W$505,'SKU Data'!$B$6:$B$505,$A26)</f>
        <v>1</v>
      </c>
      <c r="AV26" s="28" t="n">
        <f aca="false">IF(A26="","",COUNTIFS($C$6:$C$85,C26,$M$6:$M$85,"&gt;"&amp;M26)+1)</f>
        <v>15</v>
      </c>
      <c r="AW26" s="9" t="str">
        <f aca="false">IF(A26="","",IF(AND(Options!T26&lt;&gt;"",N(Options!U26)&gt;0),"Y",""))</f>
        <v>Y</v>
      </c>
      <c r="AX26" s="9" t="n">
        <f aca="false">IF(A26="",0,COUNTIFS(Options!$R$6:$R$85,$A26,$V$6:$V$85,"&gt;0"))</f>
        <v>0</v>
      </c>
      <c r="AY26" s="13" t="n">
        <f aca="false">IF(Options!S26&lt;&gt;"",Options!S26,Settings!$B$23)</f>
        <v>0.3</v>
      </c>
      <c r="AZ26" s="14" t="n">
        <f aca="false">SUMIFS('SKU Data'!$U$6:$U$505,'SKU Data'!$B$6:$B$505,$A26)</f>
        <v>0</v>
      </c>
    </row>
    <row r="27" customFormat="false" ht="15" hidden="false" customHeight="false" outlineLevel="0" collapsed="false">
      <c r="A27" s="9" t="str">
        <f aca="false">IF(Options!A27="","",Options!A27)</f>
        <v>OPT022</v>
      </c>
      <c r="B27" s="9" t="str">
        <f aca="false">IF(A27="","",Options!B27&amp;" "&amp;Options!C27)</f>
        <v>Cable crew Teal</v>
      </c>
      <c r="C27" s="9" t="str">
        <f aca="false">IF(A27="","",Options!E27)</f>
        <v>Knitwear</v>
      </c>
      <c r="D27" s="9" t="str">
        <f aca="false">IF(A27="","",Options!H27)</f>
        <v>Seasonal</v>
      </c>
      <c r="E27" s="12" t="n">
        <f aca="false">SUMIFS('SKU Data'!$E$6:$E$505,'SKU Data'!$B$6:$B$505,$A27)</f>
        <v>232</v>
      </c>
      <c r="F27" s="12" t="n">
        <f aca="false">SUMIFS('SKU Data'!$F$6:$F$505,'SKU Data'!$B$6:$B$505,$A27)</f>
        <v>0</v>
      </c>
      <c r="G27" s="12" t="n">
        <f aca="false">SUMIFS('SKU Data'!$G$6:$G$505,'SKU Data'!$B$6:$B$505,$A27)</f>
        <v>25</v>
      </c>
      <c r="H27" s="12" t="n">
        <f aca="false">N(Options!M27)</f>
        <v>240</v>
      </c>
      <c r="I27" s="12" t="n">
        <f aca="false">SUMIFS('SKU Data'!$H$6:$H$505,'SKU Data'!$B$6:$B$505,$A27)</f>
        <v>12</v>
      </c>
      <c r="J27" s="12" t="n">
        <f aca="false">SUMIFS('SKU Data'!$I$6:$I$505,'SKU Data'!$B$6:$B$505,$A27)</f>
        <v>11</v>
      </c>
      <c r="K27" s="12" t="n">
        <f aca="false">SUMIFS('SKU Data'!$J$6:$J$505,'SKU Data'!$B$6:$B$505,$A27)</f>
        <v>12</v>
      </c>
      <c r="L27" s="12" t="n">
        <f aca="false">SUMIFS('SKU Data'!$K$6:$K$505,'SKU Data'!$B$6:$B$505,$A27)</f>
        <v>13</v>
      </c>
      <c r="M27" s="25" t="n">
        <f aca="false">L27*Settings!$B$10+K27*Settings!$B$11+J27*Settings!$B$12+I27*Settings!$B$13</f>
        <v>12.2</v>
      </c>
      <c r="N27" s="25" t="n">
        <f aca="false">M27*Settings!$B$15</f>
        <v>10.98</v>
      </c>
      <c r="O27" s="12" t="n">
        <f aca="false">SUMIFS('SKU Data'!$L$6:$L$505,'SKU Data'!$B$6:$B$505,$A27)</f>
        <v>207</v>
      </c>
      <c r="P27" s="12" t="n">
        <f aca="false">SUMIFS('SKU Data'!$M$6:$M$505,'SKU Data'!$B$6:$B$505,$A27)</f>
        <v>181</v>
      </c>
      <c r="Q27" s="21" t="n">
        <f aca="false">IFERROR(O27/(E27-F27),0)</f>
        <v>0.892241379310345</v>
      </c>
      <c r="R27" s="21" t="n">
        <f aca="false">IFERROR(P27/(E27-F27),0)</f>
        <v>0.780172413793103</v>
      </c>
      <c r="S27" s="26" t="n">
        <f aca="false">IF(N27&lt;=0,IF(G27&gt;0,999,0),G27/N27)</f>
        <v>2.27686703096539</v>
      </c>
      <c r="T27" s="25" t="n">
        <f aca="false">IF(N(Options!L27)&gt;0,Options!L27,Settings!$B$20)</f>
        <v>10</v>
      </c>
      <c r="U27" s="9" t="n">
        <f aca="false">COUNTIFS('SKU Data'!$B$6:$B$505,$A27,'SKU Data'!$D$6:$D$505,"Y")</f>
        <v>3</v>
      </c>
      <c r="V27" s="9" t="n">
        <f aca="false">COUNTIFS('SKU Data'!$B$6:$B$505,$A27,'SKU Data'!$D$6:$D$505,"Y",'SKU Data'!$G$6:$G$505,"&lt;=0")</f>
        <v>0</v>
      </c>
      <c r="W27" s="28" t="str">
        <f aca="false">IF(A27="","",IF(AND(V27&gt;0,G27&gt;0),"Y",""))</f>
        <v/>
      </c>
      <c r="X27" s="9" t="str">
        <f aca="false">IF(A27="","",IF(AND(G27&gt;0,OR(Options!P27="N",Options!Q27="N")),"Y",""))</f>
        <v/>
      </c>
      <c r="Y27" s="9" t="n">
        <f aca="false">IF(AND(A27&lt;&gt;"",U27&gt;0,V27=0,G27&gt;0,Options!P27&lt;&gt;"N",Options!Q27&lt;&gt;"N"),1,0)</f>
        <v>1</v>
      </c>
      <c r="Z27" s="29" t="n">
        <f aca="false">IFERROR((K27+L27)/(I27+J27)-1,0)</f>
        <v>0.0869565217391304</v>
      </c>
      <c r="AA27" s="9" t="str">
        <f aca="false">IF(A27="","",IF(Q27&gt;=Settings!$B$17,"High","Low"))</f>
        <v>High</v>
      </c>
      <c r="AB27" s="9" t="str">
        <f aca="false">IF(A27="","",IF(S27&lt;IF(D27="End of life",Settings!$B$9,IF(D27="Core",T27,MIN(T27,Settings!$B$9))),"Low",IF(S27&gt;IF(D27="Core",Settings!$B$19,Settings!$B$9+Settings!$B$18),"High","Balanced")))</f>
        <v>Low</v>
      </c>
      <c r="AC27" s="28" t="str">
        <f aca="false">IF(A27="","",IF(AW27="Y","Held for a campaign",IF(AA27="High",IF(AB27="Low","Selling and short",IF(AB27="High","Selling, heavy","Selling, covered")),IF(AB27="Low","Slow and short",IF(AB27="High","Slow and heavy","Slow, covered")))))</f>
        <v>Selling and short</v>
      </c>
      <c r="AD27" s="9" t="str">
        <f aca="false">IF(A27="","",TRIM(IF(W27="Y","Broken curve. ","")&amp;IF(X27="Y","Hidden from customers. ","")&amp;IF(Options!O27="Y","Promoted. ","")&amp;IF(Options!I27="Y","Range job. ","")&amp;IF(D27="End of life","End of life. ","")&amp;IF(H27&gt;0,"Order due in "&amp;Options!N27&amp;" weeks. ","")&amp;IF(AW27="Y","Held for "&amp;Options!T27&amp;", starts in "&amp;Options!U27&amp;" weeks. ","")&amp;IF(AX27&gt;0,"Covering for "&amp;AX27&amp;" sold-out line(s). ","")))</f>
        <v>Order due in 1 weeks.</v>
      </c>
      <c r="AE27" s="9" t="str">
        <f aca="false">IF(A27="","",IF(AW27="Y",IF(AND(N(Options!V27)&gt;0,G27+H27&gt;N(Options!V27)*1.1),Settings!$A$48,Settings!$A$47),IF(X27="Y",Settings!$A$27,IF(AND(W27="Y",D27&lt;&gt;"End of life",AA27="High"),IF(H27&gt;0,Settings!$A$28,Settings!$A$29),IF(AND(W27="Y",D27="End of life"),Settings!$A$30,IF(AC27="Selling and short",IF(D27="End of life",Settings!$A$31,IF(Options!O27="Y",Settings!$A$32,IF(AX27&gt;0,Settings!$A$33,IF(H27&gt;0,IF(N(Options!N27)&lt;=S27,Settings!$A$34,Settings!$A$35),IF(AND(D27&lt;&gt;"Core",T27&gt;=Settings!$B$9),Settings!$A$36,Settings!$A$37))))),IF(AC27="Selling, heavy",IF(D27="Core",Settings!$A$38,Settings!$A$39),IF(AC27="Selling, covered",Settings!$A$40,IF(AC27="Slow and heavy",IF(Options!I27="Y",Settings!$A$41,IF(D27="End of life",Settings!$A$42,Settings!$A$43)),IF(AC27="Slow and short",IF(W27="Y",Settings!$A$44,Settings!$A$45),Settings!$A$46))))))))))</f>
        <v>Hold: the purchase order lands in time</v>
      </c>
      <c r="AF27" s="9" t="str">
        <f aca="false">IF(A27="","",IFERROR(VLOOKUP(AM27,Settings!$A$27:$B$48,2,0),"Assign an owner"))</f>
        <v>Merchandiser</v>
      </c>
      <c r="AG27" s="14" t="n">
        <f aca="false">SUMIFS('SKU Data'!$V$6:$V$505,'SKU Data'!$B$6:$B$505,$A27)</f>
        <v>807.5</v>
      </c>
      <c r="AH27" s="12" t="n">
        <f aca="false">IF(A27="",0,IF(AW27="Y",IF(N(Options!V27)&gt;0,MAX(0,G27+H27-N(Options!V27)),0),MAX(0,G27+H27-N27*IF(D27="Core",Settings!$B$19,Settings!$B$9))))</f>
        <v>221.08</v>
      </c>
      <c r="AI27" s="14" t="n">
        <f aca="false">IF(OR(A27="",D27="Core"),0,AH27*N(Options!J27)*Settings!$B$21)</f>
        <v>7516.72</v>
      </c>
      <c r="AJ27" s="14" t="n">
        <f aca="false">AH27*N(Options!K27)</f>
        <v>7140.884</v>
      </c>
      <c r="AK27" s="27" t="n">
        <f aca="false">AZ27*(1-AY27)</f>
        <v>0</v>
      </c>
      <c r="AL27" s="27" t="n">
        <f aca="false">AI27+AK27</f>
        <v>7516.72</v>
      </c>
      <c r="AM27" s="9" t="str">
        <f aca="false">IF(A27="","",IF(Options!W27&lt;&gt;"",Options!W27,AE27))</f>
        <v>Hold: the purchase order lands in time</v>
      </c>
      <c r="AN27" s="28" t="n">
        <f aca="false">IF(A27="","",COUNTIF($AR$6:$AR$85,"&gt;"&amp;AR27)+1)</f>
        <v>16</v>
      </c>
      <c r="AO27" s="9" t="str">
        <f aca="false">IF(A27="","",Options!D27)</f>
        <v>Crew necks</v>
      </c>
      <c r="AP27" s="9" t="str">
        <f aca="false">IF(A27="","",Options!F27)</f>
        <v>Own brand</v>
      </c>
      <c r="AQ27" s="9" t="n">
        <f aca="false">IF(AND(A27&lt;&gt;"",AW27&lt;&gt;"Y",M27&gt;0,COUNTIF($M$6:$M$85,"&gt;"&amp;M27)&lt;Settings!$B$22),1,0)</f>
        <v>0</v>
      </c>
      <c r="AR27" s="28" t="n">
        <f aca="false">IF(A27="",-1,AL27+ROW()/1000000000)</f>
        <v>7516.720000027</v>
      </c>
      <c r="AS27" s="28" t="n">
        <f aca="false">IF(A27="",-1,AK27+ROW()/1000000000)</f>
        <v>2.7E-008</v>
      </c>
      <c r="AT27" s="28" t="n">
        <f aca="false">IF(A27="",-1,AI27+ROW()/1000000000)</f>
        <v>7516.720000027</v>
      </c>
      <c r="AU27" s="25" t="n">
        <f aca="false">SUMIFS('SKU Data'!$W$6:$W$505,'SKU Data'!$B$6:$B$505,$A27)</f>
        <v>12</v>
      </c>
      <c r="AV27" s="28" t="n">
        <f aca="false">IF(A27="","",COUNTIFS($C$6:$C$85,C27,$M$6:$M$85,"&gt;"&amp;M27)+1)</f>
        <v>11</v>
      </c>
      <c r="AW27" s="9" t="str">
        <f aca="false">IF(A27="","",IF(AND(Options!T27&lt;&gt;"",N(Options!U27)&gt;0),"Y",""))</f>
        <v/>
      </c>
      <c r="AX27" s="9" t="n">
        <f aca="false">IF(A27="",0,COUNTIFS(Options!$R$6:$R$85,$A27,$V$6:$V$85,"&gt;0"))</f>
        <v>0</v>
      </c>
      <c r="AY27" s="13" t="n">
        <f aca="false">IF(Options!S27&lt;&gt;"",Options!S27,Settings!$B$23)</f>
        <v>0.3</v>
      </c>
      <c r="AZ27" s="14" t="n">
        <f aca="false">SUMIFS('SKU Data'!$U$6:$U$505,'SKU Data'!$B$6:$B$505,$A27)</f>
        <v>0</v>
      </c>
    </row>
    <row r="28" customFormat="false" ht="15" hidden="false" customHeight="false" outlineLevel="0" collapsed="false">
      <c r="A28" s="9" t="str">
        <f aca="false">IF(Options!A28="","",Options!A28)</f>
        <v>OPT023</v>
      </c>
      <c r="B28" s="9" t="str">
        <f aca="false">IF(A28="","",Options!B28&amp;" "&amp;Options!C28)</f>
        <v>Shawl cardigan Mustard</v>
      </c>
      <c r="C28" s="9" t="str">
        <f aca="false">IF(A28="","",Options!E28)</f>
        <v>Knitwear</v>
      </c>
      <c r="D28" s="9" t="str">
        <f aca="false">IF(A28="","",Options!H28)</f>
        <v>Core</v>
      </c>
      <c r="E28" s="12" t="n">
        <f aca="false">SUMIFS('SKU Data'!$E$6:$E$505,'SKU Data'!$B$6:$B$505,$A28)</f>
        <v>450</v>
      </c>
      <c r="F28" s="12" t="n">
        <f aca="false">SUMIFS('SKU Data'!$F$6:$F$505,'SKU Data'!$B$6:$B$505,$A28)</f>
        <v>0</v>
      </c>
      <c r="G28" s="12" t="n">
        <f aca="false">SUMIFS('SKU Data'!$G$6:$G$505,'SKU Data'!$B$6:$B$505,$A28)</f>
        <v>120</v>
      </c>
      <c r="H28" s="12" t="n">
        <f aca="false">N(Options!M28)</f>
        <v>0</v>
      </c>
      <c r="I28" s="12" t="n">
        <f aca="false">SUMIFS('SKU Data'!$H$6:$H$505,'SKU Data'!$B$6:$B$505,$A28)</f>
        <v>14</v>
      </c>
      <c r="J28" s="12" t="n">
        <f aca="false">SUMIFS('SKU Data'!$I$6:$I$505,'SKU Data'!$B$6:$B$505,$A28)</f>
        <v>13</v>
      </c>
      <c r="K28" s="12" t="n">
        <f aca="false">SUMIFS('SKU Data'!$J$6:$J$505,'SKU Data'!$B$6:$B$505,$A28)</f>
        <v>14</v>
      </c>
      <c r="L28" s="12" t="n">
        <f aca="false">SUMIFS('SKU Data'!$K$6:$K$505,'SKU Data'!$B$6:$B$505,$A28)</f>
        <v>16</v>
      </c>
      <c r="M28" s="25" t="n">
        <f aca="false">L28*Settings!$B$10+K28*Settings!$B$11+J28*Settings!$B$12+I28*Settings!$B$13</f>
        <v>14.6</v>
      </c>
      <c r="N28" s="25" t="n">
        <f aca="false">M28*Settings!$B$15</f>
        <v>13.14</v>
      </c>
      <c r="O28" s="12" t="n">
        <f aca="false">SUMIFS('SKU Data'!$L$6:$L$505,'SKU Data'!$B$6:$B$505,$A28)</f>
        <v>330</v>
      </c>
      <c r="P28" s="12" t="n">
        <f aca="false">SUMIFS('SKU Data'!$M$6:$M$505,'SKU Data'!$B$6:$B$505,$A28)</f>
        <v>291</v>
      </c>
      <c r="Q28" s="21" t="n">
        <f aca="false">IFERROR(O28/(E28-F28),0)</f>
        <v>0.733333333333333</v>
      </c>
      <c r="R28" s="21" t="n">
        <f aca="false">IFERROR(P28/(E28-F28),0)</f>
        <v>0.646666666666667</v>
      </c>
      <c r="S28" s="26" t="n">
        <f aca="false">IF(N28&lt;=0,IF(G28&gt;0,999,0),G28/N28)</f>
        <v>9.1324200913242</v>
      </c>
      <c r="T28" s="25" t="n">
        <f aca="false">IF(N(Options!L28)&gt;0,Options!L28,Settings!$B$20)</f>
        <v>6</v>
      </c>
      <c r="U28" s="9" t="n">
        <f aca="false">COUNTIFS('SKU Data'!$B$6:$B$505,$A28,'SKU Data'!$D$6:$D$505,"Y")</f>
        <v>3</v>
      </c>
      <c r="V28" s="9" t="n">
        <f aca="false">COUNTIFS('SKU Data'!$B$6:$B$505,$A28,'SKU Data'!$D$6:$D$505,"Y",'SKU Data'!$G$6:$G$505,"&lt;=0")</f>
        <v>0</v>
      </c>
      <c r="W28" s="28" t="str">
        <f aca="false">IF(A28="","",IF(AND(V28&gt;0,G28&gt;0),"Y",""))</f>
        <v/>
      </c>
      <c r="X28" s="9" t="str">
        <f aca="false">IF(A28="","",IF(AND(G28&gt;0,OR(Options!P28="N",Options!Q28="N")),"Y",""))</f>
        <v/>
      </c>
      <c r="Y28" s="9" t="n">
        <f aca="false">IF(AND(A28&lt;&gt;"",U28&gt;0,V28=0,G28&gt;0,Options!P28&lt;&gt;"N",Options!Q28&lt;&gt;"N"),1,0)</f>
        <v>1</v>
      </c>
      <c r="Z28" s="29" t="n">
        <f aca="false">IFERROR((K28+L28)/(I28+J28)-1,0)</f>
        <v>0.111111111111111</v>
      </c>
      <c r="AA28" s="9" t="str">
        <f aca="false">IF(A28="","",IF(Q28&gt;=Settings!$B$17,"High","Low"))</f>
        <v>High</v>
      </c>
      <c r="AB28" s="9" t="str">
        <f aca="false">IF(A28="","",IF(S28&lt;IF(D28="End of life",Settings!$B$9,IF(D28="Core",T28,MIN(T28,Settings!$B$9))),"Low",IF(S28&gt;IF(D28="Core",Settings!$B$19,Settings!$B$9+Settings!$B$18),"High","Balanced")))</f>
        <v>Balanced</v>
      </c>
      <c r="AC28" s="28" t="str">
        <f aca="false">IF(A28="","",IF(AW28="Y","Held for a campaign",IF(AA28="High",IF(AB28="Low","Selling and short",IF(AB28="High","Selling, heavy","Selling, covered")),IF(AB28="Low","Slow and short",IF(AB28="High","Slow and heavy","Slow, covered")))))</f>
        <v>Selling, covered</v>
      </c>
      <c r="AD28" s="9" t="str">
        <f aca="false">IF(A28="","",TRIM(IF(W28="Y","Broken curve. ","")&amp;IF(X28="Y","Hidden from customers. ","")&amp;IF(Options!O28="Y","Promoted. ","")&amp;IF(Options!I28="Y","Range job. ","")&amp;IF(D28="End of life","End of life. ","")&amp;IF(H28&gt;0,"Order due in "&amp;Options!N28&amp;" weeks. ","")&amp;IF(AW28="Y","Held for "&amp;Options!T28&amp;", starts in "&amp;Options!U28&amp;" weeks. ","")&amp;IF(AX28&gt;0,"Covering for "&amp;AX28&amp;" sold-out line(s). ","")))</f>
        <v/>
      </c>
      <c r="AE28" s="9" t="str">
        <f aca="false">IF(A28="","",IF(AW28="Y",IF(AND(N(Options!V28)&gt;0,G28+H28&gt;N(Options!V28)*1.1),Settings!$A$48,Settings!$A$47),IF(X28="Y",Settings!$A$27,IF(AND(W28="Y",D28&lt;&gt;"End of life",AA28="High"),IF(H28&gt;0,Settings!$A$28,Settings!$A$29),IF(AND(W28="Y",D28="End of life"),Settings!$A$30,IF(AC28="Selling and short",IF(D28="End of life",Settings!$A$31,IF(Options!O28="Y",Settings!$A$32,IF(AX28&gt;0,Settings!$A$33,IF(H28&gt;0,IF(N(Options!N28)&lt;=S28,Settings!$A$34,Settings!$A$35),IF(AND(D28&lt;&gt;"Core",T28&gt;=Settings!$B$9),Settings!$A$36,Settings!$A$37))))),IF(AC28="Selling, heavy",IF(D28="Core",Settings!$A$38,Settings!$A$39),IF(AC28="Selling, covered",Settings!$A$40,IF(AC28="Slow and heavy",IF(Options!I28="Y",Settings!$A$41,IF(D28="End of life",Settings!$A$42,Settings!$A$43)),IF(AC28="Slow and short",IF(W28="Y",Settings!$A$44,Settings!$A$45),Settings!$A$46))))))))))</f>
        <v>Hold</v>
      </c>
      <c r="AF28" s="9" t="str">
        <f aca="false">IF(A28="","",IFERROR(VLOOKUP(AM28,Settings!$A$27:$B$48,2,0),"Assign an owner"))</f>
        <v>Merchandiser</v>
      </c>
      <c r="AG28" s="14" t="n">
        <f aca="false">SUMIFS('SKU Data'!$V$6:$V$505,'SKU Data'!$B$6:$B$505,$A28)</f>
        <v>3192</v>
      </c>
      <c r="AH28" s="12" t="n">
        <f aca="false">IF(A28="",0,IF(AW28="Y",IF(N(Options!V28)&gt;0,MAX(0,G28+H28-N(Options!V28)),0),MAX(0,G28+H28-N28*IF(D28="Core",Settings!$B$19,Settings!$B$9))))</f>
        <v>0</v>
      </c>
      <c r="AI28" s="14" t="n">
        <f aca="false">IF(OR(A28="",D28="Core"),0,AH28*N(Options!J28)*Settings!$B$21)</f>
        <v>0</v>
      </c>
      <c r="AJ28" s="14" t="n">
        <f aca="false">AH28*N(Options!K28)</f>
        <v>0</v>
      </c>
      <c r="AK28" s="27" t="n">
        <f aca="false">AZ28*(1-AY28)</f>
        <v>0</v>
      </c>
      <c r="AL28" s="27" t="n">
        <f aca="false">AI28+AK28</f>
        <v>0</v>
      </c>
      <c r="AM28" s="9" t="str">
        <f aca="false">IF(A28="","",IF(Options!W28&lt;&gt;"",Options!W28,AE28))</f>
        <v>Hold</v>
      </c>
      <c r="AN28" s="28" t="n">
        <f aca="false">IF(A28="","",COUNTIF($AR$6:$AR$85,"&gt;"&amp;AR28)+1)</f>
        <v>57</v>
      </c>
      <c r="AO28" s="9" t="str">
        <f aca="false">IF(A28="","",Options!D28)</f>
        <v>Cardigans</v>
      </c>
      <c r="AP28" s="9" t="str">
        <f aca="false">IF(A28="","",Options!F28)</f>
        <v>Own brand</v>
      </c>
      <c r="AQ28" s="9" t="n">
        <f aca="false">IF(AND(A28&lt;&gt;"",AW28&lt;&gt;"Y",M28&gt;0,COUNTIF($M$6:$M$85,"&gt;"&amp;M28)&lt;Settings!$B$22),1,0)</f>
        <v>1</v>
      </c>
      <c r="AR28" s="28" t="n">
        <f aca="false">IF(A28="",-1,AL28+ROW()/1000000000)</f>
        <v>2.8E-008</v>
      </c>
      <c r="AS28" s="28" t="n">
        <f aca="false">IF(A28="",-1,AK28+ROW()/1000000000)</f>
        <v>2.8E-008</v>
      </c>
      <c r="AT28" s="28" t="n">
        <f aca="false">IF(A28="",-1,AI28+ROW()/1000000000)</f>
        <v>2.8E-008</v>
      </c>
      <c r="AU28" s="25" t="n">
        <f aca="false">SUMIFS('SKU Data'!$W$6:$W$505,'SKU Data'!$B$6:$B$505,$A28)</f>
        <v>14.25</v>
      </c>
      <c r="AV28" s="28" t="n">
        <f aca="false">IF(A28="","",COUNTIFS($C$6:$C$85,C28,$M$6:$M$85,"&gt;"&amp;M28)+1)</f>
        <v>9</v>
      </c>
      <c r="AW28" s="9" t="str">
        <f aca="false">IF(A28="","",IF(AND(Options!T28&lt;&gt;"",N(Options!U28)&gt;0),"Y",""))</f>
        <v/>
      </c>
      <c r="AX28" s="9" t="n">
        <f aca="false">IF(A28="",0,COUNTIFS(Options!$R$6:$R$85,$A28,$V$6:$V$85,"&gt;0"))</f>
        <v>0</v>
      </c>
      <c r="AY28" s="13" t="n">
        <f aca="false">IF(Options!S28&lt;&gt;"",Options!S28,Settings!$B$23)</f>
        <v>0.3</v>
      </c>
      <c r="AZ28" s="14" t="n">
        <f aca="false">SUMIFS('SKU Data'!$U$6:$U$505,'SKU Data'!$B$6:$B$505,$A28)</f>
        <v>0</v>
      </c>
    </row>
    <row r="29" customFormat="false" ht="15" hidden="false" customHeight="false" outlineLevel="0" collapsed="false">
      <c r="A29" s="9" t="str">
        <f aca="false">IF(Options!A29="","",Options!A29)</f>
        <v>OPT024</v>
      </c>
      <c r="B29" s="9" t="str">
        <f aca="false">IF(A29="","",Options!B29&amp;" "&amp;Options!C29)</f>
        <v>Cable crew Pink</v>
      </c>
      <c r="C29" s="9" t="str">
        <f aca="false">IF(A29="","",Options!E29)</f>
        <v>Knitwear</v>
      </c>
      <c r="D29" s="9" t="str">
        <f aca="false">IF(A29="","",Options!H29)</f>
        <v>Seasonal</v>
      </c>
      <c r="E29" s="12" t="n">
        <f aca="false">SUMIFS('SKU Data'!$E$6:$E$505,'SKU Data'!$B$6:$B$505,$A29)</f>
        <v>455</v>
      </c>
      <c r="F29" s="12" t="n">
        <f aca="false">SUMIFS('SKU Data'!$F$6:$F$505,'SKU Data'!$B$6:$B$505,$A29)</f>
        <v>0</v>
      </c>
      <c r="G29" s="12" t="n">
        <f aca="false">SUMIFS('SKU Data'!$G$6:$G$505,'SKU Data'!$B$6:$B$505,$A29)</f>
        <v>132</v>
      </c>
      <c r="H29" s="12" t="n">
        <f aca="false">N(Options!M29)</f>
        <v>0</v>
      </c>
      <c r="I29" s="12" t="n">
        <f aca="false">SUMIFS('SKU Data'!$H$6:$H$505,'SKU Data'!$B$6:$B$505,$A29)</f>
        <v>12</v>
      </c>
      <c r="J29" s="12" t="n">
        <f aca="false">SUMIFS('SKU Data'!$I$6:$I$505,'SKU Data'!$B$6:$B$505,$A29)</f>
        <v>15</v>
      </c>
      <c r="K29" s="12" t="n">
        <f aca="false">SUMIFS('SKU Data'!$J$6:$J$505,'SKU Data'!$B$6:$B$505,$A29)</f>
        <v>14</v>
      </c>
      <c r="L29" s="12" t="n">
        <f aca="false">SUMIFS('SKU Data'!$K$6:$K$505,'SKU Data'!$B$6:$B$505,$A29)</f>
        <v>16</v>
      </c>
      <c r="M29" s="25" t="n">
        <f aca="false">L29*Settings!$B$10+K29*Settings!$B$11+J29*Settings!$B$12+I29*Settings!$B$13</f>
        <v>14.8</v>
      </c>
      <c r="N29" s="25" t="n">
        <f aca="false">M29*Settings!$B$15</f>
        <v>13.32</v>
      </c>
      <c r="O29" s="12" t="n">
        <f aca="false">SUMIFS('SKU Data'!$L$6:$L$505,'SKU Data'!$B$6:$B$505,$A29)</f>
        <v>323</v>
      </c>
      <c r="P29" s="12" t="n">
        <f aca="false">SUMIFS('SKU Data'!$M$6:$M$505,'SKU Data'!$B$6:$B$505,$A29)</f>
        <v>284</v>
      </c>
      <c r="Q29" s="21" t="n">
        <f aca="false">IFERROR(O29/(E29-F29),0)</f>
        <v>0.70989010989011</v>
      </c>
      <c r="R29" s="21" t="n">
        <f aca="false">IFERROR(P29/(E29-F29),0)</f>
        <v>0.624175824175824</v>
      </c>
      <c r="S29" s="26" t="n">
        <f aca="false">IF(N29&lt;=0,IF(G29&gt;0,999,0),G29/N29)</f>
        <v>9.90990990990991</v>
      </c>
      <c r="T29" s="25" t="n">
        <f aca="false">IF(N(Options!L29)&gt;0,Options!L29,Settings!$B$20)</f>
        <v>10</v>
      </c>
      <c r="U29" s="9" t="n">
        <f aca="false">COUNTIFS('SKU Data'!$B$6:$B$505,$A29,'SKU Data'!$D$6:$D$505,"Y")</f>
        <v>3</v>
      </c>
      <c r="V29" s="9" t="n">
        <f aca="false">COUNTIFS('SKU Data'!$B$6:$B$505,$A29,'SKU Data'!$D$6:$D$505,"Y",'SKU Data'!$G$6:$G$505,"&lt;=0")</f>
        <v>0</v>
      </c>
      <c r="W29" s="28" t="str">
        <f aca="false">IF(A29="","",IF(AND(V29&gt;0,G29&gt;0),"Y",""))</f>
        <v/>
      </c>
      <c r="X29" s="9" t="str">
        <f aca="false">IF(A29="","",IF(AND(G29&gt;0,OR(Options!P29="N",Options!Q29="N")),"Y",""))</f>
        <v/>
      </c>
      <c r="Y29" s="9" t="n">
        <f aca="false">IF(AND(A29&lt;&gt;"",U29&gt;0,V29=0,G29&gt;0,Options!P29&lt;&gt;"N",Options!Q29&lt;&gt;"N"),1,0)</f>
        <v>1</v>
      </c>
      <c r="Z29" s="29" t="n">
        <f aca="false">IFERROR((K29+L29)/(I29+J29)-1,0)</f>
        <v>0.111111111111111</v>
      </c>
      <c r="AA29" s="9" t="str">
        <f aca="false">IF(A29="","",IF(Q29&gt;=Settings!$B$17,"High","Low"))</f>
        <v>Low</v>
      </c>
      <c r="AB29" s="9" t="str">
        <f aca="false">IF(A29="","",IF(S29&lt;IF(D29="End of life",Settings!$B$9,IF(D29="Core",T29,MIN(T29,Settings!$B$9))),"Low",IF(S29&gt;IF(D29="Core",Settings!$B$19,Settings!$B$9+Settings!$B$18),"High","Balanced")))</f>
        <v>High</v>
      </c>
      <c r="AC29" s="28" t="str">
        <f aca="false">IF(A29="","",IF(AW29="Y","Held for a campaign",IF(AA29="High",IF(AB29="Low","Selling and short",IF(AB29="High","Selling, heavy","Selling, covered")),IF(AB29="Low","Slow and short",IF(AB29="High","Slow and heavy","Slow, covered")))))</f>
        <v>Slow and heavy</v>
      </c>
      <c r="AD29" s="9" t="str">
        <f aca="false">IF(A29="","",TRIM(IF(W29="Y","Broken curve. ","")&amp;IF(X29="Y","Hidden from customers. ","")&amp;IF(Options!O29="Y","Promoted. ","")&amp;IF(Options!I29="Y","Range job. ","")&amp;IF(D29="End of life","End of life. ","")&amp;IF(H29&gt;0,"Order due in "&amp;Options!N29&amp;" weeks. ","")&amp;IF(AW29="Y","Held for "&amp;Options!T29&amp;", starts in "&amp;Options!U29&amp;" weeks. ","")&amp;IF(AX29&gt;0,"Covering for "&amp;AX29&amp;" sold-out line(s). ","")))</f>
        <v/>
      </c>
      <c r="AE29" s="9" t="str">
        <f aca="false">IF(A29="","",IF(AW29="Y",IF(AND(N(Options!V29)&gt;0,G29+H29&gt;N(Options!V29)*1.1),Settings!$A$48,Settings!$A$47),IF(X29="Y",Settings!$A$27,IF(AND(W29="Y",D29&lt;&gt;"End of life",AA29="High"),IF(H29&gt;0,Settings!$A$28,Settings!$A$29),IF(AND(W29="Y",D29="End of life"),Settings!$A$30,IF(AC29="Selling and short",IF(D29="End of life",Settings!$A$31,IF(Options!O29="Y",Settings!$A$32,IF(AX29&gt;0,Settings!$A$33,IF(H29&gt;0,IF(N(Options!N29)&lt;=S29,Settings!$A$34,Settings!$A$35),IF(AND(D29&lt;&gt;"Core",T29&gt;=Settings!$B$9),Settings!$A$36,Settings!$A$37))))),IF(AC29="Selling, heavy",IF(D29="Core",Settings!$A$38,Settings!$A$39),IF(AC29="Selling, covered",Settings!$A$40,IF(AC29="Slow and heavy",IF(Options!I29="Y",Settings!$A$41,IF(D29="End of life",Settings!$A$42,Settings!$A$43)),IF(AC29="Slow and short",IF(W29="Y",Settings!$A$44,Settings!$A$45),Settings!$A$46))))))))))</f>
        <v>Mark down or re-merchandise</v>
      </c>
      <c r="AF29" s="9" t="str">
        <f aca="false">IF(A29="","",IFERROR(VLOOKUP(AM29,Settings!$A$27:$B$48,2,0),"Assign an owner"))</f>
        <v>Trading Manager</v>
      </c>
      <c r="AG29" s="14" t="n">
        <f aca="false">SUMIFS('SKU Data'!$V$6:$V$505,'SKU Data'!$B$6:$B$505,$A29)</f>
        <v>4263.6</v>
      </c>
      <c r="AH29" s="12" t="n">
        <f aca="false">IF(A29="",0,IF(AW29="Y",IF(N(Options!V29)&gt;0,MAX(0,G29+H29-N(Options!V29)),0),MAX(0,G29+H29-N29*IF(D29="Core",Settings!$B$19,Settings!$B$9))))</f>
        <v>78.72</v>
      </c>
      <c r="AI29" s="14" t="n">
        <f aca="false">IF(OR(A29="",D29="Core"),0,AH29*N(Options!J29)*Settings!$B$21)</f>
        <v>2676.48</v>
      </c>
      <c r="AJ29" s="14" t="n">
        <f aca="false">AH29*N(Options!K29)</f>
        <v>2542.656</v>
      </c>
      <c r="AK29" s="27" t="n">
        <f aca="false">AZ29*(1-AY29)</f>
        <v>0</v>
      </c>
      <c r="AL29" s="27" t="n">
        <f aca="false">AI29+AK29</f>
        <v>2676.48</v>
      </c>
      <c r="AM29" s="9" t="str">
        <f aca="false">IF(A29="","",IF(Options!W29&lt;&gt;"",Options!W29,AE29))</f>
        <v>Mark down or re-merchandise</v>
      </c>
      <c r="AN29" s="28" t="n">
        <f aca="false">IF(A29="","",COUNTIF($AR$6:$AR$85,"&gt;"&amp;AR29)+1)</f>
        <v>33</v>
      </c>
      <c r="AO29" s="9" t="str">
        <f aca="false">IF(A29="","",Options!D29)</f>
        <v>Crew necks</v>
      </c>
      <c r="AP29" s="9" t="str">
        <f aca="false">IF(A29="","",Options!F29)</f>
        <v>Own brand</v>
      </c>
      <c r="AQ29" s="9" t="n">
        <f aca="false">IF(AND(A29&lt;&gt;"",AW29&lt;&gt;"Y",M29&gt;0,COUNTIF($M$6:$M$85,"&gt;"&amp;M29)&lt;Settings!$B$22),1,0)</f>
        <v>1</v>
      </c>
      <c r="AR29" s="28" t="n">
        <f aca="false">IF(A29="",-1,AL29+ROW()/1000000000)</f>
        <v>2676.480000029</v>
      </c>
      <c r="AS29" s="28" t="n">
        <f aca="false">IF(A29="",-1,AK29+ROW()/1000000000)</f>
        <v>2.9E-008</v>
      </c>
      <c r="AT29" s="28" t="n">
        <f aca="false">IF(A29="",-1,AI29+ROW()/1000000000)</f>
        <v>2676.480000029</v>
      </c>
      <c r="AU29" s="25" t="n">
        <f aca="false">SUMIFS('SKU Data'!$W$6:$W$505,'SKU Data'!$B$6:$B$505,$A29)</f>
        <v>14.25</v>
      </c>
      <c r="AV29" s="28" t="n">
        <f aca="false">IF(A29="","",COUNTIFS($C$6:$C$85,C29,$M$6:$M$85,"&gt;"&amp;M29)+1)</f>
        <v>8</v>
      </c>
      <c r="AW29" s="9" t="str">
        <f aca="false">IF(A29="","",IF(AND(Options!T29&lt;&gt;"",N(Options!U29)&gt;0),"Y",""))</f>
        <v/>
      </c>
      <c r="AX29" s="9" t="n">
        <f aca="false">IF(A29="",0,COUNTIFS(Options!$R$6:$R$85,$A29,$V$6:$V$85,"&gt;0"))</f>
        <v>0</v>
      </c>
      <c r="AY29" s="13" t="n">
        <f aca="false">IF(Options!S29&lt;&gt;"",Options!S29,Settings!$B$23)</f>
        <v>0.3</v>
      </c>
      <c r="AZ29" s="14" t="n">
        <f aca="false">SUMIFS('SKU Data'!$U$6:$U$505,'SKU Data'!$B$6:$B$505,$A29)</f>
        <v>0</v>
      </c>
    </row>
    <row r="30" customFormat="false" ht="15" hidden="false" customHeight="false" outlineLevel="0" collapsed="false">
      <c r="A30" s="9" t="str">
        <f aca="false">IF(Options!A30="","",Options!A30)</f>
        <v>OPT025</v>
      </c>
      <c r="B30" s="9" t="str">
        <f aca="false">IF(A30="","",Options!B30&amp;" "&amp;Options!C30)</f>
        <v>Button cardigan Cobalt</v>
      </c>
      <c r="C30" s="9" t="str">
        <f aca="false">IF(A30="","",Options!E30)</f>
        <v>Knitwear</v>
      </c>
      <c r="D30" s="9" t="str">
        <f aca="false">IF(A30="","",Options!H30)</f>
        <v>Seasonal</v>
      </c>
      <c r="E30" s="12" t="n">
        <f aca="false">SUMIFS('SKU Data'!$E$6:$E$505,'SKU Data'!$B$6:$B$505,$A30)</f>
        <v>782</v>
      </c>
      <c r="F30" s="12" t="n">
        <f aca="false">SUMIFS('SKU Data'!$F$6:$F$505,'SKU Data'!$B$6:$B$505,$A30)</f>
        <v>0</v>
      </c>
      <c r="G30" s="12" t="n">
        <f aca="false">SUMIFS('SKU Data'!$G$6:$G$505,'SKU Data'!$B$6:$B$505,$A30)</f>
        <v>265</v>
      </c>
      <c r="H30" s="12" t="n">
        <f aca="false">N(Options!M30)</f>
        <v>0</v>
      </c>
      <c r="I30" s="12" t="n">
        <f aca="false">SUMIFS('SKU Data'!$H$6:$H$505,'SKU Data'!$B$6:$B$505,$A30)</f>
        <v>23</v>
      </c>
      <c r="J30" s="12" t="n">
        <f aca="false">SUMIFS('SKU Data'!$I$6:$I$505,'SKU Data'!$B$6:$B$505,$A30)</f>
        <v>22</v>
      </c>
      <c r="K30" s="12" t="n">
        <f aca="false">SUMIFS('SKU Data'!$J$6:$J$505,'SKU Data'!$B$6:$B$505,$A30)</f>
        <v>24</v>
      </c>
      <c r="L30" s="12" t="n">
        <f aca="false">SUMIFS('SKU Data'!$K$6:$K$505,'SKU Data'!$B$6:$B$505,$A30)</f>
        <v>31</v>
      </c>
      <c r="M30" s="25" t="n">
        <f aca="false">L30*Settings!$B$10+K30*Settings!$B$11+J30*Settings!$B$12+I30*Settings!$B$13</f>
        <v>26.3</v>
      </c>
      <c r="N30" s="25" t="n">
        <f aca="false">M30*Settings!$B$15</f>
        <v>23.67</v>
      </c>
      <c r="O30" s="12" t="n">
        <f aca="false">SUMIFS('SKU Data'!$L$6:$L$505,'SKU Data'!$B$6:$B$505,$A30)</f>
        <v>517</v>
      </c>
      <c r="P30" s="12" t="n">
        <f aca="false">SUMIFS('SKU Data'!$M$6:$M$505,'SKU Data'!$B$6:$B$505,$A30)</f>
        <v>455</v>
      </c>
      <c r="Q30" s="21" t="n">
        <f aca="false">IFERROR(O30/(E30-F30),0)</f>
        <v>0.661125319693095</v>
      </c>
      <c r="R30" s="21" t="n">
        <f aca="false">IFERROR(P30/(E30-F30),0)</f>
        <v>0.581841432225064</v>
      </c>
      <c r="S30" s="26" t="n">
        <f aca="false">IF(N30&lt;=0,IF(G30&gt;0,999,0),G30/N30)</f>
        <v>11.1956062526405</v>
      </c>
      <c r="T30" s="25" t="n">
        <f aca="false">IF(N(Options!L30)&gt;0,Options!L30,Settings!$B$20)</f>
        <v>8</v>
      </c>
      <c r="U30" s="9" t="n">
        <f aca="false">COUNTIFS('SKU Data'!$B$6:$B$505,$A30,'SKU Data'!$D$6:$D$505,"Y")</f>
        <v>3</v>
      </c>
      <c r="V30" s="9" t="n">
        <f aca="false">COUNTIFS('SKU Data'!$B$6:$B$505,$A30,'SKU Data'!$D$6:$D$505,"Y",'SKU Data'!$G$6:$G$505,"&lt;=0")</f>
        <v>0</v>
      </c>
      <c r="W30" s="28" t="str">
        <f aca="false">IF(A30="","",IF(AND(V30&gt;0,G30&gt;0),"Y",""))</f>
        <v/>
      </c>
      <c r="X30" s="9" t="str">
        <f aca="false">IF(A30="","",IF(AND(G30&gt;0,OR(Options!P30="N",Options!Q30="N")),"Y",""))</f>
        <v/>
      </c>
      <c r="Y30" s="9" t="n">
        <f aca="false">IF(AND(A30&lt;&gt;"",U30&gt;0,V30=0,G30&gt;0,Options!P30&lt;&gt;"N",Options!Q30&lt;&gt;"N"),1,0)</f>
        <v>1</v>
      </c>
      <c r="Z30" s="29" t="n">
        <f aca="false">IFERROR((K30+L30)/(I30+J30)-1,0)</f>
        <v>0.222222222222222</v>
      </c>
      <c r="AA30" s="9" t="str">
        <f aca="false">IF(A30="","",IF(Q30&gt;=Settings!$B$17,"High","Low"))</f>
        <v>Low</v>
      </c>
      <c r="AB30" s="9" t="str">
        <f aca="false">IF(A30="","",IF(S30&lt;IF(D30="End of life",Settings!$B$9,IF(D30="Core",T30,MIN(T30,Settings!$B$9))),"Low",IF(S30&gt;IF(D30="Core",Settings!$B$19,Settings!$B$9+Settings!$B$18),"High","Balanced")))</f>
        <v>High</v>
      </c>
      <c r="AC30" s="28" t="str">
        <f aca="false">IF(A30="","",IF(AW30="Y","Held for a campaign",IF(AA30="High",IF(AB30="Low","Selling and short",IF(AB30="High","Selling, heavy","Selling, covered")),IF(AB30="Low","Slow and short",IF(AB30="High","Slow and heavy","Slow, covered")))))</f>
        <v>Slow and heavy</v>
      </c>
      <c r="AD30" s="9" t="str">
        <f aca="false">IF(A30="","",TRIM(IF(W30="Y","Broken curve. ","")&amp;IF(X30="Y","Hidden from customers. ","")&amp;IF(Options!O30="Y","Promoted. ","")&amp;IF(Options!I30="Y","Range job. ","")&amp;IF(D30="End of life","End of life. ","")&amp;IF(H30&gt;0,"Order due in "&amp;Options!N30&amp;" weeks. ","")&amp;IF(AW30="Y","Held for "&amp;Options!T30&amp;", starts in "&amp;Options!U30&amp;" weeks. ","")&amp;IF(AX30&gt;0,"Covering for "&amp;AX30&amp;" sold-out line(s). ","")))</f>
        <v/>
      </c>
      <c r="AE30" s="9" t="str">
        <f aca="false">IF(A30="","",IF(AW30="Y",IF(AND(N(Options!V30)&gt;0,G30+H30&gt;N(Options!V30)*1.1),Settings!$A$48,Settings!$A$47),IF(X30="Y",Settings!$A$27,IF(AND(W30="Y",D30&lt;&gt;"End of life",AA30="High"),IF(H30&gt;0,Settings!$A$28,Settings!$A$29),IF(AND(W30="Y",D30="End of life"),Settings!$A$30,IF(AC30="Selling and short",IF(D30="End of life",Settings!$A$31,IF(Options!O30="Y",Settings!$A$32,IF(AX30&gt;0,Settings!$A$33,IF(H30&gt;0,IF(N(Options!N30)&lt;=S30,Settings!$A$34,Settings!$A$35),IF(AND(D30&lt;&gt;"Core",T30&gt;=Settings!$B$9),Settings!$A$36,Settings!$A$37))))),IF(AC30="Selling, heavy",IF(D30="Core",Settings!$A$38,Settings!$A$39),IF(AC30="Selling, covered",Settings!$A$40,IF(AC30="Slow and heavy",IF(Options!I30="Y",Settings!$A$41,IF(D30="End of life",Settings!$A$42,Settings!$A$43)),IF(AC30="Slow and short",IF(W30="Y",Settings!$A$44,Settings!$A$45),Settings!$A$46))))))))))</f>
        <v>Mark down or re-merchandise</v>
      </c>
      <c r="AF30" s="9" t="str">
        <f aca="false">IF(A30="","",IFERROR(VLOOKUP(AM30,Settings!$A$27:$B$48,2,0),"Assign an owner"))</f>
        <v>Trading Manager</v>
      </c>
      <c r="AG30" s="14" t="n">
        <f aca="false">SUMIFS('SKU Data'!$V$6:$V$505,'SKU Data'!$B$6:$B$505,$A30)</f>
        <v>7049</v>
      </c>
      <c r="AH30" s="12" t="n">
        <f aca="false">IF(A30="",0,IF(AW30="Y",IF(N(Options!V30)&gt;0,MAX(0,G30+H30-N(Options!V30)),0),MAX(0,G30+H30-N30*IF(D30="Core",Settings!$B$19,Settings!$B$9))))</f>
        <v>170.32</v>
      </c>
      <c r="AI30" s="14" t="n">
        <f aca="false">IF(OR(A30="",D30="Core"),0,AH30*N(Options!J30)*Settings!$B$21)</f>
        <v>4768.96</v>
      </c>
      <c r="AJ30" s="14" t="n">
        <f aca="false">AH30*N(Options!K30)</f>
        <v>4530.512</v>
      </c>
      <c r="AK30" s="27" t="n">
        <f aca="false">AZ30*(1-AY30)</f>
        <v>0</v>
      </c>
      <c r="AL30" s="27" t="n">
        <f aca="false">AI30+AK30</f>
        <v>4768.96</v>
      </c>
      <c r="AM30" s="9" t="str">
        <f aca="false">IF(A30="","",IF(Options!W30&lt;&gt;"",Options!W30,AE30))</f>
        <v>Mark down or re-merchandise</v>
      </c>
      <c r="AN30" s="28" t="n">
        <f aca="false">IF(A30="","",COUNTIF($AR$6:$AR$85,"&gt;"&amp;AR30)+1)</f>
        <v>23</v>
      </c>
      <c r="AO30" s="9" t="str">
        <f aca="false">IF(A30="","",Options!D30)</f>
        <v>Cardigans</v>
      </c>
      <c r="AP30" s="9" t="str">
        <f aca="false">IF(A30="","",Options!F30)</f>
        <v>Partner brand</v>
      </c>
      <c r="AQ30" s="9" t="n">
        <f aca="false">IF(AND(A30&lt;&gt;"",AW30&lt;&gt;"Y",M30&gt;0,COUNTIF($M$6:$M$85,"&gt;"&amp;M30)&lt;Settings!$B$22),1,0)</f>
        <v>1</v>
      </c>
      <c r="AR30" s="28" t="n">
        <f aca="false">IF(A30="",-1,AL30+ROW()/1000000000)</f>
        <v>4768.96000003</v>
      </c>
      <c r="AS30" s="28" t="n">
        <f aca="false">IF(A30="",-1,AK30+ROW()/1000000000)</f>
        <v>3E-008</v>
      </c>
      <c r="AT30" s="28" t="n">
        <f aca="false">IF(A30="",-1,AI30+ROW()/1000000000)</f>
        <v>4768.96000003</v>
      </c>
      <c r="AU30" s="25" t="n">
        <f aca="false">SUMIFS('SKU Data'!$W$6:$W$505,'SKU Data'!$B$6:$B$505,$A30)</f>
        <v>25</v>
      </c>
      <c r="AV30" s="28" t="n">
        <f aca="false">IF(A30="","",COUNTIFS($C$6:$C$85,C30,$M$6:$M$85,"&gt;"&amp;M30)+1)</f>
        <v>3</v>
      </c>
      <c r="AW30" s="9" t="str">
        <f aca="false">IF(A30="","",IF(AND(Options!T30&lt;&gt;"",N(Options!U30)&gt;0),"Y",""))</f>
        <v/>
      </c>
      <c r="AX30" s="9" t="n">
        <f aca="false">IF(A30="",0,COUNTIFS(Options!$R$6:$R$85,$A30,$V$6:$V$85,"&gt;0"))</f>
        <v>0</v>
      </c>
      <c r="AY30" s="13" t="n">
        <f aca="false">IF(Options!S30&lt;&gt;"",Options!S30,Settings!$B$23)</f>
        <v>0.3</v>
      </c>
      <c r="AZ30" s="14" t="n">
        <f aca="false">SUMIFS('SKU Data'!$U$6:$U$505,'SKU Data'!$B$6:$B$505,$A30)</f>
        <v>0</v>
      </c>
    </row>
    <row r="31" customFormat="false" ht="15" hidden="false" customHeight="false" outlineLevel="0" collapsed="false">
      <c r="A31" s="9" t="str">
        <f aca="false">IF(Options!A31="","",Options!A31)</f>
        <v>OPT026</v>
      </c>
      <c r="B31" s="9" t="str">
        <f aca="false">IF(A31="","",Options!B31&amp;" "&amp;Options!C31)</f>
        <v>Lambswool crew Tan</v>
      </c>
      <c r="C31" s="9" t="str">
        <f aca="false">IF(A31="","",Options!E31)</f>
        <v>Knitwear</v>
      </c>
      <c r="D31" s="9" t="str">
        <f aca="false">IF(A31="","",Options!H31)</f>
        <v>Core</v>
      </c>
      <c r="E31" s="12" t="n">
        <f aca="false">SUMIFS('SKU Data'!$E$6:$E$505,'SKU Data'!$B$6:$B$505,$A31)</f>
        <v>694</v>
      </c>
      <c r="F31" s="12" t="n">
        <f aca="false">SUMIFS('SKU Data'!$F$6:$F$505,'SKU Data'!$B$6:$B$505,$A31)</f>
        <v>0</v>
      </c>
      <c r="G31" s="12" t="n">
        <f aca="false">SUMIFS('SKU Data'!$G$6:$G$505,'SKU Data'!$B$6:$B$505,$A31)</f>
        <v>196</v>
      </c>
      <c r="H31" s="12" t="n">
        <f aca="false">N(Options!M31)</f>
        <v>0</v>
      </c>
      <c r="I31" s="12" t="n">
        <f aca="false">SUMIFS('SKU Data'!$H$6:$H$505,'SKU Data'!$B$6:$B$505,$A31)</f>
        <v>20</v>
      </c>
      <c r="J31" s="12" t="n">
        <f aca="false">SUMIFS('SKU Data'!$I$6:$I$505,'SKU Data'!$B$6:$B$505,$A31)</f>
        <v>24</v>
      </c>
      <c r="K31" s="12" t="n">
        <f aca="false">SUMIFS('SKU Data'!$J$6:$J$505,'SKU Data'!$B$6:$B$505,$A31)</f>
        <v>23</v>
      </c>
      <c r="L31" s="12" t="n">
        <f aca="false">SUMIFS('SKU Data'!$K$6:$K$505,'SKU Data'!$B$6:$B$505,$A31)</f>
        <v>23</v>
      </c>
      <c r="M31" s="25" t="n">
        <f aca="false">L31*Settings!$B$10+K31*Settings!$B$11+J31*Settings!$B$12+I31*Settings!$B$13</f>
        <v>22.9</v>
      </c>
      <c r="N31" s="25" t="n">
        <f aca="false">M31*Settings!$B$15</f>
        <v>20.61</v>
      </c>
      <c r="O31" s="12" t="n">
        <f aca="false">SUMIFS('SKU Data'!$L$6:$L$505,'SKU Data'!$B$6:$B$505,$A31)</f>
        <v>498</v>
      </c>
      <c r="P31" s="12" t="n">
        <f aca="false">SUMIFS('SKU Data'!$M$6:$M$505,'SKU Data'!$B$6:$B$505,$A31)</f>
        <v>438</v>
      </c>
      <c r="Q31" s="21" t="n">
        <f aca="false">IFERROR(O31/(E31-F31),0)</f>
        <v>0.717579250720461</v>
      </c>
      <c r="R31" s="21" t="n">
        <f aca="false">IFERROR(P31/(E31-F31),0)</f>
        <v>0.631123919308357</v>
      </c>
      <c r="S31" s="26" t="n">
        <f aca="false">IF(N31&lt;=0,IF(G31&gt;0,999,0),G31/N31)</f>
        <v>9.50994662785056</v>
      </c>
      <c r="T31" s="25" t="n">
        <f aca="false">IF(N(Options!L31)&gt;0,Options!L31,Settings!$B$20)</f>
        <v>8</v>
      </c>
      <c r="U31" s="9" t="n">
        <f aca="false">COUNTIFS('SKU Data'!$B$6:$B$505,$A31,'SKU Data'!$D$6:$D$505,"Y")</f>
        <v>3</v>
      </c>
      <c r="V31" s="9" t="n">
        <f aca="false">COUNTIFS('SKU Data'!$B$6:$B$505,$A31,'SKU Data'!$D$6:$D$505,"Y",'SKU Data'!$G$6:$G$505,"&lt;=0")</f>
        <v>0</v>
      </c>
      <c r="W31" s="28" t="str">
        <f aca="false">IF(A31="","",IF(AND(V31&gt;0,G31&gt;0),"Y",""))</f>
        <v/>
      </c>
      <c r="X31" s="9" t="str">
        <f aca="false">IF(A31="","",IF(AND(G31&gt;0,OR(Options!P31="N",Options!Q31="N")),"Y",""))</f>
        <v/>
      </c>
      <c r="Y31" s="9" t="n">
        <f aca="false">IF(AND(A31&lt;&gt;"",U31&gt;0,V31=0,G31&gt;0,Options!P31&lt;&gt;"N",Options!Q31&lt;&gt;"N"),1,0)</f>
        <v>1</v>
      </c>
      <c r="Z31" s="29" t="n">
        <f aca="false">IFERROR((K31+L31)/(I31+J31)-1,0)</f>
        <v>0.0454545454545454</v>
      </c>
      <c r="AA31" s="9" t="str">
        <f aca="false">IF(A31="","",IF(Q31&gt;=Settings!$B$17,"High","Low"))</f>
        <v>Low</v>
      </c>
      <c r="AB31" s="9" t="str">
        <f aca="false">IF(A31="","",IF(S31&lt;IF(D31="End of life",Settings!$B$9,IF(D31="Core",T31,MIN(T31,Settings!$B$9))),"Low",IF(S31&gt;IF(D31="Core",Settings!$B$19,Settings!$B$9+Settings!$B$18),"High","Balanced")))</f>
        <v>Balanced</v>
      </c>
      <c r="AC31" s="28" t="str">
        <f aca="false">IF(A31="","",IF(AW31="Y","Held for a campaign",IF(AA31="High",IF(AB31="Low","Selling and short",IF(AB31="High","Selling, heavy","Selling, covered")),IF(AB31="Low","Slow and short",IF(AB31="High","Slow and heavy","Slow, covered")))))</f>
        <v>Slow, covered</v>
      </c>
      <c r="AD31" s="9" t="str">
        <f aca="false">IF(A31="","",TRIM(IF(W31="Y","Broken curve. ","")&amp;IF(X31="Y","Hidden from customers. ","")&amp;IF(Options!O31="Y","Promoted. ","")&amp;IF(Options!I31="Y","Range job. ","")&amp;IF(D31="End of life","End of life. ","")&amp;IF(H31&gt;0,"Order due in "&amp;Options!N31&amp;" weeks. ","")&amp;IF(AW31="Y","Held for "&amp;Options!T31&amp;", starts in "&amp;Options!U31&amp;" weeks. ","")&amp;IF(AX31&gt;0,"Covering for "&amp;AX31&amp;" sold-out line(s). ","")))</f>
        <v/>
      </c>
      <c r="AE31" s="9" t="str">
        <f aca="false">IF(A31="","",IF(AW31="Y",IF(AND(N(Options!V31)&gt;0,G31+H31&gt;N(Options!V31)*1.1),Settings!$A$48,Settings!$A$47),IF(X31="Y",Settings!$A$27,IF(AND(W31="Y",D31&lt;&gt;"End of life",AA31="High"),IF(H31&gt;0,Settings!$A$28,Settings!$A$29),IF(AND(W31="Y",D31="End of life"),Settings!$A$30,IF(AC31="Selling and short",IF(D31="End of life",Settings!$A$31,IF(Options!O31="Y",Settings!$A$32,IF(AX31&gt;0,Settings!$A$33,IF(H31&gt;0,IF(N(Options!N31)&lt;=S31,Settings!$A$34,Settings!$A$35),IF(AND(D31&lt;&gt;"Core",T31&gt;=Settings!$B$9),Settings!$A$36,Settings!$A$37))))),IF(AC31="Selling, heavy",IF(D31="Core",Settings!$A$38,Settings!$A$39),IF(AC31="Selling, covered",Settings!$A$40,IF(AC31="Slow and heavy",IF(Options!I31="Y",Settings!$A$41,IF(D31="End of life",Settings!$A$42,Settings!$A$43)),IF(AC31="Slow and short",IF(W31="Y",Settings!$A$44,Settings!$A$45),Settings!$A$46))))))))))</f>
        <v>Watch; re-merchandise if it does not move</v>
      </c>
      <c r="AF31" s="9" t="str">
        <f aca="false">IF(A31="","",IFERROR(VLOOKUP(AM31,Settings!$A$27:$B$48,2,0),"Assign an owner"))</f>
        <v>Trading Manager</v>
      </c>
      <c r="AG31" s="14" t="n">
        <f aca="false">SUMIFS('SKU Data'!$V$6:$V$505,'SKU Data'!$B$6:$B$505,$A31)</f>
        <v>6330.8</v>
      </c>
      <c r="AH31" s="12" t="n">
        <f aca="false">IF(A31="",0,IF(AW31="Y",IF(N(Options!V31)&gt;0,MAX(0,G31+H31-N(Options!V31)),0),MAX(0,G31+H31-N31*IF(D31="Core",Settings!$B$19,Settings!$B$9))))</f>
        <v>0</v>
      </c>
      <c r="AI31" s="14" t="n">
        <f aca="false">IF(OR(A31="",D31="Core"),0,AH31*N(Options!J31)*Settings!$B$21)</f>
        <v>0</v>
      </c>
      <c r="AJ31" s="14" t="n">
        <f aca="false">AH31*N(Options!K31)</f>
        <v>0</v>
      </c>
      <c r="AK31" s="27" t="n">
        <f aca="false">AZ31*(1-AY31)</f>
        <v>0</v>
      </c>
      <c r="AL31" s="27" t="n">
        <f aca="false">AI31+AK31</f>
        <v>0</v>
      </c>
      <c r="AM31" s="9" t="str">
        <f aca="false">IF(A31="","",IF(Options!W31&lt;&gt;"",Options!W31,AE31))</f>
        <v>Watch; re-merchandise if it does not move</v>
      </c>
      <c r="AN31" s="28" t="n">
        <f aca="false">IF(A31="","",COUNTIF($AR$6:$AR$85,"&gt;"&amp;AR31)+1)</f>
        <v>56</v>
      </c>
      <c r="AO31" s="9" t="str">
        <f aca="false">IF(A31="","",Options!D31)</f>
        <v>Crew necks</v>
      </c>
      <c r="AP31" s="9" t="str">
        <f aca="false">IF(A31="","",Options!F31)</f>
        <v>Own brand</v>
      </c>
      <c r="AQ31" s="9" t="n">
        <f aca="false">IF(AND(A31&lt;&gt;"",AW31&lt;&gt;"Y",M31&gt;0,COUNTIF($M$6:$M$85,"&gt;"&amp;M31)&lt;Settings!$B$22),1,0)</f>
        <v>1</v>
      </c>
      <c r="AR31" s="28" t="n">
        <f aca="false">IF(A31="",-1,AL31+ROW()/1000000000)</f>
        <v>3.1E-008</v>
      </c>
      <c r="AS31" s="28" t="n">
        <f aca="false">IF(A31="",-1,AK31+ROW()/1000000000)</f>
        <v>3.1E-008</v>
      </c>
      <c r="AT31" s="28" t="n">
        <f aca="false">IF(A31="",-1,AI31+ROW()/1000000000)</f>
        <v>3.1E-008</v>
      </c>
      <c r="AU31" s="25" t="n">
        <f aca="false">SUMIFS('SKU Data'!$W$6:$W$505,'SKU Data'!$B$6:$B$505,$A31)</f>
        <v>22.5</v>
      </c>
      <c r="AV31" s="28" t="n">
        <f aca="false">IF(A31="","",COUNTIFS($C$6:$C$85,C31,$M$6:$M$85,"&gt;"&amp;M31)+1)</f>
        <v>5</v>
      </c>
      <c r="AW31" s="9" t="str">
        <f aca="false">IF(A31="","",IF(AND(Options!T31&lt;&gt;"",N(Options!U31)&gt;0),"Y",""))</f>
        <v/>
      </c>
      <c r="AX31" s="9" t="n">
        <f aca="false">IF(A31="",0,COUNTIFS(Options!$R$6:$R$85,$A31,$V$6:$V$85,"&gt;0"))</f>
        <v>0</v>
      </c>
      <c r="AY31" s="13" t="n">
        <f aca="false">IF(Options!S31&lt;&gt;"",Options!S31,Settings!$B$23)</f>
        <v>0.3</v>
      </c>
      <c r="AZ31" s="14" t="n">
        <f aca="false">SUMIFS('SKU Data'!$U$6:$U$505,'SKU Data'!$B$6:$B$505,$A31)</f>
        <v>0</v>
      </c>
    </row>
    <row r="32" customFormat="false" ht="15" hidden="false" customHeight="false" outlineLevel="0" collapsed="false">
      <c r="A32" s="9" t="str">
        <f aca="false">IF(Options!A32="","",Options!A32)</f>
        <v>OPT027</v>
      </c>
      <c r="B32" s="9" t="str">
        <f aca="false">IF(A32="","",Options!B32&amp;" "&amp;Options!C32)</f>
        <v>Shawl cardigan Navy</v>
      </c>
      <c r="C32" s="9" t="str">
        <f aca="false">IF(A32="","",Options!E32)</f>
        <v>Knitwear</v>
      </c>
      <c r="D32" s="9" t="str">
        <f aca="false">IF(A32="","",Options!H32)</f>
        <v>Seasonal</v>
      </c>
      <c r="E32" s="12" t="n">
        <f aca="false">SUMIFS('SKU Data'!$E$6:$E$505,'SKU Data'!$B$6:$B$505,$A32)</f>
        <v>1263</v>
      </c>
      <c r="F32" s="12" t="n">
        <f aca="false">SUMIFS('SKU Data'!$F$6:$F$505,'SKU Data'!$B$6:$B$505,$A32)</f>
        <v>0</v>
      </c>
      <c r="G32" s="12" t="n">
        <f aca="false">SUMIFS('SKU Data'!$G$6:$G$505,'SKU Data'!$B$6:$B$505,$A32)</f>
        <v>779</v>
      </c>
      <c r="H32" s="12" t="n">
        <f aca="false">N(Options!M32)</f>
        <v>0</v>
      </c>
      <c r="I32" s="12" t="n">
        <f aca="false">SUMIFS('SKU Data'!$H$6:$H$505,'SKU Data'!$B$6:$B$505,$A32)</f>
        <v>4</v>
      </c>
      <c r="J32" s="12" t="n">
        <f aca="false">SUMIFS('SKU Data'!$I$6:$I$505,'SKU Data'!$B$6:$B$505,$A32)</f>
        <v>6</v>
      </c>
      <c r="K32" s="12" t="n">
        <f aca="false">SUMIFS('SKU Data'!$J$6:$J$505,'SKU Data'!$B$6:$B$505,$A32)</f>
        <v>4</v>
      </c>
      <c r="L32" s="12" t="n">
        <f aca="false">SUMIFS('SKU Data'!$K$6:$K$505,'SKU Data'!$B$6:$B$505,$A32)</f>
        <v>4</v>
      </c>
      <c r="M32" s="25" t="n">
        <f aca="false">L32*Settings!$B$10+K32*Settings!$B$11+J32*Settings!$B$12+I32*Settings!$B$13</f>
        <v>4.4</v>
      </c>
      <c r="N32" s="25" t="n">
        <f aca="false">M32*Settings!$B$15</f>
        <v>3.96</v>
      </c>
      <c r="O32" s="12" t="n">
        <f aca="false">SUMIFS('SKU Data'!$L$6:$L$505,'SKU Data'!$B$6:$B$505,$A32)</f>
        <v>484</v>
      </c>
      <c r="P32" s="12" t="n">
        <f aca="false">SUMIFS('SKU Data'!$M$6:$M$505,'SKU Data'!$B$6:$B$505,$A32)</f>
        <v>290</v>
      </c>
      <c r="Q32" s="21" t="n">
        <f aca="false">IFERROR(O32/(E32-F32),0)</f>
        <v>0.383214568487728</v>
      </c>
      <c r="R32" s="21" t="n">
        <f aca="false">IFERROR(P32/(E32-F32),0)</f>
        <v>0.229612034837688</v>
      </c>
      <c r="S32" s="26" t="n">
        <f aca="false">IF(N32&lt;=0,IF(G32&gt;0,999,0),G32/N32)</f>
        <v>196.717171717172</v>
      </c>
      <c r="T32" s="25" t="n">
        <f aca="false">IF(N(Options!L32)&gt;0,Options!L32,Settings!$B$20)</f>
        <v>6</v>
      </c>
      <c r="U32" s="9" t="n">
        <f aca="false">COUNTIFS('SKU Data'!$B$6:$B$505,$A32,'SKU Data'!$D$6:$D$505,"Y")</f>
        <v>3</v>
      </c>
      <c r="V32" s="9" t="n">
        <f aca="false">COUNTIFS('SKU Data'!$B$6:$B$505,$A32,'SKU Data'!$D$6:$D$505,"Y",'SKU Data'!$G$6:$G$505,"&lt;=0")</f>
        <v>0</v>
      </c>
      <c r="W32" s="28" t="str">
        <f aca="false">IF(A32="","",IF(AND(V32&gt;0,G32&gt;0),"Y",""))</f>
        <v/>
      </c>
      <c r="X32" s="9" t="str">
        <f aca="false">IF(A32="","",IF(AND(G32&gt;0,OR(Options!P32="N",Options!Q32="N")),"Y",""))</f>
        <v>Y</v>
      </c>
      <c r="Y32" s="9" t="n">
        <f aca="false">IF(AND(A32&lt;&gt;"",U32&gt;0,V32=0,G32&gt;0,Options!P32&lt;&gt;"N",Options!Q32&lt;&gt;"N"),1,0)</f>
        <v>0</v>
      </c>
      <c r="Z32" s="29" t="n">
        <f aca="false">IFERROR((K32+L32)/(I32+J32)-1,0)</f>
        <v>-0.2</v>
      </c>
      <c r="AA32" s="9" t="str">
        <f aca="false">IF(A32="","",IF(Q32&gt;=Settings!$B$17,"High","Low"))</f>
        <v>Low</v>
      </c>
      <c r="AB32" s="9" t="str">
        <f aca="false">IF(A32="","",IF(S32&lt;IF(D32="End of life",Settings!$B$9,IF(D32="Core",T32,MIN(T32,Settings!$B$9))),"Low",IF(S32&gt;IF(D32="Core",Settings!$B$19,Settings!$B$9+Settings!$B$18),"High","Balanced")))</f>
        <v>High</v>
      </c>
      <c r="AC32" s="28" t="str">
        <f aca="false">IF(A32="","",IF(AW32="Y","Held for a campaign",IF(AA32="High",IF(AB32="Low","Selling and short",IF(AB32="High","Selling, heavy","Selling, covered")),IF(AB32="Low","Slow and short",IF(AB32="High","Slow and heavy","Slow, covered")))))</f>
        <v>Slow and heavy</v>
      </c>
      <c r="AD32" s="9" t="str">
        <f aca="false">IF(A32="","",TRIM(IF(W32="Y","Broken curve. ","")&amp;IF(X32="Y","Hidden from customers. ","")&amp;IF(Options!O32="Y","Promoted. ","")&amp;IF(Options!I32="Y","Range job. ","")&amp;IF(D32="End of life","End of life. ","")&amp;IF(H32&gt;0,"Order due in "&amp;Options!N32&amp;" weeks. ","")&amp;IF(AW32="Y","Held for "&amp;Options!T32&amp;", starts in "&amp;Options!U32&amp;" weeks. ","")&amp;IF(AX32&gt;0,"Covering for "&amp;AX32&amp;" sold-out line(s). ","")))</f>
        <v>Hidden from customers.</v>
      </c>
      <c r="AE32" s="9" t="str">
        <f aca="false">IF(A32="","",IF(AW32="Y",IF(AND(N(Options!V32)&gt;0,G32+H32&gt;N(Options!V32)*1.1),Settings!$A$48,Settings!$A$47),IF(X32="Y",Settings!$A$27,IF(AND(W32="Y",D32&lt;&gt;"End of life",AA32="High"),IF(H32&gt;0,Settings!$A$28,Settings!$A$29),IF(AND(W32="Y",D32="End of life"),Settings!$A$30,IF(AC32="Selling and short",IF(D32="End of life",Settings!$A$31,IF(Options!O32="Y",Settings!$A$32,IF(AX32&gt;0,Settings!$A$33,IF(H32&gt;0,IF(N(Options!N32)&lt;=S32,Settings!$A$34,Settings!$A$35),IF(AND(D32&lt;&gt;"Core",T32&gt;=Settings!$B$9),Settings!$A$36,Settings!$A$37))))),IF(AC32="Selling, heavy",IF(D32="Core",Settings!$A$38,Settings!$A$39),IF(AC32="Selling, covered",Settings!$A$40,IF(AC32="Slow and heavy",IF(Options!I32="Y",Settings!$A$41,IF(D32="End of life",Settings!$A$42,Settings!$A$43)),IF(AC32="Slow and short",IF(W32="Y",Settings!$A$44,Settings!$A$45),Settings!$A$46))))))))))</f>
        <v>Fix findability: it is in stock but customers cannot find it</v>
      </c>
      <c r="AF32" s="9" t="str">
        <f aca="false">IF(A32="","",IFERROR(VLOOKUP(AM32,Settings!$A$27:$B$48,2,0),"Assign an owner"))</f>
        <v>Ecommerce Trading Manager</v>
      </c>
      <c r="AG32" s="14" t="n">
        <f aca="false">SUMIFS('SKU Data'!$V$6:$V$505,'SKU Data'!$B$6:$B$505,$A32)</f>
        <v>25161.7</v>
      </c>
      <c r="AH32" s="12" t="n">
        <f aca="false">IF(A32="",0,IF(AW32="Y",IF(N(Options!V32)&gt;0,MAX(0,G32+H32-N(Options!V32)),0),MAX(0,G32+H32-N32*IF(D32="Core",Settings!$B$19,Settings!$B$9))))</f>
        <v>763.16</v>
      </c>
      <c r="AI32" s="14" t="n">
        <f aca="false">IF(OR(A32="",D32="Core"),0,AH32*N(Options!J32)*Settings!$B$21)</f>
        <v>25947.44</v>
      </c>
      <c r="AJ32" s="14" t="n">
        <f aca="false">AH32*N(Options!K32)</f>
        <v>24650.068</v>
      </c>
      <c r="AK32" s="27" t="n">
        <f aca="false">AZ32*(1-AY32)</f>
        <v>0</v>
      </c>
      <c r="AL32" s="27" t="n">
        <f aca="false">AI32+AK32</f>
        <v>25947.44</v>
      </c>
      <c r="AM32" s="9" t="str">
        <f aca="false">IF(A32="","",IF(Options!W32&lt;&gt;"",Options!W32,AE32))</f>
        <v>Fix findability: it is in stock but customers cannot find it</v>
      </c>
      <c r="AN32" s="28" t="n">
        <f aca="false">IF(A32="","",COUNTIF($AR$6:$AR$85,"&gt;"&amp;AR32)+1)</f>
        <v>8</v>
      </c>
      <c r="AO32" s="9" t="str">
        <f aca="false">IF(A32="","",Options!D32)</f>
        <v>Cardigans</v>
      </c>
      <c r="AP32" s="9" t="str">
        <f aca="false">IF(A32="","",Options!F32)</f>
        <v>Own brand</v>
      </c>
      <c r="AQ32" s="9" t="n">
        <f aca="false">IF(AND(A32&lt;&gt;"",AW32&lt;&gt;"Y",M32&gt;0,COUNTIF($M$6:$M$85,"&gt;"&amp;M32)&lt;Settings!$B$22),1,0)</f>
        <v>0</v>
      </c>
      <c r="AR32" s="28" t="n">
        <f aca="false">IF(A32="",-1,AL32+ROW()/1000000000)</f>
        <v>25947.440000032</v>
      </c>
      <c r="AS32" s="28" t="n">
        <f aca="false">IF(A32="",-1,AK32+ROW()/1000000000)</f>
        <v>3.2E-008</v>
      </c>
      <c r="AT32" s="28" t="n">
        <f aca="false">IF(A32="",-1,AI32+ROW()/1000000000)</f>
        <v>25947.440000032</v>
      </c>
      <c r="AU32" s="25" t="n">
        <f aca="false">SUMIFS('SKU Data'!$W$6:$W$505,'SKU Data'!$B$6:$B$505,$A32)</f>
        <v>4.5</v>
      </c>
      <c r="AV32" s="28" t="n">
        <f aca="false">IF(A32="","",COUNTIFS($C$6:$C$85,C32,$M$6:$M$85,"&gt;"&amp;M32)+1)</f>
        <v>14</v>
      </c>
      <c r="AW32" s="9" t="str">
        <f aca="false">IF(A32="","",IF(AND(Options!T32&lt;&gt;"",N(Options!U32)&gt;0),"Y",""))</f>
        <v/>
      </c>
      <c r="AX32" s="9" t="n">
        <f aca="false">IF(A32="",0,COUNTIFS(Options!$R$6:$R$85,$A32,$V$6:$V$85,"&gt;0"))</f>
        <v>0</v>
      </c>
      <c r="AY32" s="13" t="n">
        <f aca="false">IF(Options!S32&lt;&gt;"",Options!S32,Settings!$B$23)</f>
        <v>0.3</v>
      </c>
      <c r="AZ32" s="14" t="n">
        <f aca="false">SUMIFS('SKU Data'!$U$6:$U$505,'SKU Data'!$B$6:$B$505,$A32)</f>
        <v>0</v>
      </c>
    </row>
    <row r="33" customFormat="false" ht="15" hidden="false" customHeight="false" outlineLevel="0" collapsed="false">
      <c r="A33" s="9" t="str">
        <f aca="false">IF(Options!A33="","",Options!A33)</f>
        <v>OPT028</v>
      </c>
      <c r="B33" s="9" t="str">
        <f aca="false">IF(A33="","",Options!B33&amp;" "&amp;Options!C33)</f>
        <v>Lambswool crew Olive</v>
      </c>
      <c r="C33" s="9" t="str">
        <f aca="false">IF(A33="","",Options!E33)</f>
        <v>Knitwear</v>
      </c>
      <c r="D33" s="9" t="str">
        <f aca="false">IF(A33="","",Options!H33)</f>
        <v>Seasonal</v>
      </c>
      <c r="E33" s="12" t="n">
        <f aca="false">SUMIFS('SKU Data'!$E$6:$E$505,'SKU Data'!$B$6:$B$505,$A33)</f>
        <v>788</v>
      </c>
      <c r="F33" s="12" t="n">
        <f aca="false">SUMIFS('SKU Data'!$F$6:$F$505,'SKU Data'!$B$6:$B$505,$A33)</f>
        <v>0</v>
      </c>
      <c r="G33" s="12" t="n">
        <f aca="false">SUMIFS('SKU Data'!$G$6:$G$505,'SKU Data'!$B$6:$B$505,$A33)</f>
        <v>243</v>
      </c>
      <c r="H33" s="12" t="n">
        <f aca="false">N(Options!M33)</f>
        <v>0</v>
      </c>
      <c r="I33" s="12" t="n">
        <f aca="false">SUMIFS('SKU Data'!$H$6:$H$505,'SKU Data'!$B$6:$B$505,$A33)</f>
        <v>22</v>
      </c>
      <c r="J33" s="12" t="n">
        <f aca="false">SUMIFS('SKU Data'!$I$6:$I$505,'SKU Data'!$B$6:$B$505,$A33)</f>
        <v>26</v>
      </c>
      <c r="K33" s="12" t="n">
        <f aca="false">SUMIFS('SKU Data'!$J$6:$J$505,'SKU Data'!$B$6:$B$505,$A33)</f>
        <v>25</v>
      </c>
      <c r="L33" s="12" t="n">
        <f aca="false">SUMIFS('SKU Data'!$K$6:$K$505,'SKU Data'!$B$6:$B$505,$A33)</f>
        <v>29</v>
      </c>
      <c r="M33" s="25" t="n">
        <f aca="false">L33*Settings!$B$10+K33*Settings!$B$11+J33*Settings!$B$12+I33*Settings!$B$13</f>
        <v>26.5</v>
      </c>
      <c r="N33" s="25" t="n">
        <f aca="false">M33*Settings!$B$15</f>
        <v>23.85</v>
      </c>
      <c r="O33" s="12" t="n">
        <f aca="false">SUMIFS('SKU Data'!$L$6:$L$505,'SKU Data'!$B$6:$B$505,$A33)</f>
        <v>545</v>
      </c>
      <c r="P33" s="12" t="n">
        <f aca="false">SUMIFS('SKU Data'!$M$6:$M$505,'SKU Data'!$B$6:$B$505,$A33)</f>
        <v>478</v>
      </c>
      <c r="Q33" s="21" t="n">
        <f aca="false">IFERROR(O33/(E33-F33),0)</f>
        <v>0.691624365482234</v>
      </c>
      <c r="R33" s="21" t="n">
        <f aca="false">IFERROR(P33/(E33-F33),0)</f>
        <v>0.606598984771574</v>
      </c>
      <c r="S33" s="26" t="n">
        <f aca="false">IF(N33&lt;=0,IF(G33&gt;0,999,0),G33/N33)</f>
        <v>10.188679245283</v>
      </c>
      <c r="T33" s="25" t="n">
        <f aca="false">IF(N(Options!L33)&gt;0,Options!L33,Settings!$B$20)</f>
        <v>8</v>
      </c>
      <c r="U33" s="9" t="n">
        <f aca="false">COUNTIFS('SKU Data'!$B$6:$B$505,$A33,'SKU Data'!$D$6:$D$505,"Y")</f>
        <v>3</v>
      </c>
      <c r="V33" s="9" t="n">
        <f aca="false">COUNTIFS('SKU Data'!$B$6:$B$505,$A33,'SKU Data'!$D$6:$D$505,"Y",'SKU Data'!$G$6:$G$505,"&lt;=0")</f>
        <v>0</v>
      </c>
      <c r="W33" s="28" t="str">
        <f aca="false">IF(A33="","",IF(AND(V33&gt;0,G33&gt;0),"Y",""))</f>
        <v/>
      </c>
      <c r="X33" s="9" t="str">
        <f aca="false">IF(A33="","",IF(AND(G33&gt;0,OR(Options!P33="N",Options!Q33="N")),"Y",""))</f>
        <v/>
      </c>
      <c r="Y33" s="9" t="n">
        <f aca="false">IF(AND(A33&lt;&gt;"",U33&gt;0,V33=0,G33&gt;0,Options!P33&lt;&gt;"N",Options!Q33&lt;&gt;"N"),1,0)</f>
        <v>1</v>
      </c>
      <c r="Z33" s="29" t="n">
        <f aca="false">IFERROR((K33+L33)/(I33+J33)-1,0)</f>
        <v>0.125</v>
      </c>
      <c r="AA33" s="9" t="str">
        <f aca="false">IF(A33="","",IF(Q33&gt;=Settings!$B$17,"High","Low"))</f>
        <v>Low</v>
      </c>
      <c r="AB33" s="9" t="str">
        <f aca="false">IF(A33="","",IF(S33&lt;IF(D33="End of life",Settings!$B$9,IF(D33="Core",T33,MIN(T33,Settings!$B$9))),"Low",IF(S33&gt;IF(D33="Core",Settings!$B$19,Settings!$B$9+Settings!$B$18),"High","Balanced")))</f>
        <v>High</v>
      </c>
      <c r="AC33" s="28" t="str">
        <f aca="false">IF(A33="","",IF(AW33="Y","Held for a campaign",IF(AA33="High",IF(AB33="Low","Selling and short",IF(AB33="High","Selling, heavy","Selling, covered")),IF(AB33="Low","Slow and short",IF(AB33="High","Slow and heavy","Slow, covered")))))</f>
        <v>Slow and heavy</v>
      </c>
      <c r="AD33" s="9" t="str">
        <f aca="false">IF(A33="","",TRIM(IF(W33="Y","Broken curve. ","")&amp;IF(X33="Y","Hidden from customers. ","")&amp;IF(Options!O33="Y","Promoted. ","")&amp;IF(Options!I33="Y","Range job. ","")&amp;IF(D33="End of life","End of life. ","")&amp;IF(H33&gt;0,"Order due in "&amp;Options!N33&amp;" weeks. ","")&amp;IF(AW33="Y","Held for "&amp;Options!T33&amp;", starts in "&amp;Options!U33&amp;" weeks. ","")&amp;IF(AX33&gt;0,"Covering for "&amp;AX33&amp;" sold-out line(s). ","")))</f>
        <v/>
      </c>
      <c r="AE33" s="9" t="str">
        <f aca="false">IF(A33="","",IF(AW33="Y",IF(AND(N(Options!V33)&gt;0,G33+H33&gt;N(Options!V33)*1.1),Settings!$A$48,Settings!$A$47),IF(X33="Y",Settings!$A$27,IF(AND(W33="Y",D33&lt;&gt;"End of life",AA33="High"),IF(H33&gt;0,Settings!$A$28,Settings!$A$29),IF(AND(W33="Y",D33="End of life"),Settings!$A$30,IF(AC33="Selling and short",IF(D33="End of life",Settings!$A$31,IF(Options!O33="Y",Settings!$A$32,IF(AX33&gt;0,Settings!$A$33,IF(H33&gt;0,IF(N(Options!N33)&lt;=S33,Settings!$A$34,Settings!$A$35),IF(AND(D33&lt;&gt;"Core",T33&gt;=Settings!$B$9),Settings!$A$36,Settings!$A$37))))),IF(AC33="Selling, heavy",IF(D33="Core",Settings!$A$38,Settings!$A$39),IF(AC33="Selling, covered",Settings!$A$40,IF(AC33="Slow and heavy",IF(Options!I33="Y",Settings!$A$41,IF(D33="End of life",Settings!$A$42,Settings!$A$43)),IF(AC33="Slow and short",IF(W33="Y",Settings!$A$44,Settings!$A$45),Settings!$A$46))))))))))</f>
        <v>Mark down or re-merchandise</v>
      </c>
      <c r="AF33" s="9" t="str">
        <f aca="false">IF(A33="","",IFERROR(VLOOKUP(AM33,Settings!$A$27:$B$48,2,0),"Assign an owner"))</f>
        <v>Trading Manager</v>
      </c>
      <c r="AG33" s="14" t="n">
        <f aca="false">SUMIFS('SKU Data'!$V$6:$V$505,'SKU Data'!$B$6:$B$505,$A33)</f>
        <v>7848.9</v>
      </c>
      <c r="AH33" s="12" t="n">
        <f aca="false">IF(A33="",0,IF(AW33="Y",IF(N(Options!V33)&gt;0,MAX(0,G33+H33-N(Options!V33)),0),MAX(0,G33+H33-N33*IF(D33="Core",Settings!$B$19,Settings!$B$9))))</f>
        <v>147.6</v>
      </c>
      <c r="AI33" s="14" t="n">
        <f aca="false">IF(OR(A33="",D33="Core"),0,AH33*N(Options!J33)*Settings!$B$21)</f>
        <v>5018.4</v>
      </c>
      <c r="AJ33" s="14" t="n">
        <f aca="false">AH33*N(Options!K33)</f>
        <v>4767.48</v>
      </c>
      <c r="AK33" s="27" t="n">
        <f aca="false">AZ33*(1-AY33)</f>
        <v>0</v>
      </c>
      <c r="AL33" s="27" t="n">
        <f aca="false">AI33+AK33</f>
        <v>5018.4</v>
      </c>
      <c r="AM33" s="9" t="str">
        <f aca="false">IF(A33="","",IF(Options!W33&lt;&gt;"",Options!W33,AE33))</f>
        <v>Mark down or re-merchandise</v>
      </c>
      <c r="AN33" s="28" t="n">
        <f aca="false">IF(A33="","",COUNTIF($AR$6:$AR$85,"&gt;"&amp;AR33)+1)</f>
        <v>21</v>
      </c>
      <c r="AO33" s="9" t="str">
        <f aca="false">IF(A33="","",Options!D33)</f>
        <v>Crew necks</v>
      </c>
      <c r="AP33" s="9" t="str">
        <f aca="false">IF(A33="","",Options!F33)</f>
        <v>Own brand</v>
      </c>
      <c r="AQ33" s="9" t="n">
        <f aca="false">IF(AND(A33&lt;&gt;"",AW33&lt;&gt;"Y",M33&gt;0,COUNTIF($M$6:$M$85,"&gt;"&amp;M33)&lt;Settings!$B$22),1,0)</f>
        <v>1</v>
      </c>
      <c r="AR33" s="28" t="n">
        <f aca="false">IF(A33="",-1,AL33+ROW()/1000000000)</f>
        <v>5018.400000033</v>
      </c>
      <c r="AS33" s="28" t="n">
        <f aca="false">IF(A33="",-1,AK33+ROW()/1000000000)</f>
        <v>3.3E-008</v>
      </c>
      <c r="AT33" s="28" t="n">
        <f aca="false">IF(A33="",-1,AI33+ROW()/1000000000)</f>
        <v>5018.400000033</v>
      </c>
      <c r="AU33" s="25" t="n">
        <f aca="false">SUMIFS('SKU Data'!$W$6:$W$505,'SKU Data'!$B$6:$B$505,$A33)</f>
        <v>25.5</v>
      </c>
      <c r="AV33" s="28" t="n">
        <f aca="false">IF(A33="","",COUNTIFS($C$6:$C$85,C33,$M$6:$M$85,"&gt;"&amp;M33)+1)</f>
        <v>2</v>
      </c>
      <c r="AW33" s="9" t="str">
        <f aca="false">IF(A33="","",IF(AND(Options!T33&lt;&gt;"",N(Options!U33)&gt;0),"Y",""))</f>
        <v/>
      </c>
      <c r="AX33" s="9" t="n">
        <f aca="false">IF(A33="",0,COUNTIFS(Options!$R$6:$R$85,$A33,$V$6:$V$85,"&gt;0"))</f>
        <v>0</v>
      </c>
      <c r="AY33" s="13" t="n">
        <f aca="false">IF(Options!S33&lt;&gt;"",Options!S33,Settings!$B$23)</f>
        <v>0.3</v>
      </c>
      <c r="AZ33" s="14" t="n">
        <f aca="false">SUMIFS('SKU Data'!$U$6:$U$505,'SKU Data'!$B$6:$B$505,$A33)</f>
        <v>0</v>
      </c>
    </row>
    <row r="34" customFormat="false" ht="15" hidden="false" customHeight="false" outlineLevel="0" collapsed="false">
      <c r="A34" s="9" t="str">
        <f aca="false">IF(Options!A34="","",Options!A34)</f>
        <v>OPT029</v>
      </c>
      <c r="B34" s="9" t="str">
        <f aca="false">IF(A34="","",Options!B34&amp;" "&amp;Options!C34)</f>
        <v>Shawl cardigan Stone</v>
      </c>
      <c r="C34" s="9" t="str">
        <f aca="false">IF(A34="","",Options!E34)</f>
        <v>Knitwear</v>
      </c>
      <c r="D34" s="9" t="str">
        <f aca="false">IF(A34="","",Options!H34)</f>
        <v>Seasonal</v>
      </c>
      <c r="E34" s="12" t="n">
        <f aca="false">SUMIFS('SKU Data'!$E$6:$E$505,'SKU Data'!$B$6:$B$505,$A34)</f>
        <v>1414</v>
      </c>
      <c r="F34" s="12" t="n">
        <f aca="false">SUMIFS('SKU Data'!$F$6:$F$505,'SKU Data'!$B$6:$B$505,$A34)</f>
        <v>0</v>
      </c>
      <c r="G34" s="12" t="n">
        <f aca="false">SUMIFS('SKU Data'!$G$6:$G$505,'SKU Data'!$B$6:$B$505,$A34)</f>
        <v>961</v>
      </c>
      <c r="H34" s="12" t="n">
        <f aca="false">N(Options!M34)</f>
        <v>0</v>
      </c>
      <c r="I34" s="12" t="n">
        <f aca="false">SUMIFS('SKU Data'!$H$6:$H$505,'SKU Data'!$B$6:$B$505,$A34)</f>
        <v>14</v>
      </c>
      <c r="J34" s="12" t="n">
        <f aca="false">SUMIFS('SKU Data'!$I$6:$I$505,'SKU Data'!$B$6:$B$505,$A34)</f>
        <v>14</v>
      </c>
      <c r="K34" s="12" t="n">
        <f aca="false">SUMIFS('SKU Data'!$J$6:$J$505,'SKU Data'!$B$6:$B$505,$A34)</f>
        <v>14</v>
      </c>
      <c r="L34" s="12" t="n">
        <f aca="false">SUMIFS('SKU Data'!$K$6:$K$505,'SKU Data'!$B$6:$B$505,$A34)</f>
        <v>15</v>
      </c>
      <c r="M34" s="25" t="n">
        <f aca="false">L34*Settings!$B$10+K34*Settings!$B$11+J34*Settings!$B$12+I34*Settings!$B$13</f>
        <v>14.4</v>
      </c>
      <c r="N34" s="25" t="n">
        <f aca="false">M34*Settings!$B$15</f>
        <v>12.96</v>
      </c>
      <c r="O34" s="12" t="n">
        <f aca="false">SUMIFS('SKU Data'!$L$6:$L$505,'SKU Data'!$B$6:$B$505,$A34)</f>
        <v>453</v>
      </c>
      <c r="P34" s="12" t="n">
        <f aca="false">SUMIFS('SKU Data'!$M$6:$M$505,'SKU Data'!$B$6:$B$505,$A34)</f>
        <v>271</v>
      </c>
      <c r="Q34" s="21" t="n">
        <f aca="false">IFERROR(O34/(E34-F34),0)</f>
        <v>0.32036775106082</v>
      </c>
      <c r="R34" s="21" t="n">
        <f aca="false">IFERROR(P34/(E34-F34),0)</f>
        <v>0.191654879773692</v>
      </c>
      <c r="S34" s="26" t="n">
        <f aca="false">IF(N34&lt;=0,IF(G34&gt;0,999,0),G34/N34)</f>
        <v>74.1512345679012</v>
      </c>
      <c r="T34" s="25" t="n">
        <f aca="false">IF(N(Options!L34)&gt;0,Options!L34,Settings!$B$20)</f>
        <v>8</v>
      </c>
      <c r="U34" s="9" t="n">
        <f aca="false">COUNTIFS('SKU Data'!$B$6:$B$505,$A34,'SKU Data'!$D$6:$D$505,"Y")</f>
        <v>3</v>
      </c>
      <c r="V34" s="9" t="n">
        <f aca="false">COUNTIFS('SKU Data'!$B$6:$B$505,$A34,'SKU Data'!$D$6:$D$505,"Y",'SKU Data'!$G$6:$G$505,"&lt;=0")</f>
        <v>0</v>
      </c>
      <c r="W34" s="28" t="str">
        <f aca="false">IF(A34="","",IF(AND(V34&gt;0,G34&gt;0),"Y",""))</f>
        <v/>
      </c>
      <c r="X34" s="9" t="str">
        <f aca="false">IF(A34="","",IF(AND(G34&gt;0,OR(Options!P34="N",Options!Q34="N")),"Y",""))</f>
        <v/>
      </c>
      <c r="Y34" s="9" t="n">
        <f aca="false">IF(AND(A34&lt;&gt;"",U34&gt;0,V34=0,G34&gt;0,Options!P34&lt;&gt;"N",Options!Q34&lt;&gt;"N"),1,0)</f>
        <v>1</v>
      </c>
      <c r="Z34" s="29" t="n">
        <f aca="false">IFERROR((K34+L34)/(I34+J34)-1,0)</f>
        <v>0.0357142857142858</v>
      </c>
      <c r="AA34" s="9" t="str">
        <f aca="false">IF(A34="","",IF(Q34&gt;=Settings!$B$17,"High","Low"))</f>
        <v>Low</v>
      </c>
      <c r="AB34" s="9" t="str">
        <f aca="false">IF(A34="","",IF(S34&lt;IF(D34="End of life",Settings!$B$9,IF(D34="Core",T34,MIN(T34,Settings!$B$9))),"Low",IF(S34&gt;IF(D34="Core",Settings!$B$19,Settings!$B$9+Settings!$B$18),"High","Balanced")))</f>
        <v>High</v>
      </c>
      <c r="AC34" s="28" t="str">
        <f aca="false">IF(A34="","",IF(AW34="Y","Held for a campaign",IF(AA34="High",IF(AB34="Low","Selling and short",IF(AB34="High","Selling, heavy","Selling, covered")),IF(AB34="Low","Slow and short",IF(AB34="High","Slow and heavy","Slow, covered")))))</f>
        <v>Slow and heavy</v>
      </c>
      <c r="AD34" s="9" t="str">
        <f aca="false">IF(A34="","",TRIM(IF(W34="Y","Broken curve. ","")&amp;IF(X34="Y","Hidden from customers. ","")&amp;IF(Options!O34="Y","Promoted. ","")&amp;IF(Options!I34="Y","Range job. ","")&amp;IF(D34="End of life","End of life. ","")&amp;IF(H34&gt;0,"Order due in "&amp;Options!N34&amp;" weeks. ","")&amp;IF(AW34="Y","Held for "&amp;Options!T34&amp;", starts in "&amp;Options!U34&amp;" weeks. ","")&amp;IF(AX34&gt;0,"Covering for "&amp;AX34&amp;" sold-out line(s). ","")))</f>
        <v/>
      </c>
      <c r="AE34" s="9" t="str">
        <f aca="false">IF(A34="","",IF(AW34="Y",IF(AND(N(Options!V34)&gt;0,G34+H34&gt;N(Options!V34)*1.1),Settings!$A$48,Settings!$A$47),IF(X34="Y",Settings!$A$27,IF(AND(W34="Y",D34&lt;&gt;"End of life",AA34="High"),IF(H34&gt;0,Settings!$A$28,Settings!$A$29),IF(AND(W34="Y",D34="End of life"),Settings!$A$30,IF(AC34="Selling and short",IF(D34="End of life",Settings!$A$31,IF(Options!O34="Y",Settings!$A$32,IF(AX34&gt;0,Settings!$A$33,IF(H34&gt;0,IF(N(Options!N34)&lt;=S34,Settings!$A$34,Settings!$A$35),IF(AND(D34&lt;&gt;"Core",T34&gt;=Settings!$B$9),Settings!$A$36,Settings!$A$37))))),IF(AC34="Selling, heavy",IF(D34="Core",Settings!$A$38,Settings!$A$39),IF(AC34="Selling, covered",Settings!$A$40,IF(AC34="Slow and heavy",IF(Options!I34="Y",Settings!$A$41,IF(D34="End of life",Settings!$A$42,Settings!$A$43)),IF(AC34="Slow and short",IF(W34="Y",Settings!$A$44,Settings!$A$45),Settings!$A$46))))))))))</f>
        <v>Mark down or re-merchandise</v>
      </c>
      <c r="AF34" s="9" t="str">
        <f aca="false">IF(A34="","",IFERROR(VLOOKUP(AM34,Settings!$A$27:$B$48,2,0),"Assign an owner"))</f>
        <v>Trading Manager</v>
      </c>
      <c r="AG34" s="14" t="n">
        <f aca="false">SUMIFS('SKU Data'!$V$6:$V$505,'SKU Data'!$B$6:$B$505,$A34)</f>
        <v>31040.3</v>
      </c>
      <c r="AH34" s="12" t="n">
        <f aca="false">IF(A34="",0,IF(AW34="Y",IF(N(Options!V34)&gt;0,MAX(0,G34+H34-N(Options!V34)),0),MAX(0,G34+H34-N34*IF(D34="Core",Settings!$B$19,Settings!$B$9))))</f>
        <v>909.16</v>
      </c>
      <c r="AI34" s="14" t="n">
        <f aca="false">IF(OR(A34="",D34="Core"),0,AH34*N(Options!J34)*Settings!$B$21)</f>
        <v>30911.44</v>
      </c>
      <c r="AJ34" s="14" t="n">
        <f aca="false">AH34*N(Options!K34)</f>
        <v>29365.868</v>
      </c>
      <c r="AK34" s="27" t="n">
        <f aca="false">AZ34*(1-AY34)</f>
        <v>0</v>
      </c>
      <c r="AL34" s="27" t="n">
        <f aca="false">AI34+AK34</f>
        <v>30911.44</v>
      </c>
      <c r="AM34" s="9" t="str">
        <f aca="false">IF(A34="","",IF(Options!W34&lt;&gt;"",Options!W34,AE34))</f>
        <v>Mark down or re-merchandise</v>
      </c>
      <c r="AN34" s="28" t="n">
        <f aca="false">IF(A34="","",COUNTIF($AR$6:$AR$85,"&gt;"&amp;AR34)+1)</f>
        <v>7</v>
      </c>
      <c r="AO34" s="9" t="str">
        <f aca="false">IF(A34="","",Options!D34)</f>
        <v>Cardigans</v>
      </c>
      <c r="AP34" s="9" t="str">
        <f aca="false">IF(A34="","",Options!F34)</f>
        <v>Own brand</v>
      </c>
      <c r="AQ34" s="9" t="n">
        <f aca="false">IF(AND(A34&lt;&gt;"",AW34&lt;&gt;"Y",M34&gt;0,COUNTIF($M$6:$M$85,"&gt;"&amp;M34)&lt;Settings!$B$22),1,0)</f>
        <v>0</v>
      </c>
      <c r="AR34" s="28" t="n">
        <f aca="false">IF(A34="",-1,AL34+ROW()/1000000000)</f>
        <v>30911.440000034</v>
      </c>
      <c r="AS34" s="28" t="n">
        <f aca="false">IF(A34="",-1,AK34+ROW()/1000000000)</f>
        <v>3.4E-008</v>
      </c>
      <c r="AT34" s="28" t="n">
        <f aca="false">IF(A34="",-1,AI34+ROW()/1000000000)</f>
        <v>30911.440000034</v>
      </c>
      <c r="AU34" s="25" t="n">
        <f aca="false">SUMIFS('SKU Data'!$W$6:$W$505,'SKU Data'!$B$6:$B$505,$A34)</f>
        <v>14.25</v>
      </c>
      <c r="AV34" s="28" t="n">
        <f aca="false">IF(A34="","",COUNTIFS($C$6:$C$85,C34,$M$6:$M$85,"&gt;"&amp;M34)+1)</f>
        <v>10</v>
      </c>
      <c r="AW34" s="9" t="str">
        <f aca="false">IF(A34="","",IF(AND(Options!T34&lt;&gt;"",N(Options!U34)&gt;0),"Y",""))</f>
        <v/>
      </c>
      <c r="AX34" s="9" t="n">
        <f aca="false">IF(A34="",0,COUNTIFS(Options!$R$6:$R$85,$A34,$V$6:$V$85,"&gt;0"))</f>
        <v>0</v>
      </c>
      <c r="AY34" s="13" t="n">
        <f aca="false">IF(Options!S34&lt;&gt;"",Options!S34,Settings!$B$23)</f>
        <v>0.3</v>
      </c>
      <c r="AZ34" s="14" t="n">
        <f aca="false">SUMIFS('SKU Data'!$U$6:$U$505,'SKU Data'!$B$6:$B$505,$A34)</f>
        <v>0</v>
      </c>
    </row>
    <row r="35" customFormat="false" ht="15" hidden="false" customHeight="false" outlineLevel="0" collapsed="false">
      <c r="A35" s="9" t="str">
        <f aca="false">IF(Options!A35="","",Options!A35)</f>
        <v>OPT030</v>
      </c>
      <c r="B35" s="9" t="str">
        <f aca="false">IF(A35="","",Options!B35&amp;" "&amp;Options!C35)</f>
        <v>Cable crew Charcoal</v>
      </c>
      <c r="C35" s="9" t="str">
        <f aca="false">IF(A35="","",Options!E35)</f>
        <v>Knitwear</v>
      </c>
      <c r="D35" s="9" t="str">
        <f aca="false">IF(A35="","",Options!H35)</f>
        <v>Seasonal</v>
      </c>
      <c r="E35" s="12" t="n">
        <f aca="false">SUMIFS('SKU Data'!$E$6:$E$505,'SKU Data'!$B$6:$B$505,$A35)</f>
        <v>514</v>
      </c>
      <c r="F35" s="12" t="n">
        <f aca="false">SUMIFS('SKU Data'!$F$6:$F$505,'SKU Data'!$B$6:$B$505,$A35)</f>
        <v>0</v>
      </c>
      <c r="G35" s="12" t="n">
        <f aca="false">SUMIFS('SKU Data'!$G$6:$G$505,'SKU Data'!$B$6:$B$505,$A35)</f>
        <v>154</v>
      </c>
      <c r="H35" s="12" t="n">
        <f aca="false">N(Options!M35)</f>
        <v>0</v>
      </c>
      <c r="I35" s="12" t="n">
        <f aca="false">SUMIFS('SKU Data'!$H$6:$H$505,'SKU Data'!$B$6:$B$505,$A35)</f>
        <v>15</v>
      </c>
      <c r="J35" s="12" t="n">
        <f aca="false">SUMIFS('SKU Data'!$I$6:$I$505,'SKU Data'!$B$6:$B$505,$A35)</f>
        <v>14</v>
      </c>
      <c r="K35" s="12" t="n">
        <f aca="false">SUMIFS('SKU Data'!$J$6:$J$505,'SKU Data'!$B$6:$B$505,$A35)</f>
        <v>17</v>
      </c>
      <c r="L35" s="12" t="n">
        <f aca="false">SUMIFS('SKU Data'!$K$6:$K$505,'SKU Data'!$B$6:$B$505,$A35)</f>
        <v>19</v>
      </c>
      <c r="M35" s="25" t="n">
        <f aca="false">L35*Settings!$B$10+K35*Settings!$B$11+J35*Settings!$B$12+I35*Settings!$B$13</f>
        <v>17</v>
      </c>
      <c r="N35" s="25" t="n">
        <f aca="false">M35*Settings!$B$15</f>
        <v>15.3</v>
      </c>
      <c r="O35" s="12" t="n">
        <f aca="false">SUMIFS('SKU Data'!$L$6:$L$505,'SKU Data'!$B$6:$B$505,$A35)</f>
        <v>360</v>
      </c>
      <c r="P35" s="12" t="n">
        <f aca="false">SUMIFS('SKU Data'!$M$6:$M$505,'SKU Data'!$B$6:$B$505,$A35)</f>
        <v>316</v>
      </c>
      <c r="Q35" s="21" t="n">
        <f aca="false">IFERROR(O35/(E35-F35),0)</f>
        <v>0.700389105058366</v>
      </c>
      <c r="R35" s="21" t="n">
        <f aca="false">IFERROR(P35/(E35-F35),0)</f>
        <v>0.614785992217899</v>
      </c>
      <c r="S35" s="26" t="n">
        <f aca="false">IF(N35&lt;=0,IF(G35&gt;0,999,0),G35/N35)</f>
        <v>10.0653594771242</v>
      </c>
      <c r="T35" s="25" t="n">
        <f aca="false">IF(N(Options!L35)&gt;0,Options!L35,Settings!$B$20)</f>
        <v>10</v>
      </c>
      <c r="U35" s="9" t="n">
        <f aca="false">COUNTIFS('SKU Data'!$B$6:$B$505,$A35,'SKU Data'!$D$6:$D$505,"Y")</f>
        <v>3</v>
      </c>
      <c r="V35" s="9" t="n">
        <f aca="false">COUNTIFS('SKU Data'!$B$6:$B$505,$A35,'SKU Data'!$D$6:$D$505,"Y",'SKU Data'!$G$6:$G$505,"&lt;=0")</f>
        <v>0</v>
      </c>
      <c r="W35" s="28" t="str">
        <f aca="false">IF(A35="","",IF(AND(V35&gt;0,G35&gt;0),"Y",""))</f>
        <v/>
      </c>
      <c r="X35" s="9" t="str">
        <f aca="false">IF(A35="","",IF(AND(G35&gt;0,OR(Options!P35="N",Options!Q35="N")),"Y",""))</f>
        <v/>
      </c>
      <c r="Y35" s="9" t="n">
        <f aca="false">IF(AND(A35&lt;&gt;"",U35&gt;0,V35=0,G35&gt;0,Options!P35&lt;&gt;"N",Options!Q35&lt;&gt;"N"),1,0)</f>
        <v>1</v>
      </c>
      <c r="Z35" s="29" t="n">
        <f aca="false">IFERROR((K35+L35)/(I35+J35)-1,0)</f>
        <v>0.241379310344828</v>
      </c>
      <c r="AA35" s="9" t="str">
        <f aca="false">IF(A35="","",IF(Q35&gt;=Settings!$B$17,"High","Low"))</f>
        <v>Low</v>
      </c>
      <c r="AB35" s="9" t="str">
        <f aca="false">IF(A35="","",IF(S35&lt;IF(D35="End of life",Settings!$B$9,IF(D35="Core",T35,MIN(T35,Settings!$B$9))),"Low",IF(S35&gt;IF(D35="Core",Settings!$B$19,Settings!$B$9+Settings!$B$18),"High","Balanced")))</f>
        <v>High</v>
      </c>
      <c r="AC35" s="28" t="str">
        <f aca="false">IF(A35="","",IF(AW35="Y","Held for a campaign",IF(AA35="High",IF(AB35="Low","Selling and short",IF(AB35="High","Selling, heavy","Selling, covered")),IF(AB35="Low","Slow and short",IF(AB35="High","Slow and heavy","Slow, covered")))))</f>
        <v>Slow and heavy</v>
      </c>
      <c r="AD35" s="9" t="str">
        <f aca="false">IF(A35="","",TRIM(IF(W35="Y","Broken curve. ","")&amp;IF(X35="Y","Hidden from customers. ","")&amp;IF(Options!O35="Y","Promoted. ","")&amp;IF(Options!I35="Y","Range job. ","")&amp;IF(D35="End of life","End of life. ","")&amp;IF(H35&gt;0,"Order due in "&amp;Options!N35&amp;" weeks. ","")&amp;IF(AW35="Y","Held for "&amp;Options!T35&amp;", starts in "&amp;Options!U35&amp;" weeks. ","")&amp;IF(AX35&gt;0,"Covering for "&amp;AX35&amp;" sold-out line(s). ","")))</f>
        <v/>
      </c>
      <c r="AE35" s="9" t="str">
        <f aca="false">IF(A35="","",IF(AW35="Y",IF(AND(N(Options!V35)&gt;0,G35+H35&gt;N(Options!V35)*1.1),Settings!$A$48,Settings!$A$47),IF(X35="Y",Settings!$A$27,IF(AND(W35="Y",D35&lt;&gt;"End of life",AA35="High"),IF(H35&gt;0,Settings!$A$28,Settings!$A$29),IF(AND(W35="Y",D35="End of life"),Settings!$A$30,IF(AC35="Selling and short",IF(D35="End of life",Settings!$A$31,IF(Options!O35="Y",Settings!$A$32,IF(AX35&gt;0,Settings!$A$33,IF(H35&gt;0,IF(N(Options!N35)&lt;=S35,Settings!$A$34,Settings!$A$35),IF(AND(D35&lt;&gt;"Core",T35&gt;=Settings!$B$9),Settings!$A$36,Settings!$A$37))))),IF(AC35="Selling, heavy",IF(D35="Core",Settings!$A$38,Settings!$A$39),IF(AC35="Selling, covered",Settings!$A$40,IF(AC35="Slow and heavy",IF(Options!I35="Y",Settings!$A$41,IF(D35="End of life",Settings!$A$42,Settings!$A$43)),IF(AC35="Slow and short",IF(W35="Y",Settings!$A$44,Settings!$A$45),Settings!$A$46))))))))))</f>
        <v>Mark down or re-merchandise</v>
      </c>
      <c r="AF35" s="9" t="str">
        <f aca="false">IF(A35="","",IFERROR(VLOOKUP(AM35,Settings!$A$27:$B$48,2,0),"Assign an owner"))</f>
        <v>Trading Manager</v>
      </c>
      <c r="AG35" s="14" t="n">
        <f aca="false">SUMIFS('SKU Data'!$V$6:$V$505,'SKU Data'!$B$6:$B$505,$A35)</f>
        <v>4974.2</v>
      </c>
      <c r="AH35" s="12" t="n">
        <f aca="false">IF(A35="",0,IF(AW35="Y",IF(N(Options!V35)&gt;0,MAX(0,G35+H35-N(Options!V35)),0),MAX(0,G35+H35-N35*IF(D35="Core",Settings!$B$19,Settings!$B$9))))</f>
        <v>92.8</v>
      </c>
      <c r="AI35" s="14" t="n">
        <f aca="false">IF(OR(A35="",D35="Core"),0,AH35*N(Options!J35)*Settings!$B$21)</f>
        <v>3155.2</v>
      </c>
      <c r="AJ35" s="14" t="n">
        <f aca="false">AH35*N(Options!K35)</f>
        <v>2997.44</v>
      </c>
      <c r="AK35" s="27" t="n">
        <f aca="false">AZ35*(1-AY35)</f>
        <v>0</v>
      </c>
      <c r="AL35" s="27" t="n">
        <f aca="false">AI35+AK35</f>
        <v>3155.2</v>
      </c>
      <c r="AM35" s="9" t="str">
        <f aca="false">IF(A35="","",IF(Options!W35&lt;&gt;"",Options!W35,AE35))</f>
        <v>Mark down or re-merchandise</v>
      </c>
      <c r="AN35" s="28" t="n">
        <f aca="false">IF(A35="","",COUNTIF($AR$6:$AR$85,"&gt;"&amp;AR35)+1)</f>
        <v>30</v>
      </c>
      <c r="AO35" s="9" t="str">
        <f aca="false">IF(A35="","",Options!D35)</f>
        <v>Crew necks</v>
      </c>
      <c r="AP35" s="9" t="str">
        <f aca="false">IF(A35="","",Options!F35)</f>
        <v>Partner brand</v>
      </c>
      <c r="AQ35" s="9" t="n">
        <f aca="false">IF(AND(A35&lt;&gt;"",AW35&lt;&gt;"Y",M35&gt;0,COUNTIF($M$6:$M$85,"&gt;"&amp;M35)&lt;Settings!$B$22),1,0)</f>
        <v>1</v>
      </c>
      <c r="AR35" s="28" t="n">
        <f aca="false">IF(A35="",-1,AL35+ROW()/1000000000)</f>
        <v>3155.200000035</v>
      </c>
      <c r="AS35" s="28" t="n">
        <f aca="false">IF(A35="",-1,AK35+ROW()/1000000000)</f>
        <v>3.5E-008</v>
      </c>
      <c r="AT35" s="28" t="n">
        <f aca="false">IF(A35="",-1,AI35+ROW()/1000000000)</f>
        <v>3155.200000035</v>
      </c>
      <c r="AU35" s="25" t="n">
        <f aca="false">SUMIFS('SKU Data'!$W$6:$W$505,'SKU Data'!$B$6:$B$505,$A35)</f>
        <v>16.25</v>
      </c>
      <c r="AV35" s="28" t="n">
        <f aca="false">IF(A35="","",COUNTIFS($C$6:$C$85,C35,$M$6:$M$85,"&gt;"&amp;M35)+1)</f>
        <v>7</v>
      </c>
      <c r="AW35" s="9" t="str">
        <f aca="false">IF(A35="","",IF(AND(Options!T35&lt;&gt;"",N(Options!U35)&gt;0),"Y",""))</f>
        <v/>
      </c>
      <c r="AX35" s="9" t="n">
        <f aca="false">IF(A35="",0,COUNTIFS(Options!$R$6:$R$85,$A35,$V$6:$V$85,"&gt;0"))</f>
        <v>0</v>
      </c>
      <c r="AY35" s="13" t="n">
        <f aca="false">IF(Options!S35&lt;&gt;"",Options!S35,Settings!$B$23)</f>
        <v>0.3</v>
      </c>
      <c r="AZ35" s="14" t="n">
        <f aca="false">SUMIFS('SKU Data'!$U$6:$U$505,'SKU Data'!$B$6:$B$505,$A35)</f>
        <v>0</v>
      </c>
    </row>
    <row r="36" customFormat="false" ht="15" hidden="false" customHeight="false" outlineLevel="0" collapsed="false">
      <c r="A36" s="9" t="str">
        <f aca="false">IF(Options!A36="","",Options!A36)</f>
        <v>OPT031</v>
      </c>
      <c r="B36" s="9" t="str">
        <f aca="false">IF(A36="","",Options!B36&amp;" "&amp;Options!C36)</f>
        <v>Button-down shirt Forest</v>
      </c>
      <c r="C36" s="9" t="str">
        <f aca="false">IF(A36="","",Options!E36)</f>
        <v>Shirts</v>
      </c>
      <c r="D36" s="9" t="str">
        <f aca="false">IF(A36="","",Options!H36)</f>
        <v>Seasonal</v>
      </c>
      <c r="E36" s="12" t="n">
        <f aca="false">SUMIFS('SKU Data'!$E$6:$E$505,'SKU Data'!$B$6:$B$505,$A36)</f>
        <v>244</v>
      </c>
      <c r="F36" s="12" t="n">
        <f aca="false">SUMIFS('SKU Data'!$F$6:$F$505,'SKU Data'!$B$6:$B$505,$A36)</f>
        <v>0</v>
      </c>
      <c r="G36" s="12" t="n">
        <f aca="false">SUMIFS('SKU Data'!$G$6:$G$505,'SKU Data'!$B$6:$B$505,$A36)</f>
        <v>61</v>
      </c>
      <c r="H36" s="12" t="n">
        <f aca="false">N(Options!M36)</f>
        <v>0</v>
      </c>
      <c r="I36" s="12" t="n">
        <f aca="false">SUMIFS('SKU Data'!$H$6:$H$505,'SKU Data'!$B$6:$B$505,$A36)</f>
        <v>7</v>
      </c>
      <c r="J36" s="12" t="n">
        <f aca="false">SUMIFS('SKU Data'!$I$6:$I$505,'SKU Data'!$B$6:$B$505,$A36)</f>
        <v>7</v>
      </c>
      <c r="K36" s="12" t="n">
        <f aca="false">SUMIFS('SKU Data'!$J$6:$J$505,'SKU Data'!$B$6:$B$505,$A36)</f>
        <v>6</v>
      </c>
      <c r="L36" s="12" t="n">
        <f aca="false">SUMIFS('SKU Data'!$K$6:$K$505,'SKU Data'!$B$6:$B$505,$A36)</f>
        <v>7</v>
      </c>
      <c r="M36" s="25" t="n">
        <f aca="false">L36*Settings!$B$10+K36*Settings!$B$11+J36*Settings!$B$12+I36*Settings!$B$13</f>
        <v>6.7</v>
      </c>
      <c r="N36" s="25" t="n">
        <f aca="false">M36*Settings!$B$15</f>
        <v>6.03</v>
      </c>
      <c r="O36" s="12" t="n">
        <f aca="false">SUMIFS('SKU Data'!$L$6:$L$505,'SKU Data'!$B$6:$B$505,$A36)</f>
        <v>183</v>
      </c>
      <c r="P36" s="12" t="n">
        <f aca="false">SUMIFS('SKU Data'!$M$6:$M$505,'SKU Data'!$B$6:$B$505,$A36)</f>
        <v>161</v>
      </c>
      <c r="Q36" s="21" t="n">
        <f aca="false">IFERROR(O36/(E36-F36),0)</f>
        <v>0.75</v>
      </c>
      <c r="R36" s="21" t="n">
        <f aca="false">IFERROR(P36/(E36-F36),0)</f>
        <v>0.659836065573771</v>
      </c>
      <c r="S36" s="26" t="n">
        <f aca="false">IF(N36&lt;=0,IF(G36&gt;0,999,0),G36/N36)</f>
        <v>10.1160862354892</v>
      </c>
      <c r="T36" s="25" t="n">
        <f aca="false">IF(N(Options!L36)&gt;0,Options!L36,Settings!$B$20)</f>
        <v>6</v>
      </c>
      <c r="U36" s="9" t="n">
        <f aca="false">COUNTIFS('SKU Data'!$B$6:$B$505,$A36,'SKU Data'!$D$6:$D$505,"Y")</f>
        <v>3</v>
      </c>
      <c r="V36" s="9" t="n">
        <f aca="false">COUNTIFS('SKU Data'!$B$6:$B$505,$A36,'SKU Data'!$D$6:$D$505,"Y",'SKU Data'!$G$6:$G$505,"&lt;=0")</f>
        <v>0</v>
      </c>
      <c r="W36" s="28" t="str">
        <f aca="false">IF(A36="","",IF(AND(V36&gt;0,G36&gt;0),"Y",""))</f>
        <v/>
      </c>
      <c r="X36" s="9" t="str">
        <f aca="false">IF(A36="","",IF(AND(G36&gt;0,OR(Options!P36="N",Options!Q36="N")),"Y",""))</f>
        <v/>
      </c>
      <c r="Y36" s="9" t="n">
        <f aca="false">IF(AND(A36&lt;&gt;"",U36&gt;0,V36=0,G36&gt;0,Options!P36&lt;&gt;"N",Options!Q36&lt;&gt;"N"),1,0)</f>
        <v>1</v>
      </c>
      <c r="Z36" s="29" t="n">
        <f aca="false">IFERROR((K36+L36)/(I36+J36)-1,0)</f>
        <v>-0.0714285714285714</v>
      </c>
      <c r="AA36" s="9" t="str">
        <f aca="false">IF(A36="","",IF(Q36&gt;=Settings!$B$17,"High","Low"))</f>
        <v>High</v>
      </c>
      <c r="AB36" s="9" t="str">
        <f aca="false">IF(A36="","",IF(S36&lt;IF(D36="End of life",Settings!$B$9,IF(D36="Core",T36,MIN(T36,Settings!$B$9))),"Low",IF(S36&gt;IF(D36="Core",Settings!$B$19,Settings!$B$9+Settings!$B$18),"High","Balanced")))</f>
        <v>High</v>
      </c>
      <c r="AC36" s="28" t="str">
        <f aca="false">IF(A36="","",IF(AW36="Y","Held for a campaign",IF(AA36="High",IF(AB36="Low","Selling and short",IF(AB36="High","Selling, heavy","Selling, covered")),IF(AB36="Low","Slow and short",IF(AB36="High","Slow and heavy","Slow, covered")))))</f>
        <v>Selling, heavy</v>
      </c>
      <c r="AD36" s="9" t="str">
        <f aca="false">IF(A36="","",TRIM(IF(W36="Y","Broken curve. ","")&amp;IF(X36="Y","Hidden from customers. ","")&amp;IF(Options!O36="Y","Promoted. ","")&amp;IF(Options!I36="Y","Range job. ","")&amp;IF(D36="End of life","End of life. ","")&amp;IF(H36&gt;0,"Order due in "&amp;Options!N36&amp;" weeks. ","")&amp;IF(AW36="Y","Held for "&amp;Options!T36&amp;", starts in "&amp;Options!U36&amp;" weeks. ","")&amp;IF(AX36&gt;0,"Covering for "&amp;AX36&amp;" sold-out line(s). ","")))</f>
        <v/>
      </c>
      <c r="AE36" s="9" t="str">
        <f aca="false">IF(A36="","",IF(AW36="Y",IF(AND(N(Options!V36)&gt;0,G36+H36&gt;N(Options!V36)*1.1),Settings!$A$48,Settings!$A$47),IF(X36="Y",Settings!$A$27,IF(AND(W36="Y",D36&lt;&gt;"End of life",AA36="High"),IF(H36&gt;0,Settings!$A$28,Settings!$A$29),IF(AND(W36="Y",D36="End of life"),Settings!$A$30,IF(AC36="Selling and short",IF(D36="End of life",Settings!$A$31,IF(Options!O36="Y",Settings!$A$32,IF(AX36&gt;0,Settings!$A$33,IF(H36&gt;0,IF(N(Options!N36)&lt;=S36,Settings!$A$34,Settings!$A$35),IF(AND(D36&lt;&gt;"Core",T36&gt;=Settings!$B$9),Settings!$A$36,Settings!$A$37))))),IF(AC36="Selling, heavy",IF(D36="Core",Settings!$A$38,Settings!$A$39),IF(AC36="Selling, covered",Settings!$A$40,IF(AC36="Slow and heavy",IF(Options!I36="Y",Settings!$A$41,IF(D36="End of life",Settings!$A$42,Settings!$A$43)),IF(AC36="Slow and short",IF(W36="Y",Settings!$A$44,Settings!$A$45),Settings!$A$46))))))))))</f>
        <v>Hold price for now; set the markdown date</v>
      </c>
      <c r="AF36" s="9" t="str">
        <f aca="false">IF(A36="","",IFERROR(VLOOKUP(AM36,Settings!$A$27:$B$48,2,0),"Assign an owner"))</f>
        <v>Trading Manager</v>
      </c>
      <c r="AG36" s="14" t="n">
        <f aca="false">SUMIFS('SKU Data'!$V$6:$V$505,'SKU Data'!$B$6:$B$505,$A36)</f>
        <v>1390.8</v>
      </c>
      <c r="AH36" s="12" t="n">
        <f aca="false">IF(A36="",0,IF(AW36="Y",IF(N(Options!V36)&gt;0,MAX(0,G36+H36-N(Options!V36)),0),MAX(0,G36+H36-N36*IF(D36="Core",Settings!$B$19,Settings!$B$9))))</f>
        <v>36.88</v>
      </c>
      <c r="AI36" s="14" t="n">
        <f aca="false">IF(OR(A36="",D36="Core"),0,AH36*N(Options!J36)*Settings!$B$21)</f>
        <v>885.12</v>
      </c>
      <c r="AJ36" s="14" t="n">
        <f aca="false">AH36*N(Options!K36)</f>
        <v>840.864</v>
      </c>
      <c r="AK36" s="27" t="n">
        <f aca="false">AZ36*(1-AY36)</f>
        <v>0</v>
      </c>
      <c r="AL36" s="27" t="n">
        <f aca="false">AI36+AK36</f>
        <v>885.12</v>
      </c>
      <c r="AM36" s="9" t="str">
        <f aca="false">IF(A36="","",IF(Options!W36&lt;&gt;"",Options!W36,AE36))</f>
        <v>Hold price for now; set the markdown date</v>
      </c>
      <c r="AN36" s="28" t="n">
        <f aca="false">IF(A36="","",COUNTIF($AR$6:$AR$85,"&gt;"&amp;AR36)+1)</f>
        <v>42</v>
      </c>
      <c r="AO36" s="9" t="str">
        <f aca="false">IF(A36="","",Options!D36)</f>
        <v>Oxford</v>
      </c>
      <c r="AP36" s="9" t="str">
        <f aca="false">IF(A36="","",Options!F36)</f>
        <v>Own brand</v>
      </c>
      <c r="AQ36" s="9" t="n">
        <f aca="false">IF(AND(A36&lt;&gt;"",AW36&lt;&gt;"Y",M36&gt;0,COUNTIF($M$6:$M$85,"&gt;"&amp;M36)&lt;Settings!$B$22),1,0)</f>
        <v>0</v>
      </c>
      <c r="AR36" s="28" t="n">
        <f aca="false">IF(A36="",-1,AL36+ROW()/1000000000)</f>
        <v>885.120000036</v>
      </c>
      <c r="AS36" s="28" t="n">
        <f aca="false">IF(A36="",-1,AK36+ROW()/1000000000)</f>
        <v>3.6E-008</v>
      </c>
      <c r="AT36" s="28" t="n">
        <f aca="false">IF(A36="",-1,AI36+ROW()/1000000000)</f>
        <v>885.120000036</v>
      </c>
      <c r="AU36" s="25" t="n">
        <f aca="false">SUMIFS('SKU Data'!$W$6:$W$505,'SKU Data'!$B$6:$B$505,$A36)</f>
        <v>6.75</v>
      </c>
      <c r="AV36" s="28" t="n">
        <f aca="false">IF(A36="","",COUNTIFS($C$6:$C$85,C36,$M$6:$M$85,"&gt;"&amp;M36)+1)</f>
        <v>13</v>
      </c>
      <c r="AW36" s="9" t="str">
        <f aca="false">IF(A36="","",IF(AND(Options!T36&lt;&gt;"",N(Options!U36)&gt;0),"Y",""))</f>
        <v/>
      </c>
      <c r="AX36" s="9" t="n">
        <f aca="false">IF(A36="",0,COUNTIFS(Options!$R$6:$R$85,$A36,$V$6:$V$85,"&gt;0"))</f>
        <v>0</v>
      </c>
      <c r="AY36" s="13" t="n">
        <f aca="false">IF(Options!S36&lt;&gt;"",Options!S36,Settings!$B$23)</f>
        <v>0.3</v>
      </c>
      <c r="AZ36" s="14" t="n">
        <f aca="false">SUMIFS('SKU Data'!$U$6:$U$505,'SKU Data'!$B$6:$B$505,$A36)</f>
        <v>0</v>
      </c>
    </row>
    <row r="37" customFormat="false" ht="15" hidden="false" customHeight="false" outlineLevel="0" collapsed="false">
      <c r="A37" s="9" t="str">
        <f aca="false">IF(Options!A37="","",Options!A37)</f>
        <v>OPT032</v>
      </c>
      <c r="B37" s="9" t="str">
        <f aca="false">IF(A37="","",Options!B37&amp;" "&amp;Options!C37)</f>
        <v>Flannel shirt Sand</v>
      </c>
      <c r="C37" s="9" t="str">
        <f aca="false">IF(A37="","",Options!E37)</f>
        <v>Shirts</v>
      </c>
      <c r="D37" s="9" t="str">
        <f aca="false">IF(A37="","",Options!H37)</f>
        <v>Core</v>
      </c>
      <c r="E37" s="12" t="n">
        <f aca="false">SUMIFS('SKU Data'!$E$6:$E$505,'SKU Data'!$B$6:$B$505,$A37)</f>
        <v>296</v>
      </c>
      <c r="F37" s="12" t="n">
        <f aca="false">SUMIFS('SKU Data'!$F$6:$F$505,'SKU Data'!$B$6:$B$505,$A37)</f>
        <v>0</v>
      </c>
      <c r="G37" s="12" t="n">
        <f aca="false">SUMIFS('SKU Data'!$G$6:$G$505,'SKU Data'!$B$6:$B$505,$A37)</f>
        <v>62</v>
      </c>
      <c r="H37" s="12" t="n">
        <f aca="false">N(Options!M37)</f>
        <v>0</v>
      </c>
      <c r="I37" s="12" t="n">
        <f aca="false">SUMIFS('SKU Data'!$H$6:$H$505,'SKU Data'!$B$6:$B$505,$A37)</f>
        <v>11</v>
      </c>
      <c r="J37" s="12" t="n">
        <f aca="false">SUMIFS('SKU Data'!$I$6:$I$505,'SKU Data'!$B$6:$B$505,$A37)</f>
        <v>11</v>
      </c>
      <c r="K37" s="12" t="n">
        <f aca="false">SUMIFS('SKU Data'!$J$6:$J$505,'SKU Data'!$B$6:$B$505,$A37)</f>
        <v>13</v>
      </c>
      <c r="L37" s="12" t="n">
        <f aca="false">SUMIFS('SKU Data'!$K$6:$K$505,'SKU Data'!$B$6:$B$505,$A37)</f>
        <v>12</v>
      </c>
      <c r="M37" s="25" t="n">
        <f aca="false">L37*Settings!$B$10+K37*Settings!$B$11+J37*Settings!$B$12+I37*Settings!$B$13</f>
        <v>12</v>
      </c>
      <c r="N37" s="25" t="n">
        <f aca="false">M37*Settings!$B$15</f>
        <v>10.8</v>
      </c>
      <c r="O37" s="12" t="n">
        <f aca="false">SUMIFS('SKU Data'!$L$6:$L$505,'SKU Data'!$B$6:$B$505,$A37)</f>
        <v>234</v>
      </c>
      <c r="P37" s="12" t="n">
        <f aca="false">SUMIFS('SKU Data'!$M$6:$M$505,'SKU Data'!$B$6:$B$505,$A37)</f>
        <v>204</v>
      </c>
      <c r="Q37" s="21" t="n">
        <f aca="false">IFERROR(O37/(E37-F37),0)</f>
        <v>0.790540540540541</v>
      </c>
      <c r="R37" s="21" t="n">
        <f aca="false">IFERROR(P37/(E37-F37),0)</f>
        <v>0.689189189189189</v>
      </c>
      <c r="S37" s="26" t="n">
        <f aca="false">IF(N37&lt;=0,IF(G37&gt;0,999,0),G37/N37)</f>
        <v>5.74074074074074</v>
      </c>
      <c r="T37" s="25" t="n">
        <f aca="false">IF(N(Options!L37)&gt;0,Options!L37,Settings!$B$20)</f>
        <v>6</v>
      </c>
      <c r="U37" s="9" t="n">
        <f aca="false">COUNTIFS('SKU Data'!$B$6:$B$505,$A37,'SKU Data'!$D$6:$D$505,"Y")</f>
        <v>3</v>
      </c>
      <c r="V37" s="9" t="n">
        <f aca="false">COUNTIFS('SKU Data'!$B$6:$B$505,$A37,'SKU Data'!$D$6:$D$505,"Y",'SKU Data'!$G$6:$G$505,"&lt;=0")</f>
        <v>0</v>
      </c>
      <c r="W37" s="28" t="str">
        <f aca="false">IF(A37="","",IF(AND(V37&gt;0,G37&gt;0),"Y",""))</f>
        <v/>
      </c>
      <c r="X37" s="9" t="str">
        <f aca="false">IF(A37="","",IF(AND(G37&gt;0,OR(Options!P37="N",Options!Q37="N")),"Y",""))</f>
        <v/>
      </c>
      <c r="Y37" s="9" t="n">
        <f aca="false">IF(AND(A37&lt;&gt;"",U37&gt;0,V37=0,G37&gt;0,Options!P37&lt;&gt;"N",Options!Q37&lt;&gt;"N"),1,0)</f>
        <v>1</v>
      </c>
      <c r="Z37" s="29" t="n">
        <f aca="false">IFERROR((K37+L37)/(I37+J37)-1,0)</f>
        <v>0.136363636363636</v>
      </c>
      <c r="AA37" s="9" t="str">
        <f aca="false">IF(A37="","",IF(Q37&gt;=Settings!$B$17,"High","Low"))</f>
        <v>High</v>
      </c>
      <c r="AB37" s="9" t="str">
        <f aca="false">IF(A37="","",IF(S37&lt;IF(D37="End of life",Settings!$B$9,IF(D37="Core",T37,MIN(T37,Settings!$B$9))),"Low",IF(S37&gt;IF(D37="Core",Settings!$B$19,Settings!$B$9+Settings!$B$18),"High","Balanced")))</f>
        <v>Low</v>
      </c>
      <c r="AC37" s="28" t="str">
        <f aca="false">IF(A37="","",IF(AW37="Y","Held for a campaign",IF(AA37="High",IF(AB37="Low","Selling and short",IF(AB37="High","Selling, heavy","Selling, covered")),IF(AB37="Low","Slow and short",IF(AB37="High","Slow and heavy","Slow, covered")))))</f>
        <v>Selling and short</v>
      </c>
      <c r="AD37" s="9" t="str">
        <f aca="false">IF(A37="","",TRIM(IF(W37="Y","Broken curve. ","")&amp;IF(X37="Y","Hidden from customers. ","")&amp;IF(Options!O37="Y","Promoted. ","")&amp;IF(Options!I37="Y","Range job. ","")&amp;IF(D37="End of life","End of life. ","")&amp;IF(H37&gt;0,"Order due in "&amp;Options!N37&amp;" weeks. ","")&amp;IF(AW37="Y","Held for "&amp;Options!T37&amp;", starts in "&amp;Options!U37&amp;" weeks. ","")&amp;IF(AX37&gt;0,"Covering for "&amp;AX37&amp;" sold-out line(s). ","")))</f>
        <v/>
      </c>
      <c r="AE37" s="9" t="str">
        <f aca="false">IF(A37="","",IF(AW37="Y",IF(AND(N(Options!V37)&gt;0,G37+H37&gt;N(Options!V37)*1.1),Settings!$A$48,Settings!$A$47),IF(X37="Y",Settings!$A$27,IF(AND(W37="Y",D37&lt;&gt;"End of life",AA37="High"),IF(H37&gt;0,Settings!$A$28,Settings!$A$29),IF(AND(W37="Y",D37="End of life"),Settings!$A$30,IF(AC37="Selling and short",IF(D37="End of life",Settings!$A$31,IF(Options!O37="Y",Settings!$A$32,IF(AX37&gt;0,Settings!$A$33,IF(H37&gt;0,IF(N(Options!N37)&lt;=S37,Settings!$A$34,Settings!$A$35),IF(AND(D37&lt;&gt;"Core",T37&gt;=Settings!$B$9),Settings!$A$36,Settings!$A$37))))),IF(AC37="Selling, heavy",IF(D37="Core",Settings!$A$38,Settings!$A$39),IF(AC37="Selling, covered",Settings!$A$40,IF(AC37="Slow and heavy",IF(Options!I37="Y",Settings!$A$41,IF(D37="End of life",Settings!$A$42,Settings!$A$43)),IF(AC37="Slow and short",IF(W37="Y",Settings!$A$44,Settings!$A$45),Settings!$A$46))))))))))</f>
        <v>Reorder</v>
      </c>
      <c r="AF37" s="9" t="str">
        <f aca="false">IF(A37="","",IFERROR(VLOOKUP(AM37,Settings!$A$27:$B$48,2,0),"Assign an owner"))</f>
        <v>Merchandiser</v>
      </c>
      <c r="AG37" s="14" t="n">
        <f aca="false">SUMIFS('SKU Data'!$V$6:$V$505,'SKU Data'!$B$6:$B$505,$A37)</f>
        <v>1413.6</v>
      </c>
      <c r="AH37" s="12" t="n">
        <f aca="false">IF(A37="",0,IF(AW37="Y",IF(N(Options!V37)&gt;0,MAX(0,G37+H37-N(Options!V37)),0),MAX(0,G37+H37-N37*IF(D37="Core",Settings!$B$19,Settings!$B$9))))</f>
        <v>0</v>
      </c>
      <c r="AI37" s="14" t="n">
        <f aca="false">IF(OR(A37="",D37="Core"),0,AH37*N(Options!J37)*Settings!$B$21)</f>
        <v>0</v>
      </c>
      <c r="AJ37" s="14" t="n">
        <f aca="false">AH37*N(Options!K37)</f>
        <v>0</v>
      </c>
      <c r="AK37" s="27" t="n">
        <f aca="false">AZ37*(1-AY37)</f>
        <v>0</v>
      </c>
      <c r="AL37" s="27" t="n">
        <f aca="false">AI37+AK37</f>
        <v>0</v>
      </c>
      <c r="AM37" s="9" t="str">
        <f aca="false">IF(A37="","",IF(Options!W37&lt;&gt;"",Options!W37,AE37))</f>
        <v>Reorder</v>
      </c>
      <c r="AN37" s="28" t="n">
        <f aca="false">IF(A37="","",COUNTIF($AR$6:$AR$85,"&gt;"&amp;AR37)+1)</f>
        <v>55</v>
      </c>
      <c r="AO37" s="9" t="str">
        <f aca="false">IF(A37="","",Options!D37)</f>
        <v>Flannel</v>
      </c>
      <c r="AP37" s="9" t="str">
        <f aca="false">IF(A37="","",Options!F37)</f>
        <v>Own brand</v>
      </c>
      <c r="AQ37" s="9" t="n">
        <f aca="false">IF(AND(A37&lt;&gt;"",AW37&lt;&gt;"Y",M37&gt;0,COUNTIF($M$6:$M$85,"&gt;"&amp;M37)&lt;Settings!$B$22),1,0)</f>
        <v>0</v>
      </c>
      <c r="AR37" s="28" t="n">
        <f aca="false">IF(A37="",-1,AL37+ROW()/1000000000)</f>
        <v>3.7E-008</v>
      </c>
      <c r="AS37" s="28" t="n">
        <f aca="false">IF(A37="",-1,AK37+ROW()/1000000000)</f>
        <v>3.7E-008</v>
      </c>
      <c r="AT37" s="28" t="n">
        <f aca="false">IF(A37="",-1,AI37+ROW()/1000000000)</f>
        <v>3.7E-008</v>
      </c>
      <c r="AU37" s="25" t="n">
        <f aca="false">SUMIFS('SKU Data'!$W$6:$W$505,'SKU Data'!$B$6:$B$505,$A37)</f>
        <v>11.75</v>
      </c>
      <c r="AV37" s="28" t="n">
        <f aca="false">IF(A37="","",COUNTIFS($C$6:$C$85,C37,$M$6:$M$85,"&gt;"&amp;M37)+1)</f>
        <v>11</v>
      </c>
      <c r="AW37" s="9" t="str">
        <f aca="false">IF(A37="","",IF(AND(Options!T37&lt;&gt;"",N(Options!U37)&gt;0),"Y",""))</f>
        <v/>
      </c>
      <c r="AX37" s="9" t="n">
        <f aca="false">IF(A37="",0,COUNTIFS(Options!$R$6:$R$85,$A37,$V$6:$V$85,"&gt;0"))</f>
        <v>0</v>
      </c>
      <c r="AY37" s="13" t="n">
        <f aca="false">IF(Options!S37&lt;&gt;"",Options!S37,Settings!$B$23)</f>
        <v>0.3</v>
      </c>
      <c r="AZ37" s="14" t="n">
        <f aca="false">SUMIFS('SKU Data'!$U$6:$U$505,'SKU Data'!$B$6:$B$505,$A37)</f>
        <v>0</v>
      </c>
    </row>
    <row r="38" customFormat="false" ht="15" hidden="false" customHeight="false" outlineLevel="0" collapsed="false">
      <c r="A38" s="9" t="str">
        <f aca="false">IF(Options!A38="","",Options!A38)</f>
        <v>OPT033</v>
      </c>
      <c r="B38" s="9" t="str">
        <f aca="false">IF(A38="","",Options!B38&amp;" "&amp;Options!C38)</f>
        <v>Oxford shirt Teal</v>
      </c>
      <c r="C38" s="9" t="str">
        <f aca="false">IF(A38="","",Options!E38)</f>
        <v>Shirts</v>
      </c>
      <c r="D38" s="9" t="str">
        <f aca="false">IF(A38="","",Options!H38)</f>
        <v>Seasonal</v>
      </c>
      <c r="E38" s="12" t="n">
        <f aca="false">SUMIFS('SKU Data'!$E$6:$E$505,'SKU Data'!$B$6:$B$505,$A38)</f>
        <v>587</v>
      </c>
      <c r="F38" s="12" t="n">
        <f aca="false">SUMIFS('SKU Data'!$F$6:$F$505,'SKU Data'!$B$6:$B$505,$A38)</f>
        <v>0</v>
      </c>
      <c r="G38" s="12" t="n">
        <f aca="false">SUMIFS('SKU Data'!$G$6:$G$505,'SKU Data'!$B$6:$B$505,$A38)</f>
        <v>133</v>
      </c>
      <c r="H38" s="12" t="n">
        <f aca="false">N(Options!M38)</f>
        <v>0</v>
      </c>
      <c r="I38" s="12" t="n">
        <f aca="false">SUMIFS('SKU Data'!$H$6:$H$505,'SKU Data'!$B$6:$B$505,$A38)</f>
        <v>19</v>
      </c>
      <c r="J38" s="12" t="n">
        <f aca="false">SUMIFS('SKU Data'!$I$6:$I$505,'SKU Data'!$B$6:$B$505,$A38)</f>
        <v>20</v>
      </c>
      <c r="K38" s="12" t="n">
        <f aca="false">SUMIFS('SKU Data'!$J$6:$J$505,'SKU Data'!$B$6:$B$505,$A38)</f>
        <v>22</v>
      </c>
      <c r="L38" s="12" t="n">
        <f aca="false">SUMIFS('SKU Data'!$K$6:$K$505,'SKU Data'!$B$6:$B$505,$A38)</f>
        <v>20</v>
      </c>
      <c r="M38" s="25" t="n">
        <f aca="false">L38*Settings!$B$10+K38*Settings!$B$11+J38*Settings!$B$12+I38*Settings!$B$13</f>
        <v>20.5</v>
      </c>
      <c r="N38" s="25" t="n">
        <f aca="false">M38*Settings!$B$15</f>
        <v>18.45</v>
      </c>
      <c r="O38" s="12" t="n">
        <f aca="false">SUMIFS('SKU Data'!$L$6:$L$505,'SKU Data'!$B$6:$B$505,$A38)</f>
        <v>454</v>
      </c>
      <c r="P38" s="12" t="n">
        <f aca="false">SUMIFS('SKU Data'!$M$6:$M$505,'SKU Data'!$B$6:$B$505,$A38)</f>
        <v>400</v>
      </c>
      <c r="Q38" s="21" t="n">
        <f aca="false">IFERROR(O38/(E38-F38),0)</f>
        <v>0.773424190800682</v>
      </c>
      <c r="R38" s="21" t="n">
        <f aca="false">IFERROR(P38/(E38-F38),0)</f>
        <v>0.681431005110733</v>
      </c>
      <c r="S38" s="26" t="n">
        <f aca="false">IF(N38&lt;=0,IF(G38&gt;0,999,0),G38/N38)</f>
        <v>7.20867208672087</v>
      </c>
      <c r="T38" s="25" t="n">
        <f aca="false">IF(N(Options!L38)&gt;0,Options!L38,Settings!$B$20)</f>
        <v>6</v>
      </c>
      <c r="U38" s="9" t="n">
        <f aca="false">COUNTIFS('SKU Data'!$B$6:$B$505,$A38,'SKU Data'!$D$6:$D$505,"Y")</f>
        <v>3</v>
      </c>
      <c r="V38" s="9" t="n">
        <f aca="false">COUNTIFS('SKU Data'!$B$6:$B$505,$A38,'SKU Data'!$D$6:$D$505,"Y",'SKU Data'!$G$6:$G$505,"&lt;=0")</f>
        <v>0</v>
      </c>
      <c r="W38" s="28" t="str">
        <f aca="false">IF(A38="","",IF(AND(V38&gt;0,G38&gt;0),"Y",""))</f>
        <v/>
      </c>
      <c r="X38" s="9" t="str">
        <f aca="false">IF(A38="","",IF(AND(G38&gt;0,OR(Options!P38="N",Options!Q38="N")),"Y",""))</f>
        <v/>
      </c>
      <c r="Y38" s="9" t="n">
        <f aca="false">IF(AND(A38&lt;&gt;"",U38&gt;0,V38=0,G38&gt;0,Options!P38&lt;&gt;"N",Options!Q38&lt;&gt;"N"),1,0)</f>
        <v>1</v>
      </c>
      <c r="Z38" s="29" t="n">
        <f aca="false">IFERROR((K38+L38)/(I38+J38)-1,0)</f>
        <v>0.0769230769230769</v>
      </c>
      <c r="AA38" s="9" t="str">
        <f aca="false">IF(A38="","",IF(Q38&gt;=Settings!$B$17,"High","Low"))</f>
        <v>High</v>
      </c>
      <c r="AB38" s="9" t="str">
        <f aca="false">IF(A38="","",IF(S38&lt;IF(D38="End of life",Settings!$B$9,IF(D38="Core",T38,MIN(T38,Settings!$B$9))),"Low",IF(S38&gt;IF(D38="Core",Settings!$B$19,Settings!$B$9+Settings!$B$18),"High","Balanced")))</f>
        <v>Balanced</v>
      </c>
      <c r="AC38" s="28" t="str">
        <f aca="false">IF(A38="","",IF(AW38="Y","Held for a campaign",IF(AA38="High",IF(AB38="Low","Selling and short",IF(AB38="High","Selling, heavy","Selling, covered")),IF(AB38="Low","Slow and short",IF(AB38="High","Slow and heavy","Slow, covered")))))</f>
        <v>Selling, covered</v>
      </c>
      <c r="AD38" s="9" t="str">
        <f aca="false">IF(A38="","",TRIM(IF(W38="Y","Broken curve. ","")&amp;IF(X38="Y","Hidden from customers. ","")&amp;IF(Options!O38="Y","Promoted. ","")&amp;IF(Options!I38="Y","Range job. ","")&amp;IF(D38="End of life","End of life. ","")&amp;IF(H38&gt;0,"Order due in "&amp;Options!N38&amp;" weeks. ","")&amp;IF(AW38="Y","Held for "&amp;Options!T38&amp;", starts in "&amp;Options!U38&amp;" weeks. ","")&amp;IF(AX38&gt;0,"Covering for "&amp;AX38&amp;" sold-out line(s). ","")))</f>
        <v/>
      </c>
      <c r="AE38" s="9" t="str">
        <f aca="false">IF(A38="","",IF(AW38="Y",IF(AND(N(Options!V38)&gt;0,G38+H38&gt;N(Options!V38)*1.1),Settings!$A$48,Settings!$A$47),IF(X38="Y",Settings!$A$27,IF(AND(W38="Y",D38&lt;&gt;"End of life",AA38="High"),IF(H38&gt;0,Settings!$A$28,Settings!$A$29),IF(AND(W38="Y",D38="End of life"),Settings!$A$30,IF(AC38="Selling and short",IF(D38="End of life",Settings!$A$31,IF(Options!O38="Y",Settings!$A$32,IF(AX38&gt;0,Settings!$A$33,IF(H38&gt;0,IF(N(Options!N38)&lt;=S38,Settings!$A$34,Settings!$A$35),IF(AND(D38&lt;&gt;"Core",T38&gt;=Settings!$B$9),Settings!$A$36,Settings!$A$37))))),IF(AC38="Selling, heavy",IF(D38="Core",Settings!$A$38,Settings!$A$39),IF(AC38="Selling, covered",Settings!$A$40,IF(AC38="Slow and heavy",IF(Options!I38="Y",Settings!$A$41,IF(D38="End of life",Settings!$A$42,Settings!$A$43)),IF(AC38="Slow and short",IF(W38="Y",Settings!$A$44,Settings!$A$45),Settings!$A$46))))))))))</f>
        <v>Hold</v>
      </c>
      <c r="AF38" s="9" t="str">
        <f aca="false">IF(A38="","",IFERROR(VLOOKUP(AM38,Settings!$A$27:$B$48,2,0),"Assign an owner"))</f>
        <v>Merchandiser</v>
      </c>
      <c r="AG38" s="14" t="n">
        <f aca="false">SUMIFS('SKU Data'!$V$6:$V$505,'SKU Data'!$B$6:$B$505,$A38)</f>
        <v>3032.4</v>
      </c>
      <c r="AH38" s="12" t="n">
        <f aca="false">IF(A38="",0,IF(AW38="Y",IF(N(Options!V38)&gt;0,MAX(0,G38+H38-N(Options!V38)),0),MAX(0,G38+H38-N38*IF(D38="Core",Settings!$B$19,Settings!$B$9))))</f>
        <v>59.2</v>
      </c>
      <c r="AI38" s="14" t="n">
        <f aca="false">IF(OR(A38="",D38="Core"),0,AH38*N(Options!J38)*Settings!$B$21)</f>
        <v>1420.8</v>
      </c>
      <c r="AJ38" s="14" t="n">
        <f aca="false">AH38*N(Options!K38)</f>
        <v>1349.76</v>
      </c>
      <c r="AK38" s="27" t="n">
        <f aca="false">AZ38*(1-AY38)</f>
        <v>0</v>
      </c>
      <c r="AL38" s="27" t="n">
        <f aca="false">AI38+AK38</f>
        <v>1420.8</v>
      </c>
      <c r="AM38" s="9" t="str">
        <f aca="false">IF(A38="","",IF(Options!W38&lt;&gt;"",Options!W38,AE38))</f>
        <v>Hold</v>
      </c>
      <c r="AN38" s="28" t="n">
        <f aca="false">IF(A38="","",COUNTIF($AR$6:$AR$85,"&gt;"&amp;AR38)+1)</f>
        <v>38</v>
      </c>
      <c r="AO38" s="9" t="str">
        <f aca="false">IF(A38="","",Options!D38)</f>
        <v>Oxford</v>
      </c>
      <c r="AP38" s="9" t="str">
        <f aca="false">IF(A38="","",Options!F38)</f>
        <v>Own brand</v>
      </c>
      <c r="AQ38" s="9" t="n">
        <f aca="false">IF(AND(A38&lt;&gt;"",AW38&lt;&gt;"Y",M38&gt;0,COUNTIF($M$6:$M$85,"&gt;"&amp;M38)&lt;Settings!$B$22),1,0)</f>
        <v>1</v>
      </c>
      <c r="AR38" s="28" t="n">
        <f aca="false">IF(A38="",-1,AL38+ROW()/1000000000)</f>
        <v>1420.800000038</v>
      </c>
      <c r="AS38" s="28" t="n">
        <f aca="false">IF(A38="",-1,AK38+ROW()/1000000000)</f>
        <v>3.8E-008</v>
      </c>
      <c r="AT38" s="28" t="n">
        <f aca="false">IF(A38="",-1,AI38+ROW()/1000000000)</f>
        <v>1420.800000038</v>
      </c>
      <c r="AU38" s="25" t="n">
        <f aca="false">SUMIFS('SKU Data'!$W$6:$W$505,'SKU Data'!$B$6:$B$505,$A38)</f>
        <v>20.25</v>
      </c>
      <c r="AV38" s="28" t="n">
        <f aca="false">IF(A38="","",COUNTIFS($C$6:$C$85,C38,$M$6:$M$85,"&gt;"&amp;M38)+1)</f>
        <v>3</v>
      </c>
      <c r="AW38" s="9" t="str">
        <f aca="false">IF(A38="","",IF(AND(Options!T38&lt;&gt;"",N(Options!U38)&gt;0),"Y",""))</f>
        <v/>
      </c>
      <c r="AX38" s="9" t="n">
        <f aca="false">IF(A38="",0,COUNTIFS(Options!$R$6:$R$85,$A38,$V$6:$V$85,"&gt;0"))</f>
        <v>0</v>
      </c>
      <c r="AY38" s="13" t="n">
        <f aca="false">IF(Options!S38&lt;&gt;"",Options!S38,Settings!$B$23)</f>
        <v>0.3</v>
      </c>
      <c r="AZ38" s="14" t="n">
        <f aca="false">SUMIFS('SKU Data'!$U$6:$U$505,'SKU Data'!$B$6:$B$505,$A38)</f>
        <v>0</v>
      </c>
    </row>
    <row r="39" customFormat="false" ht="15" hidden="false" customHeight="false" outlineLevel="0" collapsed="false">
      <c r="A39" s="9" t="str">
        <f aca="false">IF(Options!A39="","",Options!A39)</f>
        <v>OPT034</v>
      </c>
      <c r="B39" s="9" t="str">
        <f aca="false">IF(A39="","",Options!B39&amp;" "&amp;Options!C39)</f>
        <v>Flannel shirt Mustard</v>
      </c>
      <c r="C39" s="9" t="str">
        <f aca="false">IF(A39="","",Options!E39)</f>
        <v>Shirts</v>
      </c>
      <c r="D39" s="9" t="str">
        <f aca="false">IF(A39="","",Options!H39)</f>
        <v>Seasonal</v>
      </c>
      <c r="E39" s="12" t="n">
        <f aca="false">SUMIFS('SKU Data'!$E$6:$E$505,'SKU Data'!$B$6:$B$505,$A39)</f>
        <v>1341</v>
      </c>
      <c r="F39" s="12" t="n">
        <f aca="false">SUMIFS('SKU Data'!$F$6:$F$505,'SKU Data'!$B$6:$B$505,$A39)</f>
        <v>0</v>
      </c>
      <c r="G39" s="12" t="n">
        <f aca="false">SUMIFS('SKU Data'!$G$6:$G$505,'SKU Data'!$B$6:$B$505,$A39)</f>
        <v>826</v>
      </c>
      <c r="H39" s="12" t="n">
        <f aca="false">N(Options!M39)</f>
        <v>0</v>
      </c>
      <c r="I39" s="12" t="n">
        <f aca="false">SUMIFS('SKU Data'!$H$6:$H$505,'SKU Data'!$B$6:$B$505,$A39)</f>
        <v>14</v>
      </c>
      <c r="J39" s="12" t="n">
        <f aca="false">SUMIFS('SKU Data'!$I$6:$I$505,'SKU Data'!$B$6:$B$505,$A39)</f>
        <v>17</v>
      </c>
      <c r="K39" s="12" t="n">
        <f aca="false">SUMIFS('SKU Data'!$J$6:$J$505,'SKU Data'!$B$6:$B$505,$A39)</f>
        <v>18</v>
      </c>
      <c r="L39" s="12" t="n">
        <f aca="false">SUMIFS('SKU Data'!$K$6:$K$505,'SKU Data'!$B$6:$B$505,$A39)</f>
        <v>18</v>
      </c>
      <c r="M39" s="25" t="n">
        <f aca="false">L39*Settings!$B$10+K39*Settings!$B$11+J39*Settings!$B$12+I39*Settings!$B$13</f>
        <v>17.4</v>
      </c>
      <c r="N39" s="25" t="n">
        <f aca="false">M39*Settings!$B$15</f>
        <v>15.66</v>
      </c>
      <c r="O39" s="12" t="n">
        <f aca="false">SUMIFS('SKU Data'!$L$6:$L$505,'SKU Data'!$B$6:$B$505,$A39)</f>
        <v>515</v>
      </c>
      <c r="P39" s="12" t="n">
        <f aca="false">SUMIFS('SKU Data'!$M$6:$M$505,'SKU Data'!$B$6:$B$505,$A39)</f>
        <v>308</v>
      </c>
      <c r="Q39" s="21" t="n">
        <f aca="false">IFERROR(O39/(E39-F39),0)</f>
        <v>0.384041759880686</v>
      </c>
      <c r="R39" s="21" t="n">
        <f aca="false">IFERROR(P39/(E39-F39),0)</f>
        <v>0.229679343773304</v>
      </c>
      <c r="S39" s="26" t="n">
        <f aca="false">IF(N39&lt;=0,IF(G39&gt;0,999,0),G39/N39)</f>
        <v>52.7458492975734</v>
      </c>
      <c r="T39" s="25" t="n">
        <f aca="false">IF(N(Options!L39)&gt;0,Options!L39,Settings!$B$20)</f>
        <v>8</v>
      </c>
      <c r="U39" s="9" t="n">
        <f aca="false">COUNTIFS('SKU Data'!$B$6:$B$505,$A39,'SKU Data'!$D$6:$D$505,"Y")</f>
        <v>3</v>
      </c>
      <c r="V39" s="9" t="n">
        <f aca="false">COUNTIFS('SKU Data'!$B$6:$B$505,$A39,'SKU Data'!$D$6:$D$505,"Y",'SKU Data'!$G$6:$G$505,"&lt;=0")</f>
        <v>0</v>
      </c>
      <c r="W39" s="28" t="str">
        <f aca="false">IF(A39="","",IF(AND(V39&gt;0,G39&gt;0),"Y",""))</f>
        <v/>
      </c>
      <c r="X39" s="9" t="str">
        <f aca="false">IF(A39="","",IF(AND(G39&gt;0,OR(Options!P39="N",Options!Q39="N")),"Y",""))</f>
        <v/>
      </c>
      <c r="Y39" s="9" t="n">
        <f aca="false">IF(AND(A39&lt;&gt;"",U39&gt;0,V39=0,G39&gt;0,Options!P39&lt;&gt;"N",Options!Q39&lt;&gt;"N"),1,0)</f>
        <v>1</v>
      </c>
      <c r="Z39" s="29" t="n">
        <f aca="false">IFERROR((K39+L39)/(I39+J39)-1,0)</f>
        <v>0.161290322580645</v>
      </c>
      <c r="AA39" s="9" t="str">
        <f aca="false">IF(A39="","",IF(Q39&gt;=Settings!$B$17,"High","Low"))</f>
        <v>Low</v>
      </c>
      <c r="AB39" s="9" t="str">
        <f aca="false">IF(A39="","",IF(S39&lt;IF(D39="End of life",Settings!$B$9,IF(D39="Core",T39,MIN(T39,Settings!$B$9))),"Low",IF(S39&gt;IF(D39="Core",Settings!$B$19,Settings!$B$9+Settings!$B$18),"High","Balanced")))</f>
        <v>High</v>
      </c>
      <c r="AC39" s="28" t="str">
        <f aca="false">IF(A39="","",IF(AW39="Y","Held for a campaign",IF(AA39="High",IF(AB39="Low","Selling and short",IF(AB39="High","Selling, heavy","Selling, covered")),IF(AB39="Low","Slow and short",IF(AB39="High","Slow and heavy","Slow, covered")))))</f>
        <v>Slow and heavy</v>
      </c>
      <c r="AD39" s="9" t="str">
        <f aca="false">IF(A39="","",TRIM(IF(W39="Y","Broken curve. ","")&amp;IF(X39="Y","Hidden from customers. ","")&amp;IF(Options!O39="Y","Promoted. ","")&amp;IF(Options!I39="Y","Range job. ","")&amp;IF(D39="End of life","End of life. ","")&amp;IF(H39&gt;0,"Order due in "&amp;Options!N39&amp;" weeks. ","")&amp;IF(AW39="Y","Held for "&amp;Options!T39&amp;", starts in "&amp;Options!U39&amp;" weeks. ","")&amp;IF(AX39&gt;0,"Covering for "&amp;AX39&amp;" sold-out line(s). ","")))</f>
        <v/>
      </c>
      <c r="AE39" s="9" t="str">
        <f aca="false">IF(A39="","",IF(AW39="Y",IF(AND(N(Options!V39)&gt;0,G39+H39&gt;N(Options!V39)*1.1),Settings!$A$48,Settings!$A$47),IF(X39="Y",Settings!$A$27,IF(AND(W39="Y",D39&lt;&gt;"End of life",AA39="High"),IF(H39&gt;0,Settings!$A$28,Settings!$A$29),IF(AND(W39="Y",D39="End of life"),Settings!$A$30,IF(AC39="Selling and short",IF(D39="End of life",Settings!$A$31,IF(Options!O39="Y",Settings!$A$32,IF(AX39&gt;0,Settings!$A$33,IF(H39&gt;0,IF(N(Options!N39)&lt;=S39,Settings!$A$34,Settings!$A$35),IF(AND(D39&lt;&gt;"Core",T39&gt;=Settings!$B$9),Settings!$A$36,Settings!$A$37))))),IF(AC39="Selling, heavy",IF(D39="Core",Settings!$A$38,Settings!$A$39),IF(AC39="Selling, covered",Settings!$A$40,IF(AC39="Slow and heavy",IF(Options!I39="Y",Settings!$A$41,IF(D39="End of life",Settings!$A$42,Settings!$A$43)),IF(AC39="Slow and short",IF(W39="Y",Settings!$A$44,Settings!$A$45),Settings!$A$46))))))))))</f>
        <v>Mark down or re-merchandise</v>
      </c>
      <c r="AF39" s="9" t="str">
        <f aca="false">IF(A39="","",IFERROR(VLOOKUP(AM39,Settings!$A$27:$B$48,2,0),"Assign an owner"))</f>
        <v>Trading Manager</v>
      </c>
      <c r="AG39" s="14" t="n">
        <f aca="false">SUMIFS('SKU Data'!$V$6:$V$505,'SKU Data'!$B$6:$B$505,$A39)</f>
        <v>17263.4</v>
      </c>
      <c r="AH39" s="12" t="n">
        <f aca="false">IF(A39="",0,IF(AW39="Y",IF(N(Options!V39)&gt;0,MAX(0,G39+H39-N(Options!V39)),0),MAX(0,G39+H39-N39*IF(D39="Core",Settings!$B$19,Settings!$B$9))))</f>
        <v>763.36</v>
      </c>
      <c r="AI39" s="14" t="n">
        <f aca="false">IF(OR(A39="",D39="Core"),0,AH39*N(Options!J39)*Settings!$B$21)</f>
        <v>16793.92</v>
      </c>
      <c r="AJ39" s="14" t="n">
        <f aca="false">AH39*N(Options!K39)</f>
        <v>15954.224</v>
      </c>
      <c r="AK39" s="27" t="n">
        <f aca="false">AZ39*(1-AY39)</f>
        <v>0</v>
      </c>
      <c r="AL39" s="27" t="n">
        <f aca="false">AI39+AK39</f>
        <v>16793.92</v>
      </c>
      <c r="AM39" s="9" t="str">
        <f aca="false">IF(A39="","",IF(Options!W39&lt;&gt;"",Options!W39,AE39))</f>
        <v>Mark down or re-merchandise</v>
      </c>
      <c r="AN39" s="28" t="n">
        <f aca="false">IF(A39="","",COUNTIF($AR$6:$AR$85,"&gt;"&amp;AR39)+1)</f>
        <v>11</v>
      </c>
      <c r="AO39" s="9" t="str">
        <f aca="false">IF(A39="","",Options!D39)</f>
        <v>Flannel</v>
      </c>
      <c r="AP39" s="9" t="str">
        <f aca="false">IF(A39="","",Options!F39)</f>
        <v>Own brand</v>
      </c>
      <c r="AQ39" s="9" t="n">
        <f aca="false">IF(AND(A39&lt;&gt;"",AW39&lt;&gt;"Y",M39&gt;0,COUNTIF($M$6:$M$85,"&gt;"&amp;M39)&lt;Settings!$B$22),1,0)</f>
        <v>1</v>
      </c>
      <c r="AR39" s="28" t="n">
        <f aca="false">IF(A39="",-1,AL39+ROW()/1000000000)</f>
        <v>16793.920000039</v>
      </c>
      <c r="AS39" s="28" t="n">
        <f aca="false">IF(A39="",-1,AK39+ROW()/1000000000)</f>
        <v>3.9E-008</v>
      </c>
      <c r="AT39" s="28" t="n">
        <f aca="false">IF(A39="",-1,AI39+ROW()/1000000000)</f>
        <v>16793.920000039</v>
      </c>
      <c r="AU39" s="25" t="n">
        <f aca="false">SUMIFS('SKU Data'!$W$6:$W$505,'SKU Data'!$B$6:$B$505,$A39)</f>
        <v>16.75</v>
      </c>
      <c r="AV39" s="28" t="n">
        <f aca="false">IF(A39="","",COUNTIFS($C$6:$C$85,C39,$M$6:$M$85,"&gt;"&amp;M39)+1)</f>
        <v>7</v>
      </c>
      <c r="AW39" s="9" t="str">
        <f aca="false">IF(A39="","",IF(AND(Options!T39&lt;&gt;"",N(Options!U39)&gt;0),"Y",""))</f>
        <v/>
      </c>
      <c r="AX39" s="9" t="n">
        <f aca="false">IF(A39="",0,COUNTIFS(Options!$R$6:$R$85,$A39,$V$6:$V$85,"&gt;0"))</f>
        <v>0</v>
      </c>
      <c r="AY39" s="13" t="n">
        <f aca="false">IF(Options!S39&lt;&gt;"",Options!S39,Settings!$B$23)</f>
        <v>0.3</v>
      </c>
      <c r="AZ39" s="14" t="n">
        <f aca="false">SUMIFS('SKU Data'!$U$6:$U$505,'SKU Data'!$B$6:$B$505,$A39)</f>
        <v>0</v>
      </c>
    </row>
    <row r="40" customFormat="false" ht="15" hidden="false" customHeight="false" outlineLevel="0" collapsed="false">
      <c r="A40" s="9" t="str">
        <f aca="false">IF(Options!A40="","",Options!A40)</f>
        <v>OPT035</v>
      </c>
      <c r="B40" s="9" t="str">
        <f aca="false">IF(A40="","",Options!B40&amp;" "&amp;Options!C40)</f>
        <v>Button-down shirt Pink</v>
      </c>
      <c r="C40" s="9" t="str">
        <f aca="false">IF(A40="","",Options!E40)</f>
        <v>Shirts</v>
      </c>
      <c r="D40" s="9" t="str">
        <f aca="false">IF(A40="","",Options!H40)</f>
        <v>Core</v>
      </c>
      <c r="E40" s="12" t="n">
        <f aca="false">SUMIFS('SKU Data'!$E$6:$E$505,'SKU Data'!$B$6:$B$505,$A40)</f>
        <v>396</v>
      </c>
      <c r="F40" s="12" t="n">
        <f aca="false">SUMIFS('SKU Data'!$F$6:$F$505,'SKU Data'!$B$6:$B$505,$A40)</f>
        <v>0</v>
      </c>
      <c r="G40" s="12" t="n">
        <f aca="false">SUMIFS('SKU Data'!$G$6:$G$505,'SKU Data'!$B$6:$B$505,$A40)</f>
        <v>116</v>
      </c>
      <c r="H40" s="12" t="n">
        <f aca="false">N(Options!M40)</f>
        <v>0</v>
      </c>
      <c r="I40" s="12" t="n">
        <f aca="false">SUMIFS('SKU Data'!$H$6:$H$505,'SKU Data'!$B$6:$B$505,$A40)</f>
        <v>12</v>
      </c>
      <c r="J40" s="12" t="n">
        <f aca="false">SUMIFS('SKU Data'!$I$6:$I$505,'SKU Data'!$B$6:$B$505,$A40)</f>
        <v>12</v>
      </c>
      <c r="K40" s="12" t="n">
        <f aca="false">SUMIFS('SKU Data'!$J$6:$J$505,'SKU Data'!$B$6:$B$505,$A40)</f>
        <v>14</v>
      </c>
      <c r="L40" s="12" t="n">
        <f aca="false">SUMIFS('SKU Data'!$K$6:$K$505,'SKU Data'!$B$6:$B$505,$A40)</f>
        <v>15</v>
      </c>
      <c r="M40" s="25" t="n">
        <f aca="false">L40*Settings!$B$10+K40*Settings!$B$11+J40*Settings!$B$12+I40*Settings!$B$13</f>
        <v>13.8</v>
      </c>
      <c r="N40" s="25" t="n">
        <f aca="false">M40*Settings!$B$15</f>
        <v>12.42</v>
      </c>
      <c r="O40" s="12" t="n">
        <f aca="false">SUMIFS('SKU Data'!$L$6:$L$505,'SKU Data'!$B$6:$B$505,$A40)</f>
        <v>280</v>
      </c>
      <c r="P40" s="12" t="n">
        <f aca="false">SUMIFS('SKU Data'!$M$6:$M$505,'SKU Data'!$B$6:$B$505,$A40)</f>
        <v>246</v>
      </c>
      <c r="Q40" s="21" t="n">
        <f aca="false">IFERROR(O40/(E40-F40),0)</f>
        <v>0.707070707070707</v>
      </c>
      <c r="R40" s="21" t="n">
        <f aca="false">IFERROR(P40/(E40-F40),0)</f>
        <v>0.621212121212121</v>
      </c>
      <c r="S40" s="26" t="n">
        <f aca="false">IF(N40&lt;=0,IF(G40&gt;0,999,0),G40/N40)</f>
        <v>9.33977455716586</v>
      </c>
      <c r="T40" s="25" t="n">
        <f aca="false">IF(N(Options!L40)&gt;0,Options!L40,Settings!$B$20)</f>
        <v>10</v>
      </c>
      <c r="U40" s="9" t="n">
        <f aca="false">COUNTIFS('SKU Data'!$B$6:$B$505,$A40,'SKU Data'!$D$6:$D$505,"Y")</f>
        <v>3</v>
      </c>
      <c r="V40" s="9" t="n">
        <f aca="false">COUNTIFS('SKU Data'!$B$6:$B$505,$A40,'SKU Data'!$D$6:$D$505,"Y",'SKU Data'!$G$6:$G$505,"&lt;=0")</f>
        <v>0</v>
      </c>
      <c r="W40" s="28" t="str">
        <f aca="false">IF(A40="","",IF(AND(V40&gt;0,G40&gt;0),"Y",""))</f>
        <v/>
      </c>
      <c r="X40" s="9" t="str">
        <f aca="false">IF(A40="","",IF(AND(G40&gt;0,OR(Options!P40="N",Options!Q40="N")),"Y",""))</f>
        <v/>
      </c>
      <c r="Y40" s="9" t="n">
        <f aca="false">IF(AND(A40&lt;&gt;"",U40&gt;0,V40=0,G40&gt;0,Options!P40&lt;&gt;"N",Options!Q40&lt;&gt;"N"),1,0)</f>
        <v>1</v>
      </c>
      <c r="Z40" s="29" t="n">
        <f aca="false">IFERROR((K40+L40)/(I40+J40)-1,0)</f>
        <v>0.208333333333333</v>
      </c>
      <c r="AA40" s="9" t="str">
        <f aca="false">IF(A40="","",IF(Q40&gt;=Settings!$B$17,"High","Low"))</f>
        <v>Low</v>
      </c>
      <c r="AB40" s="9" t="str">
        <f aca="false">IF(A40="","",IF(S40&lt;IF(D40="End of life",Settings!$B$9,IF(D40="Core",T40,MIN(T40,Settings!$B$9))),"Low",IF(S40&gt;IF(D40="Core",Settings!$B$19,Settings!$B$9+Settings!$B$18),"High","Balanced")))</f>
        <v>Low</v>
      </c>
      <c r="AC40" s="28" t="str">
        <f aca="false">IF(A40="","",IF(AW40="Y","Held for a campaign",IF(AA40="High",IF(AB40="Low","Selling and short",IF(AB40="High","Selling, heavy","Selling, covered")),IF(AB40="Low","Slow and short",IF(AB40="High","Slow and heavy","Slow, covered")))))</f>
        <v>Slow and short</v>
      </c>
      <c r="AD40" s="9" t="str">
        <f aca="false">IF(A40="","",TRIM(IF(W40="Y","Broken curve. ","")&amp;IF(X40="Y","Hidden from customers. ","")&amp;IF(Options!O40="Y","Promoted. ","")&amp;IF(Options!I40="Y","Range job. ","")&amp;IF(D40="End of life","End of life. ","")&amp;IF(H40&gt;0,"Order due in "&amp;Options!N40&amp;" weeks. ","")&amp;IF(AW40="Y","Held for "&amp;Options!T40&amp;", starts in "&amp;Options!U40&amp;" weeks. ","")&amp;IF(AX40&gt;0,"Covering for "&amp;AX40&amp;" sold-out line(s). ","")))</f>
        <v/>
      </c>
      <c r="AE40" s="9" t="str">
        <f aca="false">IF(A40="","",IF(AW40="Y",IF(AND(N(Options!V40)&gt;0,G40+H40&gt;N(Options!V40)*1.1),Settings!$A$48,Settings!$A$47),IF(X40="Y",Settings!$A$27,IF(AND(W40="Y",D40&lt;&gt;"End of life",AA40="High"),IF(H40&gt;0,Settings!$A$28,Settings!$A$29),IF(AND(W40="Y",D40="End of life"),Settings!$A$30,IF(AC40="Selling and short",IF(D40="End of life",Settings!$A$31,IF(Options!O40="Y",Settings!$A$32,IF(AX40&gt;0,Settings!$A$33,IF(H40&gt;0,IF(N(Options!N40)&lt;=S40,Settings!$A$34,Settings!$A$35),IF(AND(D40&lt;&gt;"Core",T40&gt;=Settings!$B$9),Settings!$A$36,Settings!$A$37))))),IF(AC40="Selling, heavy",IF(D40="Core",Settings!$A$38,Settings!$A$39),IF(AC40="Selling, covered",Settings!$A$40,IF(AC40="Slow and heavy",IF(Options!I40="Y",Settings!$A$41,IF(D40="End of life",Settings!$A$42,Settings!$A$43)),IF(AC40="Slow and short",IF(W40="Y",Settings!$A$44,Settings!$A$45),Settings!$A$46))))))))))</f>
        <v>Check availability and findability before judging demand</v>
      </c>
      <c r="AF40" s="9" t="str">
        <f aca="false">IF(A40="","",IFERROR(VLOOKUP(AM40,Settings!$A$27:$B$48,2,0),"Assign an owner"))</f>
        <v>Merchandiser</v>
      </c>
      <c r="AG40" s="14" t="n">
        <f aca="false">SUMIFS('SKU Data'!$V$6:$V$505,'SKU Data'!$B$6:$B$505,$A40)</f>
        <v>2644.8</v>
      </c>
      <c r="AH40" s="12" t="n">
        <f aca="false">IF(A40="",0,IF(AW40="Y",IF(N(Options!V40)&gt;0,MAX(0,G40+H40-N(Options!V40)),0),MAX(0,G40+H40-N40*IF(D40="Core",Settings!$B$19,Settings!$B$9))))</f>
        <v>0</v>
      </c>
      <c r="AI40" s="14" t="n">
        <f aca="false">IF(OR(A40="",D40="Core"),0,AH40*N(Options!J40)*Settings!$B$21)</f>
        <v>0</v>
      </c>
      <c r="AJ40" s="14" t="n">
        <f aca="false">AH40*N(Options!K40)</f>
        <v>0</v>
      </c>
      <c r="AK40" s="27" t="n">
        <f aca="false">AZ40*(1-AY40)</f>
        <v>0</v>
      </c>
      <c r="AL40" s="27" t="n">
        <f aca="false">AI40+AK40</f>
        <v>0</v>
      </c>
      <c r="AM40" s="9" t="str">
        <f aca="false">IF(A40="","",IF(Options!W40&lt;&gt;"",Options!W40,AE40))</f>
        <v>Check availability and findability before judging demand</v>
      </c>
      <c r="AN40" s="28" t="n">
        <f aca="false">IF(A40="","",COUNTIF($AR$6:$AR$85,"&gt;"&amp;AR40)+1)</f>
        <v>54</v>
      </c>
      <c r="AO40" s="9" t="str">
        <f aca="false">IF(A40="","",Options!D40)</f>
        <v>Oxford</v>
      </c>
      <c r="AP40" s="9" t="str">
        <f aca="false">IF(A40="","",Options!F40)</f>
        <v>Own brand</v>
      </c>
      <c r="AQ40" s="9" t="n">
        <f aca="false">IF(AND(A40&lt;&gt;"",AW40&lt;&gt;"Y",M40&gt;0,COUNTIF($M$6:$M$85,"&gt;"&amp;M40)&lt;Settings!$B$22),1,0)</f>
        <v>0</v>
      </c>
      <c r="AR40" s="28" t="n">
        <f aca="false">IF(A40="",-1,AL40+ROW()/1000000000)</f>
        <v>4E-008</v>
      </c>
      <c r="AS40" s="28" t="n">
        <f aca="false">IF(A40="",-1,AK40+ROW()/1000000000)</f>
        <v>4E-008</v>
      </c>
      <c r="AT40" s="28" t="n">
        <f aca="false">IF(A40="",-1,AI40+ROW()/1000000000)</f>
        <v>4E-008</v>
      </c>
      <c r="AU40" s="25" t="n">
        <f aca="false">SUMIFS('SKU Data'!$W$6:$W$505,'SKU Data'!$B$6:$B$505,$A40)</f>
        <v>13.25</v>
      </c>
      <c r="AV40" s="28" t="n">
        <f aca="false">IF(A40="","",COUNTIFS($C$6:$C$85,C40,$M$6:$M$85,"&gt;"&amp;M40)+1)</f>
        <v>10</v>
      </c>
      <c r="AW40" s="9" t="str">
        <f aca="false">IF(A40="","",IF(AND(Options!T40&lt;&gt;"",N(Options!U40)&gt;0),"Y",""))</f>
        <v/>
      </c>
      <c r="AX40" s="9" t="n">
        <f aca="false">IF(A40="",0,COUNTIFS(Options!$R$6:$R$85,$A40,$V$6:$V$85,"&gt;0"))</f>
        <v>0</v>
      </c>
      <c r="AY40" s="13" t="n">
        <f aca="false">IF(Options!S40&lt;&gt;"",Options!S40,Settings!$B$23)</f>
        <v>0.3</v>
      </c>
      <c r="AZ40" s="14" t="n">
        <f aca="false">SUMIFS('SKU Data'!$U$6:$U$505,'SKU Data'!$B$6:$B$505,$A40)</f>
        <v>0</v>
      </c>
    </row>
    <row r="41" customFormat="false" ht="15" hidden="false" customHeight="false" outlineLevel="0" collapsed="false">
      <c r="A41" s="9" t="str">
        <f aca="false">IF(Options!A41="","",Options!A41)</f>
        <v>OPT036</v>
      </c>
      <c r="B41" s="9" t="str">
        <f aca="false">IF(A41="","",Options!B41&amp;" "&amp;Options!C41)</f>
        <v>Check overshirt Cobalt</v>
      </c>
      <c r="C41" s="9" t="str">
        <f aca="false">IF(A41="","",Options!E41)</f>
        <v>Shirts</v>
      </c>
      <c r="D41" s="9" t="str">
        <f aca="false">IF(A41="","",Options!H41)</f>
        <v>Core</v>
      </c>
      <c r="E41" s="12" t="n">
        <f aca="false">SUMIFS('SKU Data'!$E$6:$E$505,'SKU Data'!$B$6:$B$505,$A41)</f>
        <v>624</v>
      </c>
      <c r="F41" s="12" t="n">
        <f aca="false">SUMIFS('SKU Data'!$F$6:$F$505,'SKU Data'!$B$6:$B$505,$A41)</f>
        <v>0</v>
      </c>
      <c r="G41" s="12" t="n">
        <f aca="false">SUMIFS('SKU Data'!$G$6:$G$505,'SKU Data'!$B$6:$B$505,$A41)</f>
        <v>157</v>
      </c>
      <c r="H41" s="12" t="n">
        <f aca="false">N(Options!M41)</f>
        <v>0</v>
      </c>
      <c r="I41" s="12" t="n">
        <f aca="false">SUMIFS('SKU Data'!$H$6:$H$505,'SKU Data'!$B$6:$B$505,$A41)</f>
        <v>19</v>
      </c>
      <c r="J41" s="12" t="n">
        <f aca="false">SUMIFS('SKU Data'!$I$6:$I$505,'SKU Data'!$B$6:$B$505,$A41)</f>
        <v>20</v>
      </c>
      <c r="K41" s="12" t="n">
        <f aca="false">SUMIFS('SKU Data'!$J$6:$J$505,'SKU Data'!$B$6:$B$505,$A41)</f>
        <v>22</v>
      </c>
      <c r="L41" s="12" t="n">
        <f aca="false">SUMIFS('SKU Data'!$K$6:$K$505,'SKU Data'!$B$6:$B$505,$A41)</f>
        <v>25</v>
      </c>
      <c r="M41" s="25" t="n">
        <f aca="false">L41*Settings!$B$10+K41*Settings!$B$11+J41*Settings!$B$12+I41*Settings!$B$13</f>
        <v>22.5</v>
      </c>
      <c r="N41" s="25" t="n">
        <f aca="false">M41*Settings!$B$15</f>
        <v>20.25</v>
      </c>
      <c r="O41" s="12" t="n">
        <f aca="false">SUMIFS('SKU Data'!$L$6:$L$505,'SKU Data'!$B$6:$B$505,$A41)</f>
        <v>467</v>
      </c>
      <c r="P41" s="12" t="n">
        <f aca="false">SUMIFS('SKU Data'!$M$6:$M$505,'SKU Data'!$B$6:$B$505,$A41)</f>
        <v>411</v>
      </c>
      <c r="Q41" s="21" t="n">
        <f aca="false">IFERROR(O41/(E41-F41),0)</f>
        <v>0.748397435897436</v>
      </c>
      <c r="R41" s="21" t="n">
        <f aca="false">IFERROR(P41/(E41-F41),0)</f>
        <v>0.658653846153846</v>
      </c>
      <c r="S41" s="26" t="n">
        <f aca="false">IF(N41&lt;=0,IF(G41&gt;0,999,0),G41/N41)</f>
        <v>7.75308641975309</v>
      </c>
      <c r="T41" s="25" t="n">
        <f aca="false">IF(N(Options!L41)&gt;0,Options!L41,Settings!$B$20)</f>
        <v>10</v>
      </c>
      <c r="U41" s="9" t="n">
        <f aca="false">COUNTIFS('SKU Data'!$B$6:$B$505,$A41,'SKU Data'!$D$6:$D$505,"Y")</f>
        <v>3</v>
      </c>
      <c r="V41" s="9" t="n">
        <f aca="false">COUNTIFS('SKU Data'!$B$6:$B$505,$A41,'SKU Data'!$D$6:$D$505,"Y",'SKU Data'!$G$6:$G$505,"&lt;=0")</f>
        <v>0</v>
      </c>
      <c r="W41" s="28" t="str">
        <f aca="false">IF(A41="","",IF(AND(V41&gt;0,G41&gt;0),"Y",""))</f>
        <v/>
      </c>
      <c r="X41" s="9" t="str">
        <f aca="false">IF(A41="","",IF(AND(G41&gt;0,OR(Options!P41="N",Options!Q41="N")),"Y",""))</f>
        <v/>
      </c>
      <c r="Y41" s="9" t="n">
        <f aca="false">IF(AND(A41&lt;&gt;"",U41&gt;0,V41=0,G41&gt;0,Options!P41&lt;&gt;"N",Options!Q41&lt;&gt;"N"),1,0)</f>
        <v>1</v>
      </c>
      <c r="Z41" s="29" t="n">
        <f aca="false">IFERROR((K41+L41)/(I41+J41)-1,0)</f>
        <v>0.205128205128205</v>
      </c>
      <c r="AA41" s="9" t="str">
        <f aca="false">IF(A41="","",IF(Q41&gt;=Settings!$B$17,"High","Low"))</f>
        <v>High</v>
      </c>
      <c r="AB41" s="9" t="str">
        <f aca="false">IF(A41="","",IF(S41&lt;IF(D41="End of life",Settings!$B$9,IF(D41="Core",T41,MIN(T41,Settings!$B$9))),"Low",IF(S41&gt;IF(D41="Core",Settings!$B$19,Settings!$B$9+Settings!$B$18),"High","Balanced")))</f>
        <v>Low</v>
      </c>
      <c r="AC41" s="28" t="str">
        <f aca="false">IF(A41="","",IF(AW41="Y","Held for a campaign",IF(AA41="High",IF(AB41="Low","Selling and short",IF(AB41="High","Selling, heavy","Selling, covered")),IF(AB41="Low","Slow and short",IF(AB41="High","Slow and heavy","Slow, covered")))))</f>
        <v>Selling and short</v>
      </c>
      <c r="AD41" s="9" t="str">
        <f aca="false">IF(A41="","",TRIM(IF(W41="Y","Broken curve. ","")&amp;IF(X41="Y","Hidden from customers. ","")&amp;IF(Options!O41="Y","Promoted. ","")&amp;IF(Options!I41="Y","Range job. ","")&amp;IF(D41="End of life","End of life. ","")&amp;IF(H41&gt;0,"Order due in "&amp;Options!N41&amp;" weeks. ","")&amp;IF(AW41="Y","Held for "&amp;Options!T41&amp;", starts in "&amp;Options!U41&amp;" weeks. ","")&amp;IF(AX41&gt;0,"Covering for "&amp;AX41&amp;" sold-out line(s). ","")))</f>
        <v/>
      </c>
      <c r="AE41" s="9" t="str">
        <f aca="false">IF(A41="","",IF(AW41="Y",IF(AND(N(Options!V41)&gt;0,G41+H41&gt;N(Options!V41)*1.1),Settings!$A$48,Settings!$A$47),IF(X41="Y",Settings!$A$27,IF(AND(W41="Y",D41&lt;&gt;"End of life",AA41="High"),IF(H41&gt;0,Settings!$A$28,Settings!$A$29),IF(AND(W41="Y",D41="End of life"),Settings!$A$30,IF(AC41="Selling and short",IF(D41="End of life",Settings!$A$31,IF(Options!O41="Y",Settings!$A$32,IF(AX41&gt;0,Settings!$A$33,IF(H41&gt;0,IF(N(Options!N41)&lt;=S41,Settings!$A$34,Settings!$A$35),IF(AND(D41&lt;&gt;"Core",T41&gt;=Settings!$B$9),Settings!$A$36,Settings!$A$37))))),IF(AC41="Selling, heavy",IF(D41="Core",Settings!$A$38,Settings!$A$39),IF(AC41="Selling, covered",Settings!$A$40,IF(AC41="Slow and heavy",IF(Options!I41="Y",Settings!$A$41,IF(D41="End of life",Settings!$A$42,Settings!$A$43)),IF(AC41="Slow and short",IF(W41="Y",Settings!$A$44,Settings!$A$45),Settings!$A$46))))))))))</f>
        <v>Reorder</v>
      </c>
      <c r="AF41" s="9" t="str">
        <f aca="false">IF(A41="","",IFERROR(VLOOKUP(AM41,Settings!$A$27:$B$48,2,0),"Assign an owner"))</f>
        <v>Merchandiser</v>
      </c>
      <c r="AG41" s="14" t="n">
        <f aca="false">SUMIFS('SKU Data'!$V$6:$V$505,'SKU Data'!$B$6:$B$505,$A41)</f>
        <v>3281.3</v>
      </c>
      <c r="AH41" s="12" t="n">
        <f aca="false">IF(A41="",0,IF(AW41="Y",IF(N(Options!V41)&gt;0,MAX(0,G41+H41-N(Options!V41)),0),MAX(0,G41+H41-N41*IF(D41="Core",Settings!$B$19,Settings!$B$9))))</f>
        <v>0</v>
      </c>
      <c r="AI41" s="14" t="n">
        <f aca="false">IF(OR(A41="",D41="Core"),0,AH41*N(Options!J41)*Settings!$B$21)</f>
        <v>0</v>
      </c>
      <c r="AJ41" s="14" t="n">
        <f aca="false">AH41*N(Options!K41)</f>
        <v>0</v>
      </c>
      <c r="AK41" s="27" t="n">
        <f aca="false">AZ41*(1-AY41)</f>
        <v>0</v>
      </c>
      <c r="AL41" s="27" t="n">
        <f aca="false">AI41+AK41</f>
        <v>0</v>
      </c>
      <c r="AM41" s="9" t="str">
        <f aca="false">IF(A41="","",IF(Options!W41&lt;&gt;"",Options!W41,AE41))</f>
        <v>Reorder</v>
      </c>
      <c r="AN41" s="28" t="n">
        <f aca="false">IF(A41="","",COUNTIF($AR$6:$AR$85,"&gt;"&amp;AR41)+1)</f>
        <v>53</v>
      </c>
      <c r="AO41" s="9" t="str">
        <f aca="false">IF(A41="","",Options!D41)</f>
        <v>Flannel</v>
      </c>
      <c r="AP41" s="9" t="str">
        <f aca="false">IF(A41="","",Options!F41)</f>
        <v>Own brand</v>
      </c>
      <c r="AQ41" s="9" t="n">
        <f aca="false">IF(AND(A41&lt;&gt;"",AW41&lt;&gt;"Y",M41&gt;0,COUNTIF($M$6:$M$85,"&gt;"&amp;M41)&lt;Settings!$B$22),1,0)</f>
        <v>1</v>
      </c>
      <c r="AR41" s="28" t="n">
        <f aca="false">IF(A41="",-1,AL41+ROW()/1000000000)</f>
        <v>4.1E-008</v>
      </c>
      <c r="AS41" s="28" t="n">
        <f aca="false">IF(A41="",-1,AK41+ROW()/1000000000)</f>
        <v>4.1E-008</v>
      </c>
      <c r="AT41" s="28" t="n">
        <f aca="false">IF(A41="",-1,AI41+ROW()/1000000000)</f>
        <v>4.1E-008</v>
      </c>
      <c r="AU41" s="25" t="n">
        <f aca="false">SUMIFS('SKU Data'!$W$6:$W$505,'SKU Data'!$B$6:$B$505,$A41)</f>
        <v>21.5</v>
      </c>
      <c r="AV41" s="28" t="n">
        <f aca="false">IF(A41="","",COUNTIFS($C$6:$C$85,C41,$M$6:$M$85,"&gt;"&amp;M41)+1)</f>
        <v>2</v>
      </c>
      <c r="AW41" s="9" t="str">
        <f aca="false">IF(A41="","",IF(AND(Options!T41&lt;&gt;"",N(Options!U41)&gt;0),"Y",""))</f>
        <v/>
      </c>
      <c r="AX41" s="9" t="n">
        <f aca="false">IF(A41="",0,COUNTIFS(Options!$R$6:$R$85,$A41,$V$6:$V$85,"&gt;0"))</f>
        <v>0</v>
      </c>
      <c r="AY41" s="13" t="n">
        <f aca="false">IF(Options!S41&lt;&gt;"",Options!S41,Settings!$B$23)</f>
        <v>0.3</v>
      </c>
      <c r="AZ41" s="14" t="n">
        <f aca="false">SUMIFS('SKU Data'!$U$6:$U$505,'SKU Data'!$B$6:$B$505,$A41)</f>
        <v>0</v>
      </c>
    </row>
    <row r="42" customFormat="false" ht="15" hidden="false" customHeight="false" outlineLevel="0" collapsed="false">
      <c r="A42" s="9" t="str">
        <f aca="false">IF(Options!A42="","",Options!A42)</f>
        <v>OPT037</v>
      </c>
      <c r="B42" s="9" t="str">
        <f aca="false">IF(A42="","",Options!B42&amp;" "&amp;Options!C42)</f>
        <v>Button-down shirt Tan</v>
      </c>
      <c r="C42" s="9" t="str">
        <f aca="false">IF(A42="","",Options!E42)</f>
        <v>Shirts</v>
      </c>
      <c r="D42" s="9" t="str">
        <f aca="false">IF(A42="","",Options!H42)</f>
        <v>Seasonal</v>
      </c>
      <c r="E42" s="12" t="n">
        <f aca="false">SUMIFS('SKU Data'!$E$6:$E$505,'SKU Data'!$B$6:$B$505,$A42)</f>
        <v>278</v>
      </c>
      <c r="F42" s="12" t="n">
        <f aca="false">SUMIFS('SKU Data'!$F$6:$F$505,'SKU Data'!$B$6:$B$505,$A42)</f>
        <v>0</v>
      </c>
      <c r="G42" s="12" t="n">
        <f aca="false">SUMIFS('SKU Data'!$G$6:$G$505,'SKU Data'!$B$6:$B$505,$A42)</f>
        <v>74</v>
      </c>
      <c r="H42" s="12" t="n">
        <f aca="false">N(Options!M42)</f>
        <v>120</v>
      </c>
      <c r="I42" s="12" t="n">
        <f aca="false">SUMIFS('SKU Data'!$H$6:$H$505,'SKU Data'!$B$6:$B$505,$A42)</f>
        <v>2</v>
      </c>
      <c r="J42" s="12" t="n">
        <f aca="false">SUMIFS('SKU Data'!$I$6:$I$505,'SKU Data'!$B$6:$B$505,$A42)</f>
        <v>2</v>
      </c>
      <c r="K42" s="12" t="n">
        <f aca="false">SUMIFS('SKU Data'!$J$6:$J$505,'SKU Data'!$B$6:$B$505,$A42)</f>
        <v>2</v>
      </c>
      <c r="L42" s="12" t="n">
        <f aca="false">SUMIFS('SKU Data'!$K$6:$K$505,'SKU Data'!$B$6:$B$505,$A42)</f>
        <v>1</v>
      </c>
      <c r="M42" s="25" t="n">
        <f aca="false">L42*Settings!$B$10+K42*Settings!$B$11+J42*Settings!$B$12+I42*Settings!$B$13</f>
        <v>1.6</v>
      </c>
      <c r="N42" s="25" t="n">
        <f aca="false">M42*Settings!$B$15</f>
        <v>1.44</v>
      </c>
      <c r="O42" s="12" t="n">
        <f aca="false">SUMIFS('SKU Data'!$L$6:$L$505,'SKU Data'!$B$6:$B$505,$A42)</f>
        <v>204</v>
      </c>
      <c r="P42" s="12" t="n">
        <f aca="false">SUMIFS('SKU Data'!$M$6:$M$505,'SKU Data'!$B$6:$B$505,$A42)</f>
        <v>181</v>
      </c>
      <c r="Q42" s="21" t="n">
        <f aca="false">IFERROR(O42/(E42-F42),0)</f>
        <v>0.733812949640288</v>
      </c>
      <c r="R42" s="21" t="n">
        <f aca="false">IFERROR(P42/(E42-F42),0)</f>
        <v>0.651079136690647</v>
      </c>
      <c r="S42" s="26" t="n">
        <f aca="false">IF(N42&lt;=0,IF(G42&gt;0,999,0),G42/N42)</f>
        <v>51.3888888888889</v>
      </c>
      <c r="T42" s="25" t="n">
        <f aca="false">IF(N(Options!L42)&gt;0,Options!L42,Settings!$B$20)</f>
        <v>6</v>
      </c>
      <c r="U42" s="9" t="n">
        <f aca="false">COUNTIFS('SKU Data'!$B$6:$B$505,$A42,'SKU Data'!$D$6:$D$505,"Y")</f>
        <v>3</v>
      </c>
      <c r="V42" s="9" t="n">
        <f aca="false">COUNTIFS('SKU Data'!$B$6:$B$505,$A42,'SKU Data'!$D$6:$D$505,"Y",'SKU Data'!$G$6:$G$505,"&lt;=0")</f>
        <v>3</v>
      </c>
      <c r="W42" s="28" t="str">
        <f aca="false">IF(A42="","",IF(AND(V42&gt;0,G42&gt;0),"Y",""))</f>
        <v>Y</v>
      </c>
      <c r="X42" s="9" t="str">
        <f aca="false">IF(A42="","",IF(AND(G42&gt;0,OR(Options!P42="N",Options!Q42="N")),"Y",""))</f>
        <v/>
      </c>
      <c r="Y42" s="9" t="n">
        <f aca="false">IF(AND(A42&lt;&gt;"",U42&gt;0,V42=0,G42&gt;0,Options!P42&lt;&gt;"N",Options!Q42&lt;&gt;"N"),1,0)</f>
        <v>0</v>
      </c>
      <c r="Z42" s="29" t="n">
        <f aca="false">IFERROR((K42+L42)/(I42+J42)-1,0)</f>
        <v>-0.25</v>
      </c>
      <c r="AA42" s="9" t="str">
        <f aca="false">IF(A42="","",IF(Q42&gt;=Settings!$B$17,"High","Low"))</f>
        <v>High</v>
      </c>
      <c r="AB42" s="9" t="str">
        <f aca="false">IF(A42="","",IF(S42&lt;IF(D42="End of life",Settings!$B$9,IF(D42="Core",T42,MIN(T42,Settings!$B$9))),"Low",IF(S42&gt;IF(D42="Core",Settings!$B$19,Settings!$B$9+Settings!$B$18),"High","Balanced")))</f>
        <v>High</v>
      </c>
      <c r="AC42" s="28" t="str">
        <f aca="false">IF(A42="","",IF(AW42="Y","Held for a campaign",IF(AA42="High",IF(AB42="Low","Selling and short",IF(AB42="High","Selling, heavy","Selling, covered")),IF(AB42="Low","Slow and short",IF(AB42="High","Slow and heavy","Slow, covered")))))</f>
        <v>Selling, heavy</v>
      </c>
      <c r="AD42" s="9" t="str">
        <f aca="false">IF(A42="","",TRIM(IF(W42="Y","Broken curve. ","")&amp;IF(X42="Y","Hidden from customers. ","")&amp;IF(Options!O42="Y","Promoted. ","")&amp;IF(Options!I42="Y","Range job. ","")&amp;IF(D42="End of life","End of life. ","")&amp;IF(H42&gt;0,"Order due in "&amp;Options!N42&amp;" weeks. ","")&amp;IF(AW42="Y","Held for "&amp;Options!T42&amp;", starts in "&amp;Options!U42&amp;" weeks. ","")&amp;IF(AX42&gt;0,"Covering for "&amp;AX42&amp;" sold-out line(s). ","")))</f>
        <v>Broken curve. Order due in 3 weeks.</v>
      </c>
      <c r="AE42" s="9" t="str">
        <f aca="false">IF(A42="","",IF(AW42="Y",IF(AND(N(Options!V42)&gt;0,G42+H42&gt;N(Options!V42)*1.1),Settings!$A$48,Settings!$A$47),IF(X42="Y",Settings!$A$27,IF(AND(W42="Y",D42&lt;&gt;"End of life",AA42="High"),IF(H42&gt;0,Settings!$A$28,Settings!$A$29),IF(AND(W42="Y",D42="End of life"),Settings!$A$30,IF(AC42="Selling and short",IF(D42="End of life",Settings!$A$31,IF(Options!O42="Y",Settings!$A$32,IF(AX42&gt;0,Settings!$A$33,IF(H42&gt;0,IF(N(Options!N42)&lt;=S42,Settings!$A$34,Settings!$A$35),IF(AND(D42&lt;&gt;"Core",T42&gt;=Settings!$B$9),Settings!$A$36,Settings!$A$37))))),IF(AC42="Selling, heavy",IF(D42="Core",Settings!$A$38,Settings!$A$39),IF(AC42="Selling, covered",Settings!$A$40,IF(AC42="Slow and heavy",IF(Options!I42="Y",Settings!$A$41,IF(D42="End of life",Settings!$A$42,Settings!$A$43)),IF(AC42="Slow and short",IF(W42="Y",Settings!$A$44,Settings!$A$45),Settings!$A$46))))))))))</f>
        <v>Chase the purchase order for core sizes</v>
      </c>
      <c r="AF42" s="9" t="str">
        <f aca="false">IF(A42="","",IFERROR(VLOOKUP(AM42,Settings!$A$27:$B$48,2,0),"Assign an owner"))</f>
        <v>Merchandiser</v>
      </c>
      <c r="AG42" s="14" t="n">
        <f aca="false">SUMIFS('SKU Data'!$V$6:$V$505,'SKU Data'!$B$6:$B$505,$A42)</f>
        <v>1546.6</v>
      </c>
      <c r="AH42" s="12" t="n">
        <f aca="false">IF(A42="",0,IF(AW42="Y",IF(N(Options!V42)&gt;0,MAX(0,G42+H42-N(Options!V42)),0),MAX(0,G42+H42-N42*IF(D42="Core",Settings!$B$19,Settings!$B$9))))</f>
        <v>188.24</v>
      </c>
      <c r="AI42" s="14" t="n">
        <f aca="false">IF(OR(A42="",D42="Core"),0,AH42*N(Options!J42)*Settings!$B$21)</f>
        <v>4141.28</v>
      </c>
      <c r="AJ42" s="14" t="n">
        <f aca="false">AH42*N(Options!K42)</f>
        <v>3934.216</v>
      </c>
      <c r="AK42" s="27" t="n">
        <f aca="false">AZ42*(1-AY42)</f>
        <v>724.5</v>
      </c>
      <c r="AL42" s="27" t="n">
        <f aca="false">AI42+AK42</f>
        <v>4865.78</v>
      </c>
      <c r="AM42" s="9" t="str">
        <f aca="false">IF(A42="","",IF(Options!W42&lt;&gt;"",Options!W42,AE42))</f>
        <v>Chase the purchase order for core sizes</v>
      </c>
      <c r="AN42" s="28" t="n">
        <f aca="false">IF(A42="","",COUNTIF($AR$6:$AR$85,"&gt;"&amp;AR42)+1)</f>
        <v>22</v>
      </c>
      <c r="AO42" s="9" t="str">
        <f aca="false">IF(A42="","",Options!D42)</f>
        <v>Oxford</v>
      </c>
      <c r="AP42" s="9" t="str">
        <f aca="false">IF(A42="","",Options!F42)</f>
        <v>Own brand</v>
      </c>
      <c r="AQ42" s="9" t="n">
        <f aca="false">IF(AND(A42&lt;&gt;"",AW42&lt;&gt;"Y",M42&gt;0,COUNTIF($M$6:$M$85,"&gt;"&amp;M42)&lt;Settings!$B$22),1,0)</f>
        <v>0</v>
      </c>
      <c r="AR42" s="28" t="n">
        <f aca="false">IF(A42="",-1,AL42+ROW()/1000000000)</f>
        <v>4865.780000042</v>
      </c>
      <c r="AS42" s="28" t="n">
        <f aca="false">IF(A42="",-1,AK42+ROW()/1000000000)</f>
        <v>724.500000042</v>
      </c>
      <c r="AT42" s="28" t="n">
        <f aca="false">IF(A42="",-1,AI42+ROW()/1000000000)</f>
        <v>4141.280000042</v>
      </c>
      <c r="AU42" s="25" t="n">
        <f aca="false">SUMIFS('SKU Data'!$W$6:$W$505,'SKU Data'!$B$6:$B$505,$A42)</f>
        <v>6.45454545454546</v>
      </c>
      <c r="AV42" s="28" t="n">
        <f aca="false">IF(A42="","",COUNTIFS($C$6:$C$85,C42,$M$6:$M$85,"&gt;"&amp;M42)+1)</f>
        <v>15</v>
      </c>
      <c r="AW42" s="9" t="str">
        <f aca="false">IF(A42="","",IF(AND(Options!T42&lt;&gt;"",N(Options!U42)&gt;0),"Y",""))</f>
        <v/>
      </c>
      <c r="AX42" s="9" t="n">
        <f aca="false">IF(A42="",0,COUNTIFS(Options!$R$6:$R$85,$A42,$V$6:$V$85,"&gt;0"))</f>
        <v>0</v>
      </c>
      <c r="AY42" s="13" t="n">
        <f aca="false">IF(Options!S42&lt;&gt;"",Options!S42,Settings!$B$23)</f>
        <v>0.3</v>
      </c>
      <c r="AZ42" s="14" t="n">
        <f aca="false">SUMIFS('SKU Data'!$U$6:$U$505,'SKU Data'!$B$6:$B$505,$A42)</f>
        <v>1035</v>
      </c>
    </row>
    <row r="43" customFormat="false" ht="15" hidden="false" customHeight="false" outlineLevel="0" collapsed="false">
      <c r="A43" s="9" t="str">
        <f aca="false">IF(Options!A43="","",Options!A43)</f>
        <v>OPT038</v>
      </c>
      <c r="B43" s="9" t="str">
        <f aca="false">IF(A43="","",Options!B43&amp;" "&amp;Options!C43)</f>
        <v>Check overshirt Navy</v>
      </c>
      <c r="C43" s="9" t="str">
        <f aca="false">IF(A43="","",Options!E43)</f>
        <v>Shirts</v>
      </c>
      <c r="D43" s="9" t="str">
        <f aca="false">IF(A43="","",Options!H43)</f>
        <v>End of life</v>
      </c>
      <c r="E43" s="12" t="n">
        <f aca="false">SUMIFS('SKU Data'!$E$6:$E$505,'SKU Data'!$B$6:$B$505,$A43)</f>
        <v>317</v>
      </c>
      <c r="F43" s="12" t="n">
        <f aca="false">SUMIFS('SKU Data'!$F$6:$F$505,'SKU Data'!$B$6:$B$505,$A43)</f>
        <v>0</v>
      </c>
      <c r="G43" s="12" t="n">
        <f aca="false">SUMIFS('SKU Data'!$G$6:$G$505,'SKU Data'!$B$6:$B$505,$A43)</f>
        <v>44</v>
      </c>
      <c r="H43" s="12" t="n">
        <f aca="false">N(Options!M43)</f>
        <v>0</v>
      </c>
      <c r="I43" s="12" t="n">
        <f aca="false">SUMIFS('SKU Data'!$H$6:$H$505,'SKU Data'!$B$6:$B$505,$A43)</f>
        <v>14</v>
      </c>
      <c r="J43" s="12" t="n">
        <f aca="false">SUMIFS('SKU Data'!$I$6:$I$505,'SKU Data'!$B$6:$B$505,$A43)</f>
        <v>15</v>
      </c>
      <c r="K43" s="12" t="n">
        <f aca="false">SUMIFS('SKU Data'!$J$6:$J$505,'SKU Data'!$B$6:$B$505,$A43)</f>
        <v>17</v>
      </c>
      <c r="L43" s="12" t="n">
        <f aca="false">SUMIFS('SKU Data'!$K$6:$K$505,'SKU Data'!$B$6:$B$505,$A43)</f>
        <v>18</v>
      </c>
      <c r="M43" s="25" t="n">
        <f aca="false">L43*Settings!$B$10+K43*Settings!$B$11+J43*Settings!$B$12+I43*Settings!$B$13</f>
        <v>16.7</v>
      </c>
      <c r="N43" s="25" t="n">
        <f aca="false">M43*Settings!$B$15</f>
        <v>15.03</v>
      </c>
      <c r="O43" s="12" t="n">
        <f aca="false">SUMIFS('SKU Data'!$L$6:$L$505,'SKU Data'!$B$6:$B$505,$A43)</f>
        <v>273</v>
      </c>
      <c r="P43" s="12" t="n">
        <f aca="false">SUMIFS('SKU Data'!$M$6:$M$505,'SKU Data'!$B$6:$B$505,$A43)</f>
        <v>240</v>
      </c>
      <c r="Q43" s="21" t="n">
        <f aca="false">IFERROR(O43/(E43-F43),0)</f>
        <v>0.861198738170347</v>
      </c>
      <c r="R43" s="21" t="n">
        <f aca="false">IFERROR(P43/(E43-F43),0)</f>
        <v>0.757097791798107</v>
      </c>
      <c r="S43" s="26" t="n">
        <f aca="false">IF(N43&lt;=0,IF(G43&gt;0,999,0),G43/N43)</f>
        <v>2.92747837658017</v>
      </c>
      <c r="T43" s="25" t="n">
        <f aca="false">IF(N(Options!L43)&gt;0,Options!L43,Settings!$B$20)</f>
        <v>6</v>
      </c>
      <c r="U43" s="9" t="n">
        <f aca="false">COUNTIFS('SKU Data'!$B$6:$B$505,$A43,'SKU Data'!$D$6:$D$505,"Y")</f>
        <v>3</v>
      </c>
      <c r="V43" s="9" t="n">
        <f aca="false">COUNTIFS('SKU Data'!$B$6:$B$505,$A43,'SKU Data'!$D$6:$D$505,"Y",'SKU Data'!$G$6:$G$505,"&lt;=0")</f>
        <v>0</v>
      </c>
      <c r="W43" s="28" t="str">
        <f aca="false">IF(A43="","",IF(AND(V43&gt;0,G43&gt;0),"Y",""))</f>
        <v/>
      </c>
      <c r="X43" s="9" t="str">
        <f aca="false">IF(A43="","",IF(AND(G43&gt;0,OR(Options!P43="N",Options!Q43="N")),"Y",""))</f>
        <v/>
      </c>
      <c r="Y43" s="9" t="n">
        <f aca="false">IF(AND(A43&lt;&gt;"",U43&gt;0,V43=0,G43&gt;0,Options!P43&lt;&gt;"N",Options!Q43&lt;&gt;"N"),1,0)</f>
        <v>1</v>
      </c>
      <c r="Z43" s="29" t="n">
        <f aca="false">IFERROR((K43+L43)/(I43+J43)-1,0)</f>
        <v>0.206896551724138</v>
      </c>
      <c r="AA43" s="9" t="str">
        <f aca="false">IF(A43="","",IF(Q43&gt;=Settings!$B$17,"High","Low"))</f>
        <v>High</v>
      </c>
      <c r="AB43" s="9" t="str">
        <f aca="false">IF(A43="","",IF(S43&lt;IF(D43="End of life",Settings!$B$9,IF(D43="Core",T43,MIN(T43,Settings!$B$9))),"Low",IF(S43&gt;IF(D43="Core",Settings!$B$19,Settings!$B$9+Settings!$B$18),"High","Balanced")))</f>
        <v>Low</v>
      </c>
      <c r="AC43" s="28" t="str">
        <f aca="false">IF(A43="","",IF(AW43="Y","Held for a campaign",IF(AA43="High",IF(AB43="Low","Selling and short",IF(AB43="High","Selling, heavy","Selling, covered")),IF(AB43="Low","Slow and short",IF(AB43="High","Slow and heavy","Slow, covered")))))</f>
        <v>Selling and short</v>
      </c>
      <c r="AD43" s="9" t="str">
        <f aca="false">IF(A43="","",TRIM(IF(W43="Y","Broken curve. ","")&amp;IF(X43="Y","Hidden from customers. ","")&amp;IF(Options!O43="Y","Promoted. ","")&amp;IF(Options!I43="Y","Range job. ","")&amp;IF(D43="End of life","End of life. ","")&amp;IF(H43&gt;0,"Order due in "&amp;Options!N43&amp;" weeks. ","")&amp;IF(AW43="Y","Held for "&amp;Options!T43&amp;", starts in "&amp;Options!U43&amp;" weeks. ","")&amp;IF(AX43&gt;0,"Covering for "&amp;AX43&amp;" sold-out line(s). ","")))</f>
        <v>End of life.</v>
      </c>
      <c r="AE43" s="9" t="str">
        <f aca="false">IF(A43="","",IF(AW43="Y",IF(AND(N(Options!V43)&gt;0,G43+H43&gt;N(Options!V43)*1.1),Settings!$A$48,Settings!$A$47),IF(X43="Y",Settings!$A$27,IF(AND(W43="Y",D43&lt;&gt;"End of life",AA43="High"),IF(H43&gt;0,Settings!$A$28,Settings!$A$29),IF(AND(W43="Y",D43="End of life"),Settings!$A$30,IF(AC43="Selling and short",IF(D43="End of life",Settings!$A$31,IF(Options!O43="Y",Settings!$A$32,IF(AX43&gt;0,Settings!$A$33,IF(H43&gt;0,IF(N(Options!N43)&lt;=S43,Settings!$A$34,Settings!$A$35),IF(AND(D43&lt;&gt;"Core",T43&gt;=Settings!$B$9),Settings!$A$36,Settings!$A$37))))),IF(AC43="Selling, heavy",IF(D43="Core",Settings!$A$38,Settings!$A$39),IF(AC43="Selling, covered",Settings!$A$40,IF(AC43="Slow and heavy",IF(Options!I43="Y",Settings!$A$41,IF(D43="End of life",Settings!$A$42,Settings!$A$43)),IF(AC43="Slow and short",IF(W43="Y",Settings!$A$44,Settings!$A$45),Settings!$A$46))))))))))</f>
        <v>Let it sell out</v>
      </c>
      <c r="AF43" s="9" t="str">
        <f aca="false">IF(A43="","",IFERROR(VLOOKUP(AM43,Settings!$A$27:$B$48,2,0),"Assign an owner"))</f>
        <v>Merchandiser</v>
      </c>
      <c r="AG43" s="14" t="n">
        <f aca="false">SUMIFS('SKU Data'!$V$6:$V$505,'SKU Data'!$B$6:$B$505,$A43)</f>
        <v>1003.2</v>
      </c>
      <c r="AH43" s="12" t="n">
        <f aca="false">IF(A43="",0,IF(AW43="Y",IF(N(Options!V43)&gt;0,MAX(0,G43+H43-N(Options!V43)),0),MAX(0,G43+H43-N43*IF(D43="Core",Settings!$B$19,Settings!$B$9))))</f>
        <v>0</v>
      </c>
      <c r="AI43" s="14" t="n">
        <f aca="false">IF(OR(A43="",D43="Core"),0,AH43*N(Options!J43)*Settings!$B$21)</f>
        <v>0</v>
      </c>
      <c r="AJ43" s="14" t="n">
        <f aca="false">AH43*N(Options!K43)</f>
        <v>0</v>
      </c>
      <c r="AK43" s="27" t="n">
        <f aca="false">AZ43*(1-AY43)</f>
        <v>0</v>
      </c>
      <c r="AL43" s="27" t="n">
        <f aca="false">AI43+AK43</f>
        <v>0</v>
      </c>
      <c r="AM43" s="9" t="str">
        <f aca="false">IF(A43="","",IF(Options!W43&lt;&gt;"",Options!W43,AE43))</f>
        <v>Let it sell out</v>
      </c>
      <c r="AN43" s="28" t="n">
        <f aca="false">IF(A43="","",COUNTIF($AR$6:$AR$85,"&gt;"&amp;AR43)+1)</f>
        <v>52</v>
      </c>
      <c r="AO43" s="9" t="str">
        <f aca="false">IF(A43="","",Options!D43)</f>
        <v>Flannel</v>
      </c>
      <c r="AP43" s="9" t="str">
        <f aca="false">IF(A43="","",Options!F43)</f>
        <v>Own brand</v>
      </c>
      <c r="AQ43" s="9" t="n">
        <f aca="false">IF(AND(A43&lt;&gt;"",AW43&lt;&gt;"Y",M43&gt;0,COUNTIF($M$6:$M$85,"&gt;"&amp;M43)&lt;Settings!$B$22),1,0)</f>
        <v>1</v>
      </c>
      <c r="AR43" s="28" t="n">
        <f aca="false">IF(A43="",-1,AL43+ROW()/1000000000)</f>
        <v>4.3E-008</v>
      </c>
      <c r="AS43" s="28" t="n">
        <f aca="false">IF(A43="",-1,AK43+ROW()/1000000000)</f>
        <v>4.3E-008</v>
      </c>
      <c r="AT43" s="28" t="n">
        <f aca="false">IF(A43="",-1,AI43+ROW()/1000000000)</f>
        <v>4.3E-008</v>
      </c>
      <c r="AU43" s="25" t="n">
        <f aca="false">SUMIFS('SKU Data'!$W$6:$W$505,'SKU Data'!$B$6:$B$505,$A43)</f>
        <v>16</v>
      </c>
      <c r="AV43" s="28" t="n">
        <f aca="false">IF(A43="","",COUNTIFS($C$6:$C$85,C43,$M$6:$M$85,"&gt;"&amp;M43)+1)</f>
        <v>8</v>
      </c>
      <c r="AW43" s="9" t="str">
        <f aca="false">IF(A43="","",IF(AND(Options!T43&lt;&gt;"",N(Options!U43)&gt;0),"Y",""))</f>
        <v/>
      </c>
      <c r="AX43" s="9" t="n">
        <f aca="false">IF(A43="",0,COUNTIFS(Options!$R$6:$R$85,$A43,$V$6:$V$85,"&gt;0"))</f>
        <v>0</v>
      </c>
      <c r="AY43" s="13" t="n">
        <f aca="false">IF(Options!S43&lt;&gt;"",Options!S43,Settings!$B$23)</f>
        <v>0.3</v>
      </c>
      <c r="AZ43" s="14" t="n">
        <f aca="false">SUMIFS('SKU Data'!$U$6:$U$505,'SKU Data'!$B$6:$B$505,$A43)</f>
        <v>0</v>
      </c>
    </row>
    <row r="44" customFormat="false" ht="15" hidden="false" customHeight="false" outlineLevel="0" collapsed="false">
      <c r="A44" s="9" t="str">
        <f aca="false">IF(Options!A44="","",Options!A44)</f>
        <v>OPT039</v>
      </c>
      <c r="B44" s="9" t="str">
        <f aca="false">IF(A44="","",Options!B44&amp;" "&amp;Options!C44)</f>
        <v>Button-down shirt Olive</v>
      </c>
      <c r="C44" s="9" t="str">
        <f aca="false">IF(A44="","",Options!E44)</f>
        <v>Shirts</v>
      </c>
      <c r="D44" s="9" t="str">
        <f aca="false">IF(A44="","",Options!H44)</f>
        <v>Seasonal</v>
      </c>
      <c r="E44" s="12" t="n">
        <f aca="false">SUMIFS('SKU Data'!$E$6:$E$505,'SKU Data'!$B$6:$B$505,$A44)</f>
        <v>853</v>
      </c>
      <c r="F44" s="12" t="n">
        <f aca="false">SUMIFS('SKU Data'!$F$6:$F$505,'SKU Data'!$B$6:$B$505,$A44)</f>
        <v>0</v>
      </c>
      <c r="G44" s="12" t="n">
        <f aca="false">SUMIFS('SKU Data'!$G$6:$G$505,'SKU Data'!$B$6:$B$505,$A44)</f>
        <v>523</v>
      </c>
      <c r="H44" s="12" t="n">
        <f aca="false">N(Options!M44)</f>
        <v>0</v>
      </c>
      <c r="I44" s="12" t="n">
        <f aca="false">SUMIFS('SKU Data'!$H$6:$H$505,'SKU Data'!$B$6:$B$505,$A44)</f>
        <v>3</v>
      </c>
      <c r="J44" s="12" t="n">
        <f aca="false">SUMIFS('SKU Data'!$I$6:$I$505,'SKU Data'!$B$6:$B$505,$A44)</f>
        <v>3</v>
      </c>
      <c r="K44" s="12" t="n">
        <f aca="false">SUMIFS('SKU Data'!$J$6:$J$505,'SKU Data'!$B$6:$B$505,$A44)</f>
        <v>4</v>
      </c>
      <c r="L44" s="12" t="n">
        <f aca="false">SUMIFS('SKU Data'!$K$6:$K$505,'SKU Data'!$B$6:$B$505,$A44)</f>
        <v>3</v>
      </c>
      <c r="M44" s="25" t="n">
        <f aca="false">L44*Settings!$B$10+K44*Settings!$B$11+J44*Settings!$B$12+I44*Settings!$B$13</f>
        <v>3.3</v>
      </c>
      <c r="N44" s="25" t="n">
        <f aca="false">M44*Settings!$B$15</f>
        <v>2.97</v>
      </c>
      <c r="O44" s="12" t="n">
        <f aca="false">SUMIFS('SKU Data'!$L$6:$L$505,'SKU Data'!$B$6:$B$505,$A44)</f>
        <v>330</v>
      </c>
      <c r="P44" s="12" t="n">
        <f aca="false">SUMIFS('SKU Data'!$M$6:$M$505,'SKU Data'!$B$6:$B$505,$A44)</f>
        <v>197</v>
      </c>
      <c r="Q44" s="21" t="n">
        <f aca="false">IFERROR(O44/(E44-F44),0)</f>
        <v>0.386869871043376</v>
      </c>
      <c r="R44" s="21" t="n">
        <f aca="false">IFERROR(P44/(E44-F44),0)</f>
        <v>0.23094958968347</v>
      </c>
      <c r="S44" s="26" t="n">
        <f aca="false">IF(N44&lt;=0,IF(G44&gt;0,999,0),G44/N44)</f>
        <v>176.094276094276</v>
      </c>
      <c r="T44" s="25" t="n">
        <f aca="false">IF(N(Options!L44)&gt;0,Options!L44,Settings!$B$20)</f>
        <v>6</v>
      </c>
      <c r="U44" s="9" t="n">
        <f aca="false">COUNTIFS('SKU Data'!$B$6:$B$505,$A44,'SKU Data'!$D$6:$D$505,"Y")</f>
        <v>3</v>
      </c>
      <c r="V44" s="9" t="n">
        <f aca="false">COUNTIFS('SKU Data'!$B$6:$B$505,$A44,'SKU Data'!$D$6:$D$505,"Y",'SKU Data'!$G$6:$G$505,"&lt;=0")</f>
        <v>0</v>
      </c>
      <c r="W44" s="28" t="str">
        <f aca="false">IF(A44="","",IF(AND(V44&gt;0,G44&gt;0),"Y",""))</f>
        <v/>
      </c>
      <c r="X44" s="9" t="str">
        <f aca="false">IF(A44="","",IF(AND(G44&gt;0,OR(Options!P44="N",Options!Q44="N")),"Y",""))</f>
        <v>Y</v>
      </c>
      <c r="Y44" s="9" t="n">
        <f aca="false">IF(AND(A44&lt;&gt;"",U44&gt;0,V44=0,G44&gt;0,Options!P44&lt;&gt;"N",Options!Q44&lt;&gt;"N"),1,0)</f>
        <v>0</v>
      </c>
      <c r="Z44" s="29" t="n">
        <f aca="false">IFERROR((K44+L44)/(I44+J44)-1,0)</f>
        <v>0.166666666666667</v>
      </c>
      <c r="AA44" s="9" t="str">
        <f aca="false">IF(A44="","",IF(Q44&gt;=Settings!$B$17,"High","Low"))</f>
        <v>Low</v>
      </c>
      <c r="AB44" s="9" t="str">
        <f aca="false">IF(A44="","",IF(S44&lt;IF(D44="End of life",Settings!$B$9,IF(D44="Core",T44,MIN(T44,Settings!$B$9))),"Low",IF(S44&gt;IF(D44="Core",Settings!$B$19,Settings!$B$9+Settings!$B$18),"High","Balanced")))</f>
        <v>High</v>
      </c>
      <c r="AC44" s="28" t="str">
        <f aca="false">IF(A44="","",IF(AW44="Y","Held for a campaign",IF(AA44="High",IF(AB44="Low","Selling and short",IF(AB44="High","Selling, heavy","Selling, covered")),IF(AB44="Low","Slow and short",IF(AB44="High","Slow and heavy","Slow, covered")))))</f>
        <v>Slow and heavy</v>
      </c>
      <c r="AD44" s="9" t="str">
        <f aca="false">IF(A44="","",TRIM(IF(W44="Y","Broken curve. ","")&amp;IF(X44="Y","Hidden from customers. ","")&amp;IF(Options!O44="Y","Promoted. ","")&amp;IF(Options!I44="Y","Range job. ","")&amp;IF(D44="End of life","End of life. ","")&amp;IF(H44&gt;0,"Order due in "&amp;Options!N44&amp;" weeks. ","")&amp;IF(AW44="Y","Held for "&amp;Options!T44&amp;", starts in "&amp;Options!U44&amp;" weeks. ","")&amp;IF(AX44&gt;0,"Covering for "&amp;AX44&amp;" sold-out line(s). ","")))</f>
        <v>Hidden from customers.</v>
      </c>
      <c r="AE44" s="9" t="str">
        <f aca="false">IF(A44="","",IF(AW44="Y",IF(AND(N(Options!V44)&gt;0,G44+H44&gt;N(Options!V44)*1.1),Settings!$A$48,Settings!$A$47),IF(X44="Y",Settings!$A$27,IF(AND(W44="Y",D44&lt;&gt;"End of life",AA44="High"),IF(H44&gt;0,Settings!$A$28,Settings!$A$29),IF(AND(W44="Y",D44="End of life"),Settings!$A$30,IF(AC44="Selling and short",IF(D44="End of life",Settings!$A$31,IF(Options!O44="Y",Settings!$A$32,IF(AX44&gt;0,Settings!$A$33,IF(H44&gt;0,IF(N(Options!N44)&lt;=S44,Settings!$A$34,Settings!$A$35),IF(AND(D44&lt;&gt;"Core",T44&gt;=Settings!$B$9),Settings!$A$36,Settings!$A$37))))),IF(AC44="Selling, heavy",IF(D44="Core",Settings!$A$38,Settings!$A$39),IF(AC44="Selling, covered",Settings!$A$40,IF(AC44="Slow and heavy",IF(Options!I44="Y",Settings!$A$41,IF(D44="End of life",Settings!$A$42,Settings!$A$43)),IF(AC44="Slow and short",IF(W44="Y",Settings!$A$44,Settings!$A$45),Settings!$A$46))))))))))</f>
        <v>Fix findability: it is in stock but customers cannot find it</v>
      </c>
      <c r="AF44" s="9" t="str">
        <f aca="false">IF(A44="","",IFERROR(VLOOKUP(AM44,Settings!$A$27:$B$48,2,0),"Assign an owner"))</f>
        <v>Ecommerce Trading Manager</v>
      </c>
      <c r="AG44" s="14" t="n">
        <f aca="false">SUMIFS('SKU Data'!$V$6:$V$505,'SKU Data'!$B$6:$B$505,$A44)</f>
        <v>11924.4</v>
      </c>
      <c r="AH44" s="12" t="n">
        <f aca="false">IF(A44="",0,IF(AW44="Y",IF(N(Options!V44)&gt;0,MAX(0,G44+H44-N(Options!V44)),0),MAX(0,G44+H44-N44*IF(D44="Core",Settings!$B$19,Settings!$B$9))))</f>
        <v>511.12</v>
      </c>
      <c r="AI44" s="14" t="n">
        <f aca="false">IF(OR(A44="",D44="Core"),0,AH44*N(Options!J44)*Settings!$B$21)</f>
        <v>12266.88</v>
      </c>
      <c r="AJ44" s="14" t="n">
        <f aca="false">AH44*N(Options!K44)</f>
        <v>11653.536</v>
      </c>
      <c r="AK44" s="27" t="n">
        <f aca="false">AZ44*(1-AY44)</f>
        <v>0</v>
      </c>
      <c r="AL44" s="27" t="n">
        <f aca="false">AI44+AK44</f>
        <v>12266.88</v>
      </c>
      <c r="AM44" s="9" t="str">
        <f aca="false">IF(A44="","",IF(Options!W44&lt;&gt;"",Options!W44,AE44))</f>
        <v>Fix findability: it is in stock but customers cannot find it</v>
      </c>
      <c r="AN44" s="28" t="n">
        <f aca="false">IF(A44="","",COUNTIF($AR$6:$AR$85,"&gt;"&amp;AR44)+1)</f>
        <v>12</v>
      </c>
      <c r="AO44" s="9" t="str">
        <f aca="false">IF(A44="","",Options!D44)</f>
        <v>Oxford</v>
      </c>
      <c r="AP44" s="9" t="str">
        <f aca="false">IF(A44="","",Options!F44)</f>
        <v>Own brand</v>
      </c>
      <c r="AQ44" s="9" t="n">
        <f aca="false">IF(AND(A44&lt;&gt;"",AW44&lt;&gt;"Y",M44&gt;0,COUNTIF($M$6:$M$85,"&gt;"&amp;M44)&lt;Settings!$B$22),1,0)</f>
        <v>0</v>
      </c>
      <c r="AR44" s="28" t="n">
        <f aca="false">IF(A44="",-1,AL44+ROW()/1000000000)</f>
        <v>12266.880000044</v>
      </c>
      <c r="AS44" s="28" t="n">
        <f aca="false">IF(A44="",-1,AK44+ROW()/1000000000)</f>
        <v>4.4E-008</v>
      </c>
      <c r="AT44" s="28" t="n">
        <f aca="false">IF(A44="",-1,AI44+ROW()/1000000000)</f>
        <v>12266.880000044</v>
      </c>
      <c r="AU44" s="25" t="n">
        <f aca="false">SUMIFS('SKU Data'!$W$6:$W$505,'SKU Data'!$B$6:$B$505,$A44)</f>
        <v>3.25</v>
      </c>
      <c r="AV44" s="28" t="n">
        <f aca="false">IF(A44="","",COUNTIFS($C$6:$C$85,C44,$M$6:$M$85,"&gt;"&amp;M44)+1)</f>
        <v>14</v>
      </c>
      <c r="AW44" s="9" t="str">
        <f aca="false">IF(A44="","",IF(AND(Options!T44&lt;&gt;"",N(Options!U44)&gt;0),"Y",""))</f>
        <v/>
      </c>
      <c r="AX44" s="9" t="n">
        <f aca="false">IF(A44="",0,COUNTIFS(Options!$R$6:$R$85,$A44,$V$6:$V$85,"&gt;0"))</f>
        <v>0</v>
      </c>
      <c r="AY44" s="13" t="n">
        <f aca="false">IF(Options!S44&lt;&gt;"",Options!S44,Settings!$B$23)</f>
        <v>0.3</v>
      </c>
      <c r="AZ44" s="14" t="n">
        <f aca="false">SUMIFS('SKU Data'!$U$6:$U$505,'SKU Data'!$B$6:$B$505,$A44)</f>
        <v>0</v>
      </c>
    </row>
    <row r="45" customFormat="false" ht="15" hidden="false" customHeight="false" outlineLevel="0" collapsed="false">
      <c r="A45" s="9" t="str">
        <f aca="false">IF(Options!A45="","",Options!A45)</f>
        <v>OPT040</v>
      </c>
      <c r="B45" s="9" t="str">
        <f aca="false">IF(A45="","",Options!B45&amp;" "&amp;Options!C45)</f>
        <v>Check overshirt Stone</v>
      </c>
      <c r="C45" s="9" t="str">
        <f aca="false">IF(A45="","",Options!E45)</f>
        <v>Shirts</v>
      </c>
      <c r="D45" s="9" t="str">
        <f aca="false">IF(A45="","",Options!H45)</f>
        <v>Seasonal</v>
      </c>
      <c r="E45" s="12" t="n">
        <f aca="false">SUMIFS('SKU Data'!$E$6:$E$505,'SKU Data'!$B$6:$B$505,$A45)</f>
        <v>295</v>
      </c>
      <c r="F45" s="12" t="n">
        <f aca="false">SUMIFS('SKU Data'!$F$6:$F$505,'SKU Data'!$B$6:$B$505,$A45)</f>
        <v>0</v>
      </c>
      <c r="G45" s="12" t="n">
        <f aca="false">SUMIFS('SKU Data'!$G$6:$G$505,'SKU Data'!$B$6:$B$505,$A45)</f>
        <v>75</v>
      </c>
      <c r="H45" s="12" t="n">
        <f aca="false">N(Options!M45)</f>
        <v>0</v>
      </c>
      <c r="I45" s="12" t="n">
        <f aca="false">SUMIFS('SKU Data'!$H$6:$H$505,'SKU Data'!$B$6:$B$505,$A45)</f>
        <v>9</v>
      </c>
      <c r="J45" s="12" t="n">
        <f aca="false">SUMIFS('SKU Data'!$I$6:$I$505,'SKU Data'!$B$6:$B$505,$A45)</f>
        <v>11</v>
      </c>
      <c r="K45" s="12" t="n">
        <f aca="false">SUMIFS('SKU Data'!$J$6:$J$505,'SKU Data'!$B$6:$B$505,$A45)</f>
        <v>11</v>
      </c>
      <c r="L45" s="12" t="n">
        <f aca="false">SUMIFS('SKU Data'!$K$6:$K$505,'SKU Data'!$B$6:$B$505,$A45)</f>
        <v>11</v>
      </c>
      <c r="M45" s="25" t="n">
        <f aca="false">L45*Settings!$B$10+K45*Settings!$B$11+J45*Settings!$B$12+I45*Settings!$B$13</f>
        <v>10.8</v>
      </c>
      <c r="N45" s="25" t="n">
        <f aca="false">M45*Settings!$B$15</f>
        <v>9.72</v>
      </c>
      <c r="O45" s="12" t="n">
        <f aca="false">SUMIFS('SKU Data'!$L$6:$L$505,'SKU Data'!$B$6:$B$505,$A45)</f>
        <v>220</v>
      </c>
      <c r="P45" s="12" t="n">
        <f aca="false">SUMIFS('SKU Data'!$M$6:$M$505,'SKU Data'!$B$6:$B$505,$A45)</f>
        <v>193</v>
      </c>
      <c r="Q45" s="21" t="n">
        <f aca="false">IFERROR(O45/(E45-F45),0)</f>
        <v>0.745762711864407</v>
      </c>
      <c r="R45" s="21" t="n">
        <f aca="false">IFERROR(P45/(E45-F45),0)</f>
        <v>0.654237288135593</v>
      </c>
      <c r="S45" s="26" t="n">
        <f aca="false">IF(N45&lt;=0,IF(G45&gt;0,999,0),G45/N45)</f>
        <v>7.71604938271605</v>
      </c>
      <c r="T45" s="25" t="n">
        <f aca="false">IF(N(Options!L45)&gt;0,Options!L45,Settings!$B$20)</f>
        <v>6</v>
      </c>
      <c r="U45" s="9" t="n">
        <f aca="false">COUNTIFS('SKU Data'!$B$6:$B$505,$A45,'SKU Data'!$D$6:$D$505,"Y")</f>
        <v>3</v>
      </c>
      <c r="V45" s="9" t="n">
        <f aca="false">COUNTIFS('SKU Data'!$B$6:$B$505,$A45,'SKU Data'!$D$6:$D$505,"Y",'SKU Data'!$G$6:$G$505,"&lt;=0")</f>
        <v>0</v>
      </c>
      <c r="W45" s="28" t="str">
        <f aca="false">IF(A45="","",IF(AND(V45&gt;0,G45&gt;0),"Y",""))</f>
        <v/>
      </c>
      <c r="X45" s="9" t="str">
        <f aca="false">IF(A45="","",IF(AND(G45&gt;0,OR(Options!P45="N",Options!Q45="N")),"Y",""))</f>
        <v/>
      </c>
      <c r="Y45" s="9" t="n">
        <f aca="false">IF(AND(A45&lt;&gt;"",U45&gt;0,V45=0,G45&gt;0,Options!P45&lt;&gt;"N",Options!Q45&lt;&gt;"N"),1,0)</f>
        <v>1</v>
      </c>
      <c r="Z45" s="29" t="n">
        <f aca="false">IFERROR((K45+L45)/(I45+J45)-1,0)</f>
        <v>0.1</v>
      </c>
      <c r="AA45" s="9" t="str">
        <f aca="false">IF(A45="","",IF(Q45&gt;=Settings!$B$17,"High","Low"))</f>
        <v>High</v>
      </c>
      <c r="AB45" s="9" t="str">
        <f aca="false">IF(A45="","",IF(S45&lt;IF(D45="End of life",Settings!$B$9,IF(D45="Core",T45,MIN(T45,Settings!$B$9))),"Low",IF(S45&gt;IF(D45="Core",Settings!$B$19,Settings!$B$9+Settings!$B$18),"High","Balanced")))</f>
        <v>Balanced</v>
      </c>
      <c r="AC45" s="28" t="str">
        <f aca="false">IF(A45="","",IF(AW45="Y","Held for a campaign",IF(AA45="High",IF(AB45="Low","Selling and short",IF(AB45="High","Selling, heavy","Selling, covered")),IF(AB45="Low","Slow and short",IF(AB45="High","Slow and heavy","Slow, covered")))))</f>
        <v>Selling, covered</v>
      </c>
      <c r="AD45" s="9" t="str">
        <f aca="false">IF(A45="","",TRIM(IF(W45="Y","Broken curve. ","")&amp;IF(X45="Y","Hidden from customers. ","")&amp;IF(Options!O45="Y","Promoted. ","")&amp;IF(Options!I45="Y","Range job. ","")&amp;IF(D45="End of life","End of life. ","")&amp;IF(H45&gt;0,"Order due in "&amp;Options!N45&amp;" weeks. ","")&amp;IF(AW45="Y","Held for "&amp;Options!T45&amp;", starts in "&amp;Options!U45&amp;" weeks. ","")&amp;IF(AX45&gt;0,"Covering for "&amp;AX45&amp;" sold-out line(s). ","")))</f>
        <v/>
      </c>
      <c r="AE45" s="9" t="str">
        <f aca="false">IF(A45="","",IF(AW45="Y",IF(AND(N(Options!V45)&gt;0,G45+H45&gt;N(Options!V45)*1.1),Settings!$A$48,Settings!$A$47),IF(X45="Y",Settings!$A$27,IF(AND(W45="Y",D45&lt;&gt;"End of life",AA45="High"),IF(H45&gt;0,Settings!$A$28,Settings!$A$29),IF(AND(W45="Y",D45="End of life"),Settings!$A$30,IF(AC45="Selling and short",IF(D45="End of life",Settings!$A$31,IF(Options!O45="Y",Settings!$A$32,IF(AX45&gt;0,Settings!$A$33,IF(H45&gt;0,IF(N(Options!N45)&lt;=S45,Settings!$A$34,Settings!$A$35),IF(AND(D45&lt;&gt;"Core",T45&gt;=Settings!$B$9),Settings!$A$36,Settings!$A$37))))),IF(AC45="Selling, heavy",IF(D45="Core",Settings!$A$38,Settings!$A$39),IF(AC45="Selling, covered",Settings!$A$40,IF(AC45="Slow and heavy",IF(Options!I45="Y",Settings!$A$41,IF(D45="End of life",Settings!$A$42,Settings!$A$43)),IF(AC45="Slow and short",IF(W45="Y",Settings!$A$44,Settings!$A$45),Settings!$A$46))))))))))</f>
        <v>Hold</v>
      </c>
      <c r="AF45" s="9" t="str">
        <f aca="false">IF(A45="","",IFERROR(VLOOKUP(AM45,Settings!$A$27:$B$48,2,0),"Assign an owner"))</f>
        <v>Merchandiser</v>
      </c>
      <c r="AG45" s="14" t="n">
        <f aca="false">SUMIFS('SKU Data'!$V$6:$V$505,'SKU Data'!$B$6:$B$505,$A45)</f>
        <v>1567.5</v>
      </c>
      <c r="AH45" s="12" t="n">
        <f aca="false">IF(A45="",0,IF(AW45="Y",IF(N(Options!V45)&gt;0,MAX(0,G45+H45-N(Options!V45)),0),MAX(0,G45+H45-N45*IF(D45="Core",Settings!$B$19,Settings!$B$9))))</f>
        <v>36.12</v>
      </c>
      <c r="AI45" s="14" t="n">
        <f aca="false">IF(OR(A45="",D45="Core"),0,AH45*N(Options!J45)*Settings!$B$21)</f>
        <v>794.64</v>
      </c>
      <c r="AJ45" s="14" t="n">
        <f aca="false">AH45*N(Options!K45)</f>
        <v>754.908</v>
      </c>
      <c r="AK45" s="27" t="n">
        <f aca="false">AZ45*(1-AY45)</f>
        <v>0</v>
      </c>
      <c r="AL45" s="27" t="n">
        <f aca="false">AI45+AK45</f>
        <v>794.64</v>
      </c>
      <c r="AM45" s="9" t="str">
        <f aca="false">IF(A45="","",IF(Options!W45&lt;&gt;"",Options!W45,AE45))</f>
        <v>Hold</v>
      </c>
      <c r="AN45" s="28" t="n">
        <f aca="false">IF(A45="","",COUNTIF($AR$6:$AR$85,"&gt;"&amp;AR45)+1)</f>
        <v>44</v>
      </c>
      <c r="AO45" s="9" t="str">
        <f aca="false">IF(A45="","",Options!D45)</f>
        <v>Flannel</v>
      </c>
      <c r="AP45" s="9" t="str">
        <f aca="false">IF(A45="","",Options!F45)</f>
        <v>Own brand</v>
      </c>
      <c r="AQ45" s="9" t="n">
        <f aca="false">IF(AND(A45&lt;&gt;"",AW45&lt;&gt;"Y",M45&gt;0,COUNTIF($M$6:$M$85,"&gt;"&amp;M45)&lt;Settings!$B$22),1,0)</f>
        <v>0</v>
      </c>
      <c r="AR45" s="28" t="n">
        <f aca="false">IF(A45="",-1,AL45+ROW()/1000000000)</f>
        <v>794.640000045</v>
      </c>
      <c r="AS45" s="28" t="n">
        <f aca="false">IF(A45="",-1,AK45+ROW()/1000000000)</f>
        <v>4.5E-008</v>
      </c>
      <c r="AT45" s="28" t="n">
        <f aca="false">IF(A45="",-1,AI45+ROW()/1000000000)</f>
        <v>794.640000045</v>
      </c>
      <c r="AU45" s="25" t="n">
        <f aca="false">SUMIFS('SKU Data'!$W$6:$W$505,'SKU Data'!$B$6:$B$505,$A45)</f>
        <v>10.5</v>
      </c>
      <c r="AV45" s="28" t="n">
        <f aca="false">IF(A45="","",COUNTIFS($C$6:$C$85,C45,$M$6:$M$85,"&gt;"&amp;M45)+1)</f>
        <v>12</v>
      </c>
      <c r="AW45" s="9" t="str">
        <f aca="false">IF(A45="","",IF(AND(Options!T45&lt;&gt;"",N(Options!U45)&gt;0),"Y",""))</f>
        <v/>
      </c>
      <c r="AX45" s="9" t="n">
        <f aca="false">IF(A45="",0,COUNTIFS(Options!$R$6:$R$85,$A45,$V$6:$V$85,"&gt;0"))</f>
        <v>0</v>
      </c>
      <c r="AY45" s="13" t="n">
        <f aca="false">IF(Options!S45&lt;&gt;"",Options!S45,Settings!$B$23)</f>
        <v>0.3</v>
      </c>
      <c r="AZ45" s="14" t="n">
        <f aca="false">SUMIFS('SKU Data'!$U$6:$U$505,'SKU Data'!$B$6:$B$505,$A45)</f>
        <v>0</v>
      </c>
    </row>
    <row r="46" customFormat="false" ht="15" hidden="false" customHeight="false" outlineLevel="0" collapsed="false">
      <c r="A46" s="9" t="str">
        <f aca="false">IF(Options!A46="","",Options!A46)</f>
        <v>OPT041</v>
      </c>
      <c r="B46" s="9" t="str">
        <f aca="false">IF(A46="","",Options!B46&amp;" "&amp;Options!C46)</f>
        <v>Oxford shirt Charcoal</v>
      </c>
      <c r="C46" s="9" t="str">
        <f aca="false">IF(A46="","",Options!E46)</f>
        <v>Shirts</v>
      </c>
      <c r="D46" s="9" t="str">
        <f aca="false">IF(A46="","",Options!H46)</f>
        <v>Seasonal</v>
      </c>
      <c r="E46" s="12" t="n">
        <f aca="false">SUMIFS('SKU Data'!$E$6:$E$505,'SKU Data'!$B$6:$B$505,$A46)</f>
        <v>670</v>
      </c>
      <c r="F46" s="12" t="n">
        <f aca="false">SUMIFS('SKU Data'!$F$6:$F$505,'SKU Data'!$B$6:$B$505,$A46)</f>
        <v>0</v>
      </c>
      <c r="G46" s="12" t="n">
        <f aca="false">SUMIFS('SKU Data'!$G$6:$G$505,'SKU Data'!$B$6:$B$505,$A46)</f>
        <v>211</v>
      </c>
      <c r="H46" s="12" t="n">
        <f aca="false">N(Options!M46)</f>
        <v>0</v>
      </c>
      <c r="I46" s="12" t="n">
        <f aca="false">SUMIFS('SKU Data'!$H$6:$H$505,'SKU Data'!$B$6:$B$505,$A46)</f>
        <v>20</v>
      </c>
      <c r="J46" s="12" t="n">
        <f aca="false">SUMIFS('SKU Data'!$I$6:$I$505,'SKU Data'!$B$6:$B$505,$A46)</f>
        <v>19</v>
      </c>
      <c r="K46" s="12" t="n">
        <f aca="false">SUMIFS('SKU Data'!$J$6:$J$505,'SKU Data'!$B$6:$B$505,$A46)</f>
        <v>19</v>
      </c>
      <c r="L46" s="12" t="n">
        <f aca="false">SUMIFS('SKU Data'!$K$6:$K$505,'SKU Data'!$B$6:$B$505,$A46)</f>
        <v>21</v>
      </c>
      <c r="M46" s="25" t="n">
        <f aca="false">L46*Settings!$B$10+K46*Settings!$B$11+J46*Settings!$B$12+I46*Settings!$B$13</f>
        <v>19.9</v>
      </c>
      <c r="N46" s="25" t="n">
        <f aca="false">M46*Settings!$B$15</f>
        <v>17.91</v>
      </c>
      <c r="O46" s="12" t="n">
        <f aca="false">SUMIFS('SKU Data'!$L$6:$L$505,'SKU Data'!$B$6:$B$505,$A46)</f>
        <v>459</v>
      </c>
      <c r="P46" s="12" t="n">
        <f aca="false">SUMIFS('SKU Data'!$M$6:$M$505,'SKU Data'!$B$6:$B$505,$A46)</f>
        <v>404</v>
      </c>
      <c r="Q46" s="21" t="n">
        <f aca="false">IFERROR(O46/(E46-F46),0)</f>
        <v>0.685074626865672</v>
      </c>
      <c r="R46" s="21" t="n">
        <f aca="false">IFERROR(P46/(E46-F46),0)</f>
        <v>0.602985074626866</v>
      </c>
      <c r="S46" s="26" t="n">
        <f aca="false">IF(N46&lt;=0,IF(G46&gt;0,999,0),G46/N46)</f>
        <v>11.7811278615299</v>
      </c>
      <c r="T46" s="25" t="n">
        <f aca="false">IF(N(Options!L46)&gt;0,Options!L46,Settings!$B$20)</f>
        <v>8</v>
      </c>
      <c r="U46" s="9" t="n">
        <f aca="false">COUNTIFS('SKU Data'!$B$6:$B$505,$A46,'SKU Data'!$D$6:$D$505,"Y")</f>
        <v>3</v>
      </c>
      <c r="V46" s="9" t="n">
        <f aca="false">COUNTIFS('SKU Data'!$B$6:$B$505,$A46,'SKU Data'!$D$6:$D$505,"Y",'SKU Data'!$G$6:$G$505,"&lt;=0")</f>
        <v>0</v>
      </c>
      <c r="W46" s="28" t="str">
        <f aca="false">IF(A46="","",IF(AND(V46&gt;0,G46&gt;0),"Y",""))</f>
        <v/>
      </c>
      <c r="X46" s="9" t="str">
        <f aca="false">IF(A46="","",IF(AND(G46&gt;0,OR(Options!P46="N",Options!Q46="N")),"Y",""))</f>
        <v/>
      </c>
      <c r="Y46" s="9" t="n">
        <f aca="false">IF(AND(A46&lt;&gt;"",U46&gt;0,V46=0,G46&gt;0,Options!P46&lt;&gt;"N",Options!Q46&lt;&gt;"N"),1,0)</f>
        <v>1</v>
      </c>
      <c r="Z46" s="29" t="n">
        <f aca="false">IFERROR((K46+L46)/(I46+J46)-1,0)</f>
        <v>0.0256410256410256</v>
      </c>
      <c r="AA46" s="9" t="str">
        <f aca="false">IF(A46="","",IF(Q46&gt;=Settings!$B$17,"High","Low"))</f>
        <v>Low</v>
      </c>
      <c r="AB46" s="9" t="str">
        <f aca="false">IF(A46="","",IF(S46&lt;IF(D46="End of life",Settings!$B$9,IF(D46="Core",T46,MIN(T46,Settings!$B$9))),"Low",IF(S46&gt;IF(D46="Core",Settings!$B$19,Settings!$B$9+Settings!$B$18),"High","Balanced")))</f>
        <v>High</v>
      </c>
      <c r="AC46" s="28" t="str">
        <f aca="false">IF(A46="","",IF(AW46="Y","Held for a campaign",IF(AA46="High",IF(AB46="Low","Selling and short",IF(AB46="High","Selling, heavy","Selling, covered")),IF(AB46="Low","Slow and short",IF(AB46="High","Slow and heavy","Slow, covered")))))</f>
        <v>Slow and heavy</v>
      </c>
      <c r="AD46" s="9" t="str">
        <f aca="false">IF(A46="","",TRIM(IF(W46="Y","Broken curve. ","")&amp;IF(X46="Y","Hidden from customers. ","")&amp;IF(Options!O46="Y","Promoted. ","")&amp;IF(Options!I46="Y","Range job. ","")&amp;IF(D46="End of life","End of life. ","")&amp;IF(H46&gt;0,"Order due in "&amp;Options!N46&amp;" weeks. ","")&amp;IF(AW46="Y","Held for "&amp;Options!T46&amp;", starts in "&amp;Options!U46&amp;" weeks. ","")&amp;IF(AX46&gt;0,"Covering for "&amp;AX46&amp;" sold-out line(s). ","")))</f>
        <v/>
      </c>
      <c r="AE46" s="9" t="str">
        <f aca="false">IF(A46="","",IF(AW46="Y",IF(AND(N(Options!V46)&gt;0,G46+H46&gt;N(Options!V46)*1.1),Settings!$A$48,Settings!$A$47),IF(X46="Y",Settings!$A$27,IF(AND(W46="Y",D46&lt;&gt;"End of life",AA46="High"),IF(H46&gt;0,Settings!$A$28,Settings!$A$29),IF(AND(W46="Y",D46="End of life"),Settings!$A$30,IF(AC46="Selling and short",IF(D46="End of life",Settings!$A$31,IF(Options!O46="Y",Settings!$A$32,IF(AX46&gt;0,Settings!$A$33,IF(H46&gt;0,IF(N(Options!N46)&lt;=S46,Settings!$A$34,Settings!$A$35),IF(AND(D46&lt;&gt;"Core",T46&gt;=Settings!$B$9),Settings!$A$36,Settings!$A$37))))),IF(AC46="Selling, heavy",IF(D46="Core",Settings!$A$38,Settings!$A$39),IF(AC46="Selling, covered",Settings!$A$40,IF(AC46="Slow and heavy",IF(Options!I46="Y",Settings!$A$41,IF(D46="End of life",Settings!$A$42,Settings!$A$43)),IF(AC46="Slow and short",IF(W46="Y",Settings!$A$44,Settings!$A$45),Settings!$A$46))))))))))</f>
        <v>Mark down or re-merchandise</v>
      </c>
      <c r="AF46" s="9" t="str">
        <f aca="false">IF(A46="","",IFERROR(VLOOKUP(AM46,Settings!$A$27:$B$48,2,0),"Assign an owner"))</f>
        <v>Trading Manager</v>
      </c>
      <c r="AG46" s="14" t="n">
        <f aca="false">SUMIFS('SKU Data'!$V$6:$V$505,'SKU Data'!$B$6:$B$505,$A46)</f>
        <v>4409.9</v>
      </c>
      <c r="AH46" s="12" t="n">
        <f aca="false">IF(A46="",0,IF(AW46="Y",IF(N(Options!V46)&gt;0,MAX(0,G46+H46-N(Options!V46)),0),MAX(0,G46+H46-N46*IF(D46="Core",Settings!$B$19,Settings!$B$9))))</f>
        <v>139.36</v>
      </c>
      <c r="AI46" s="14" t="n">
        <f aca="false">IF(OR(A46="",D46="Core"),0,AH46*N(Options!J46)*Settings!$B$21)</f>
        <v>3065.92</v>
      </c>
      <c r="AJ46" s="14" t="n">
        <f aca="false">AH46*N(Options!K46)</f>
        <v>2912.624</v>
      </c>
      <c r="AK46" s="27" t="n">
        <f aca="false">AZ46*(1-AY46)</f>
        <v>0</v>
      </c>
      <c r="AL46" s="27" t="n">
        <f aca="false">AI46+AK46</f>
        <v>3065.92</v>
      </c>
      <c r="AM46" s="9" t="str">
        <f aca="false">IF(A46="","",IF(Options!W46&lt;&gt;"",Options!W46,AE46))</f>
        <v>Mark down or re-merchandise</v>
      </c>
      <c r="AN46" s="28" t="n">
        <f aca="false">IF(A46="","",COUNTIF($AR$6:$AR$85,"&gt;"&amp;AR46)+1)</f>
        <v>31</v>
      </c>
      <c r="AO46" s="9" t="str">
        <f aca="false">IF(A46="","",Options!D46)</f>
        <v>Oxford</v>
      </c>
      <c r="AP46" s="9" t="str">
        <f aca="false">IF(A46="","",Options!F46)</f>
        <v>Own brand</v>
      </c>
      <c r="AQ46" s="9" t="n">
        <f aca="false">IF(AND(A46&lt;&gt;"",AW46&lt;&gt;"Y",M46&gt;0,COUNTIF($M$6:$M$85,"&gt;"&amp;M46)&lt;Settings!$B$22),1,0)</f>
        <v>1</v>
      </c>
      <c r="AR46" s="28" t="n">
        <f aca="false">IF(A46="",-1,AL46+ROW()/1000000000)</f>
        <v>3065.920000046</v>
      </c>
      <c r="AS46" s="28" t="n">
        <f aca="false">IF(A46="",-1,AK46+ROW()/1000000000)</f>
        <v>4.6E-008</v>
      </c>
      <c r="AT46" s="28" t="n">
        <f aca="false">IF(A46="",-1,AI46+ROW()/1000000000)</f>
        <v>3065.920000046</v>
      </c>
      <c r="AU46" s="25" t="n">
        <f aca="false">SUMIFS('SKU Data'!$W$6:$W$505,'SKU Data'!$B$6:$B$505,$A46)</f>
        <v>19.75</v>
      </c>
      <c r="AV46" s="28" t="n">
        <f aca="false">IF(A46="","",COUNTIFS($C$6:$C$85,C46,$M$6:$M$85,"&gt;"&amp;M46)+1)</f>
        <v>5</v>
      </c>
      <c r="AW46" s="9" t="str">
        <f aca="false">IF(A46="","",IF(AND(Options!T46&lt;&gt;"",N(Options!U46)&gt;0),"Y",""))</f>
        <v/>
      </c>
      <c r="AX46" s="9" t="n">
        <f aca="false">IF(A46="",0,COUNTIFS(Options!$R$6:$R$85,$A46,$V$6:$V$85,"&gt;0"))</f>
        <v>0</v>
      </c>
      <c r="AY46" s="13" t="n">
        <f aca="false">IF(Options!S46&lt;&gt;"",Options!S46,Settings!$B$23)</f>
        <v>0.3</v>
      </c>
      <c r="AZ46" s="14" t="n">
        <f aca="false">SUMIFS('SKU Data'!$U$6:$U$505,'SKU Data'!$B$6:$B$505,$A46)</f>
        <v>0</v>
      </c>
    </row>
    <row r="47" customFormat="false" ht="15" hidden="false" customHeight="false" outlineLevel="0" collapsed="false">
      <c r="A47" s="9" t="str">
        <f aca="false">IF(Options!A47="","",Options!A47)</f>
        <v>OPT042</v>
      </c>
      <c r="B47" s="9" t="str">
        <f aca="false">IF(A47="","",Options!B47&amp;" "&amp;Options!C47)</f>
        <v>Check overshirt Burgundy</v>
      </c>
      <c r="C47" s="9" t="str">
        <f aca="false">IF(A47="","",Options!E47)</f>
        <v>Shirts</v>
      </c>
      <c r="D47" s="9" t="str">
        <f aca="false">IF(A47="","",Options!H47)</f>
        <v>Seasonal</v>
      </c>
      <c r="E47" s="12" t="n">
        <f aca="false">SUMIFS('SKU Data'!$E$6:$E$505,'SKU Data'!$B$6:$B$505,$A47)</f>
        <v>434</v>
      </c>
      <c r="F47" s="12" t="n">
        <f aca="false">SUMIFS('SKU Data'!$F$6:$F$505,'SKU Data'!$B$6:$B$505,$A47)</f>
        <v>0</v>
      </c>
      <c r="G47" s="12" t="n">
        <f aca="false">SUMIFS('SKU Data'!$G$6:$G$505,'SKU Data'!$B$6:$B$505,$A47)</f>
        <v>137</v>
      </c>
      <c r="H47" s="12" t="n">
        <f aca="false">N(Options!M47)</f>
        <v>0</v>
      </c>
      <c r="I47" s="12" t="n">
        <f aca="false">SUMIFS('SKU Data'!$H$6:$H$505,'SKU Data'!$B$6:$B$505,$A47)</f>
        <v>12</v>
      </c>
      <c r="J47" s="12" t="n">
        <f aca="false">SUMIFS('SKU Data'!$I$6:$I$505,'SKU Data'!$B$6:$B$505,$A47)</f>
        <v>13</v>
      </c>
      <c r="K47" s="12" t="n">
        <f aca="false">SUMIFS('SKU Data'!$J$6:$J$505,'SKU Data'!$B$6:$B$505,$A47)</f>
        <v>14</v>
      </c>
      <c r="L47" s="12" t="n">
        <f aca="false">SUMIFS('SKU Data'!$K$6:$K$505,'SKU Data'!$B$6:$B$505,$A47)</f>
        <v>16</v>
      </c>
      <c r="M47" s="25" t="n">
        <f aca="false">L47*Settings!$B$10+K47*Settings!$B$11+J47*Settings!$B$12+I47*Settings!$B$13</f>
        <v>14.4</v>
      </c>
      <c r="N47" s="25" t="n">
        <f aca="false">M47*Settings!$B$15</f>
        <v>12.96</v>
      </c>
      <c r="O47" s="12" t="n">
        <f aca="false">SUMIFS('SKU Data'!$L$6:$L$505,'SKU Data'!$B$6:$B$505,$A47)</f>
        <v>297</v>
      </c>
      <c r="P47" s="12" t="n">
        <f aca="false">SUMIFS('SKU Data'!$M$6:$M$505,'SKU Data'!$B$6:$B$505,$A47)</f>
        <v>262</v>
      </c>
      <c r="Q47" s="21" t="n">
        <f aca="false">IFERROR(O47/(E47-F47),0)</f>
        <v>0.684331797235023</v>
      </c>
      <c r="R47" s="21" t="n">
        <f aca="false">IFERROR(P47/(E47-F47),0)</f>
        <v>0.603686635944701</v>
      </c>
      <c r="S47" s="26" t="n">
        <f aca="false">IF(N47&lt;=0,IF(G47&gt;0,999,0),G47/N47)</f>
        <v>10.570987654321</v>
      </c>
      <c r="T47" s="25" t="n">
        <f aca="false">IF(N(Options!L47)&gt;0,Options!L47,Settings!$B$20)</f>
        <v>8</v>
      </c>
      <c r="U47" s="9" t="n">
        <f aca="false">COUNTIFS('SKU Data'!$B$6:$B$505,$A47,'SKU Data'!$D$6:$D$505,"Y")</f>
        <v>3</v>
      </c>
      <c r="V47" s="9" t="n">
        <f aca="false">COUNTIFS('SKU Data'!$B$6:$B$505,$A47,'SKU Data'!$D$6:$D$505,"Y",'SKU Data'!$G$6:$G$505,"&lt;=0")</f>
        <v>0</v>
      </c>
      <c r="W47" s="28" t="str">
        <f aca="false">IF(A47="","",IF(AND(V47&gt;0,G47&gt;0),"Y",""))</f>
        <v/>
      </c>
      <c r="X47" s="9" t="str">
        <f aca="false">IF(A47="","",IF(AND(G47&gt;0,OR(Options!P47="N",Options!Q47="N")),"Y",""))</f>
        <v/>
      </c>
      <c r="Y47" s="9" t="n">
        <f aca="false">IF(AND(A47&lt;&gt;"",U47&gt;0,V47=0,G47&gt;0,Options!P47&lt;&gt;"N",Options!Q47&lt;&gt;"N"),1,0)</f>
        <v>1</v>
      </c>
      <c r="Z47" s="29" t="n">
        <f aca="false">IFERROR((K47+L47)/(I47+J47)-1,0)</f>
        <v>0.2</v>
      </c>
      <c r="AA47" s="9" t="str">
        <f aca="false">IF(A47="","",IF(Q47&gt;=Settings!$B$17,"High","Low"))</f>
        <v>Low</v>
      </c>
      <c r="AB47" s="9" t="str">
        <f aca="false">IF(A47="","",IF(S47&lt;IF(D47="End of life",Settings!$B$9,IF(D47="Core",T47,MIN(T47,Settings!$B$9))),"Low",IF(S47&gt;IF(D47="Core",Settings!$B$19,Settings!$B$9+Settings!$B$18),"High","Balanced")))</f>
        <v>High</v>
      </c>
      <c r="AC47" s="28" t="str">
        <f aca="false">IF(A47="","",IF(AW47="Y","Held for a campaign",IF(AA47="High",IF(AB47="Low","Selling and short",IF(AB47="High","Selling, heavy","Selling, covered")),IF(AB47="Low","Slow and short",IF(AB47="High","Slow and heavy","Slow, covered")))))</f>
        <v>Slow and heavy</v>
      </c>
      <c r="AD47" s="9" t="str">
        <f aca="false">IF(A47="","",TRIM(IF(W47="Y","Broken curve. ","")&amp;IF(X47="Y","Hidden from customers. ","")&amp;IF(Options!O47="Y","Promoted. ","")&amp;IF(Options!I47="Y","Range job. ","")&amp;IF(D47="End of life","End of life. ","")&amp;IF(H47&gt;0,"Order due in "&amp;Options!N47&amp;" weeks. ","")&amp;IF(AW47="Y","Held for "&amp;Options!T47&amp;", starts in "&amp;Options!U47&amp;" weeks. ","")&amp;IF(AX47&gt;0,"Covering for "&amp;AX47&amp;" sold-out line(s). ","")))</f>
        <v/>
      </c>
      <c r="AE47" s="9" t="str">
        <f aca="false">IF(A47="","",IF(AW47="Y",IF(AND(N(Options!V47)&gt;0,G47+H47&gt;N(Options!V47)*1.1),Settings!$A$48,Settings!$A$47),IF(X47="Y",Settings!$A$27,IF(AND(W47="Y",D47&lt;&gt;"End of life",AA47="High"),IF(H47&gt;0,Settings!$A$28,Settings!$A$29),IF(AND(W47="Y",D47="End of life"),Settings!$A$30,IF(AC47="Selling and short",IF(D47="End of life",Settings!$A$31,IF(Options!O47="Y",Settings!$A$32,IF(AX47&gt;0,Settings!$A$33,IF(H47&gt;0,IF(N(Options!N47)&lt;=S47,Settings!$A$34,Settings!$A$35),IF(AND(D47&lt;&gt;"Core",T47&gt;=Settings!$B$9),Settings!$A$36,Settings!$A$37))))),IF(AC47="Selling, heavy",IF(D47="Core",Settings!$A$38,Settings!$A$39),IF(AC47="Selling, covered",Settings!$A$40,IF(AC47="Slow and heavy",IF(Options!I47="Y",Settings!$A$41,IF(D47="End of life",Settings!$A$42,Settings!$A$43)),IF(AC47="Slow and short",IF(W47="Y",Settings!$A$44,Settings!$A$45),Settings!$A$46))))))))))</f>
        <v>Mark down or re-merchandise</v>
      </c>
      <c r="AF47" s="9" t="str">
        <f aca="false">IF(A47="","",IFERROR(VLOOKUP(AM47,Settings!$A$27:$B$48,2,0),"Assign an owner"))</f>
        <v>Trading Manager</v>
      </c>
      <c r="AG47" s="14" t="n">
        <f aca="false">SUMIFS('SKU Data'!$V$6:$V$505,'SKU Data'!$B$6:$B$505,$A47)</f>
        <v>2863.3</v>
      </c>
      <c r="AH47" s="12" t="n">
        <f aca="false">IF(A47="",0,IF(AW47="Y",IF(N(Options!V47)&gt;0,MAX(0,G47+H47-N(Options!V47)),0),MAX(0,G47+H47-N47*IF(D47="Core",Settings!$B$19,Settings!$B$9))))</f>
        <v>85.16</v>
      </c>
      <c r="AI47" s="14" t="n">
        <f aca="false">IF(OR(A47="",D47="Core"),0,AH47*N(Options!J47)*Settings!$B$21)</f>
        <v>1873.52</v>
      </c>
      <c r="AJ47" s="14" t="n">
        <f aca="false">AH47*N(Options!K47)</f>
        <v>1779.844</v>
      </c>
      <c r="AK47" s="27" t="n">
        <f aca="false">AZ47*(1-AY47)</f>
        <v>0</v>
      </c>
      <c r="AL47" s="27" t="n">
        <f aca="false">AI47+AK47</f>
        <v>1873.52</v>
      </c>
      <c r="AM47" s="9" t="str">
        <f aca="false">IF(A47="","",IF(Options!W47&lt;&gt;"",Options!W47,AE47))</f>
        <v>Mark down or re-merchandise</v>
      </c>
      <c r="AN47" s="28" t="n">
        <f aca="false">IF(A47="","",COUNTIF($AR$6:$AR$85,"&gt;"&amp;AR47)+1)</f>
        <v>36</v>
      </c>
      <c r="AO47" s="9" t="str">
        <f aca="false">IF(A47="","",Options!D47)</f>
        <v>Flannel</v>
      </c>
      <c r="AP47" s="9" t="str">
        <f aca="false">IF(A47="","",Options!F47)</f>
        <v>Partner brand</v>
      </c>
      <c r="AQ47" s="9" t="n">
        <f aca="false">IF(AND(A47&lt;&gt;"",AW47&lt;&gt;"Y",M47&gt;0,COUNTIF($M$6:$M$85,"&gt;"&amp;M47)&lt;Settings!$B$22),1,0)</f>
        <v>0</v>
      </c>
      <c r="AR47" s="28" t="n">
        <f aca="false">IF(A47="",-1,AL47+ROW()/1000000000)</f>
        <v>1873.520000047</v>
      </c>
      <c r="AS47" s="28" t="n">
        <f aca="false">IF(A47="",-1,AK47+ROW()/1000000000)</f>
        <v>4.7E-008</v>
      </c>
      <c r="AT47" s="28" t="n">
        <f aca="false">IF(A47="",-1,AI47+ROW()/1000000000)</f>
        <v>1873.520000047</v>
      </c>
      <c r="AU47" s="25" t="n">
        <f aca="false">SUMIFS('SKU Data'!$W$6:$W$505,'SKU Data'!$B$6:$B$505,$A47)</f>
        <v>13.75</v>
      </c>
      <c r="AV47" s="28" t="n">
        <f aca="false">IF(A47="","",COUNTIFS($C$6:$C$85,C47,$M$6:$M$85,"&gt;"&amp;M47)+1)</f>
        <v>9</v>
      </c>
      <c r="AW47" s="9" t="str">
        <f aca="false">IF(A47="","",IF(AND(Options!T47&lt;&gt;"",N(Options!U47)&gt;0),"Y",""))</f>
        <v/>
      </c>
      <c r="AX47" s="9" t="n">
        <f aca="false">IF(A47="",0,COUNTIFS(Options!$R$6:$R$85,$A47,$V$6:$V$85,"&gt;0"))</f>
        <v>0</v>
      </c>
      <c r="AY47" s="13" t="n">
        <f aca="false">IF(Options!S47&lt;&gt;"",Options!S47,Settings!$B$23)</f>
        <v>0.3</v>
      </c>
      <c r="AZ47" s="14" t="n">
        <f aca="false">SUMIFS('SKU Data'!$U$6:$U$505,'SKU Data'!$B$6:$B$505,$A47)</f>
        <v>0</v>
      </c>
    </row>
    <row r="48" customFormat="false" ht="15" hidden="false" customHeight="false" outlineLevel="0" collapsed="false">
      <c r="A48" s="9" t="str">
        <f aca="false">IF(Options!A48="","",Options!A48)</f>
        <v>OPT043</v>
      </c>
      <c r="B48" s="9" t="str">
        <f aca="false">IF(A48="","",Options!B48&amp;" "&amp;Options!C48)</f>
        <v>Oxford shirt Rust</v>
      </c>
      <c r="C48" s="9" t="str">
        <f aca="false">IF(A48="","",Options!E48)</f>
        <v>Shirts</v>
      </c>
      <c r="D48" s="9" t="str">
        <f aca="false">IF(A48="","",Options!H48)</f>
        <v>Seasonal</v>
      </c>
      <c r="E48" s="12" t="n">
        <f aca="false">SUMIFS('SKU Data'!$E$6:$E$505,'SKU Data'!$B$6:$B$505,$A48)</f>
        <v>370</v>
      </c>
      <c r="F48" s="12" t="n">
        <f aca="false">SUMIFS('SKU Data'!$F$6:$F$505,'SKU Data'!$B$6:$B$505,$A48)</f>
        <v>0</v>
      </c>
      <c r="G48" s="12" t="n">
        <f aca="false">SUMIFS('SKU Data'!$G$6:$G$505,'SKU Data'!$B$6:$B$505,$A48)</f>
        <v>52</v>
      </c>
      <c r="H48" s="12" t="n">
        <f aca="false">N(Options!M48)</f>
        <v>0</v>
      </c>
      <c r="I48" s="12" t="n">
        <f aca="false">SUMIFS('SKU Data'!$H$6:$H$505,'SKU Data'!$B$6:$B$505,$A48)</f>
        <v>20</v>
      </c>
      <c r="J48" s="12" t="n">
        <f aca="false">SUMIFS('SKU Data'!$I$6:$I$505,'SKU Data'!$B$6:$B$505,$A48)</f>
        <v>22</v>
      </c>
      <c r="K48" s="12" t="n">
        <f aca="false">SUMIFS('SKU Data'!$J$6:$J$505,'SKU Data'!$B$6:$B$505,$A48)</f>
        <v>28</v>
      </c>
      <c r="L48" s="12" t="n">
        <f aca="false">SUMIFS('SKU Data'!$K$6:$K$505,'SKU Data'!$B$6:$B$505,$A48)</f>
        <v>28</v>
      </c>
      <c r="M48" s="25" t="n">
        <f aca="false">L48*Settings!$B$10+K48*Settings!$B$11+J48*Settings!$B$12+I48*Settings!$B$13</f>
        <v>26</v>
      </c>
      <c r="N48" s="25" t="n">
        <f aca="false">M48*Settings!$B$15</f>
        <v>23.4</v>
      </c>
      <c r="O48" s="12" t="n">
        <f aca="false">SUMIFS('SKU Data'!$L$6:$L$505,'SKU Data'!$B$6:$B$505,$A48)</f>
        <v>318</v>
      </c>
      <c r="P48" s="12" t="n">
        <f aca="false">SUMIFS('SKU Data'!$M$6:$M$505,'SKU Data'!$B$6:$B$505,$A48)</f>
        <v>239</v>
      </c>
      <c r="Q48" s="21" t="n">
        <f aca="false">IFERROR(O48/(E48-F48),0)</f>
        <v>0.85945945945946</v>
      </c>
      <c r="R48" s="21" t="n">
        <f aca="false">IFERROR(P48/(E48-F48),0)</f>
        <v>0.645945945945946</v>
      </c>
      <c r="S48" s="26" t="n">
        <f aca="false">IF(N48&lt;=0,IF(G48&gt;0,999,0),G48/N48)</f>
        <v>2.22222222222222</v>
      </c>
      <c r="T48" s="25" t="n">
        <f aca="false">IF(N(Options!L48)&gt;0,Options!L48,Settings!$B$20)</f>
        <v>6</v>
      </c>
      <c r="U48" s="9" t="n">
        <f aca="false">COUNTIFS('SKU Data'!$B$6:$B$505,$A48,'SKU Data'!$D$6:$D$505,"Y")</f>
        <v>3</v>
      </c>
      <c r="V48" s="9" t="n">
        <f aca="false">COUNTIFS('SKU Data'!$B$6:$B$505,$A48,'SKU Data'!$D$6:$D$505,"Y",'SKU Data'!$G$6:$G$505,"&lt;=0")</f>
        <v>0</v>
      </c>
      <c r="W48" s="28" t="str">
        <f aca="false">IF(A48="","",IF(AND(V48&gt;0,G48&gt;0),"Y",""))</f>
        <v/>
      </c>
      <c r="X48" s="9" t="str">
        <f aca="false">IF(A48="","",IF(AND(G48&gt;0,OR(Options!P48="N",Options!Q48="N")),"Y",""))</f>
        <v/>
      </c>
      <c r="Y48" s="9" t="n">
        <f aca="false">IF(AND(A48&lt;&gt;"",U48&gt;0,V48=0,G48&gt;0,Options!P48&lt;&gt;"N",Options!Q48&lt;&gt;"N"),1,0)</f>
        <v>1</v>
      </c>
      <c r="Z48" s="29" t="n">
        <f aca="false">IFERROR((K48+L48)/(I48+J48)-1,0)</f>
        <v>0.333333333333333</v>
      </c>
      <c r="AA48" s="9" t="str">
        <f aca="false">IF(A48="","",IF(Q48&gt;=Settings!$B$17,"High","Low"))</f>
        <v>High</v>
      </c>
      <c r="AB48" s="9" t="str">
        <f aca="false">IF(A48="","",IF(S48&lt;IF(D48="End of life",Settings!$B$9,IF(D48="Core",T48,MIN(T48,Settings!$B$9))),"Low",IF(S48&gt;IF(D48="Core",Settings!$B$19,Settings!$B$9+Settings!$B$18),"High","Balanced")))</f>
        <v>Low</v>
      </c>
      <c r="AC48" s="28" t="str">
        <f aca="false">IF(A48="","",IF(AW48="Y","Held for a campaign",IF(AA48="High",IF(AB48="Low","Selling and short",IF(AB48="High","Selling, heavy","Selling, covered")),IF(AB48="Low","Slow and short",IF(AB48="High","Slow and heavy","Slow, covered")))))</f>
        <v>Selling and short</v>
      </c>
      <c r="AD48" s="9" t="str">
        <f aca="false">IF(A48="","",TRIM(IF(W48="Y","Broken curve. ","")&amp;IF(X48="Y","Hidden from customers. ","")&amp;IF(Options!O48="Y","Promoted. ","")&amp;IF(Options!I48="Y","Range job. ","")&amp;IF(D48="End of life","End of life. ","")&amp;IF(H48&gt;0,"Order due in "&amp;Options!N48&amp;" weeks. ","")&amp;IF(AW48="Y","Held for "&amp;Options!T48&amp;", starts in "&amp;Options!U48&amp;" weeks. ","")&amp;IF(AX48&gt;0,"Covering for "&amp;AX48&amp;" sold-out line(s). ","")))</f>
        <v>Promoted.</v>
      </c>
      <c r="AE48" s="9" t="str">
        <f aca="false">IF(A48="","",IF(AW48="Y",IF(AND(N(Options!V48)&gt;0,G48+H48&gt;N(Options!V48)*1.1),Settings!$A$48,Settings!$A$47),IF(X48="Y",Settings!$A$27,IF(AND(W48="Y",D48&lt;&gt;"End of life",AA48="High"),IF(H48&gt;0,Settings!$A$28,Settings!$A$29),IF(AND(W48="Y",D48="End of life"),Settings!$A$30,IF(AC48="Selling and short",IF(D48="End of life",Settings!$A$31,IF(Options!O48="Y",Settings!$A$32,IF(AX48&gt;0,Settings!$A$33,IF(H48&gt;0,IF(N(Options!N48)&lt;=S48,Settings!$A$34,Settings!$A$35),IF(AND(D48&lt;&gt;"Core",T48&gt;=Settings!$B$9),Settings!$A$36,Settings!$A$37))))),IF(AC48="Selling, heavy",IF(D48="Core",Settings!$A$38,Settings!$A$39),IF(AC48="Selling, covered",Settings!$A$40,IF(AC48="Slow and heavy",IF(Options!I48="Y",Settings!$A$41,IF(D48="End of life",Settings!$A$42,Settings!$A$43)),IF(AC48="Slow and short",IF(W48="Y",Settings!$A$44,Settings!$A$45),Settings!$A$46))))))))))</f>
        <v>Check demand without the promotion before reordering</v>
      </c>
      <c r="AF48" s="9" t="str">
        <f aca="false">IF(A48="","",IFERROR(VLOOKUP(AM48,Settings!$A$27:$B$48,2,0),"Assign an owner"))</f>
        <v>Trading Manager</v>
      </c>
      <c r="AG48" s="14" t="n">
        <f aca="false">SUMIFS('SKU Data'!$V$6:$V$505,'SKU Data'!$B$6:$B$505,$A48)</f>
        <v>1185.6</v>
      </c>
      <c r="AH48" s="12" t="n">
        <f aca="false">IF(A48="",0,IF(AW48="Y",IF(N(Options!V48)&gt;0,MAX(0,G48+H48-N(Options!V48)),0),MAX(0,G48+H48-N48*IF(D48="Core",Settings!$B$19,Settings!$B$9))))</f>
        <v>0</v>
      </c>
      <c r="AI48" s="14" t="n">
        <f aca="false">IF(OR(A48="",D48="Core"),0,AH48*N(Options!J48)*Settings!$B$21)</f>
        <v>0</v>
      </c>
      <c r="AJ48" s="14" t="n">
        <f aca="false">AH48*N(Options!K48)</f>
        <v>0</v>
      </c>
      <c r="AK48" s="27" t="n">
        <f aca="false">AZ48*(1-AY48)</f>
        <v>0</v>
      </c>
      <c r="AL48" s="27" t="n">
        <f aca="false">AI48+AK48</f>
        <v>0</v>
      </c>
      <c r="AM48" s="9" t="str">
        <f aca="false">IF(A48="","",IF(Options!W48&lt;&gt;"",Options!W48,AE48))</f>
        <v>Check demand without the promotion before reordering</v>
      </c>
      <c r="AN48" s="28" t="n">
        <f aca="false">IF(A48="","",COUNTIF($AR$6:$AR$85,"&gt;"&amp;AR48)+1)</f>
        <v>51</v>
      </c>
      <c r="AO48" s="9" t="str">
        <f aca="false">IF(A48="","",Options!D48)</f>
        <v>Oxford</v>
      </c>
      <c r="AP48" s="9" t="str">
        <f aca="false">IF(A48="","",Options!F48)</f>
        <v>Own brand</v>
      </c>
      <c r="AQ48" s="9" t="n">
        <f aca="false">IF(AND(A48&lt;&gt;"",AW48&lt;&gt;"Y",M48&gt;0,COUNTIF($M$6:$M$85,"&gt;"&amp;M48)&lt;Settings!$B$22),1,0)</f>
        <v>1</v>
      </c>
      <c r="AR48" s="28" t="n">
        <f aca="false">IF(A48="",-1,AL48+ROW()/1000000000)</f>
        <v>4.8E-008</v>
      </c>
      <c r="AS48" s="28" t="n">
        <f aca="false">IF(A48="",-1,AK48+ROW()/1000000000)</f>
        <v>4.8E-008</v>
      </c>
      <c r="AT48" s="28" t="n">
        <f aca="false">IF(A48="",-1,AI48+ROW()/1000000000)</f>
        <v>4.8E-008</v>
      </c>
      <c r="AU48" s="25" t="n">
        <f aca="false">SUMIFS('SKU Data'!$W$6:$W$505,'SKU Data'!$B$6:$B$505,$A48)</f>
        <v>24.5</v>
      </c>
      <c r="AV48" s="28" t="n">
        <f aca="false">IF(A48="","",COUNTIFS($C$6:$C$85,C48,$M$6:$M$85,"&gt;"&amp;M48)+1)</f>
        <v>1</v>
      </c>
      <c r="AW48" s="9" t="str">
        <f aca="false">IF(A48="","",IF(AND(Options!T48&lt;&gt;"",N(Options!U48)&gt;0),"Y",""))</f>
        <v/>
      </c>
      <c r="AX48" s="9" t="n">
        <f aca="false">IF(A48="",0,COUNTIFS(Options!$R$6:$R$85,$A48,$V$6:$V$85,"&gt;0"))</f>
        <v>0</v>
      </c>
      <c r="AY48" s="13" t="n">
        <f aca="false">IF(Options!S48&lt;&gt;"",Options!S48,Settings!$B$23)</f>
        <v>0.3</v>
      </c>
      <c r="AZ48" s="14" t="n">
        <f aca="false">SUMIFS('SKU Data'!$U$6:$U$505,'SKU Data'!$B$6:$B$505,$A48)</f>
        <v>0</v>
      </c>
    </row>
    <row r="49" customFormat="false" ht="15" hidden="false" customHeight="false" outlineLevel="0" collapsed="false">
      <c r="A49" s="9" t="str">
        <f aca="false">IF(Options!A49="","",Options!A49)</f>
        <v>OPT044</v>
      </c>
      <c r="B49" s="9" t="str">
        <f aca="false">IF(A49="","",Options!B49&amp;" "&amp;Options!C49)</f>
        <v>Flannel shirt Pink</v>
      </c>
      <c r="C49" s="9" t="str">
        <f aca="false">IF(A49="","",Options!E49)</f>
        <v>Shirts</v>
      </c>
      <c r="D49" s="9" t="str">
        <f aca="false">IF(A49="","",Options!H49)</f>
        <v>Seasonal</v>
      </c>
      <c r="E49" s="12" t="n">
        <f aca="false">SUMIFS('SKU Data'!$E$6:$E$505,'SKU Data'!$B$6:$B$505,$A49)</f>
        <v>2150</v>
      </c>
      <c r="F49" s="12" t="n">
        <f aca="false">SUMIFS('SKU Data'!$F$6:$F$505,'SKU Data'!$B$6:$B$505,$A49)</f>
        <v>0</v>
      </c>
      <c r="G49" s="12" t="n">
        <f aca="false">SUMIFS('SKU Data'!$G$6:$G$505,'SKU Data'!$B$6:$B$505,$A49)</f>
        <v>1658</v>
      </c>
      <c r="H49" s="12" t="n">
        <f aca="false">N(Options!M49)</f>
        <v>0</v>
      </c>
      <c r="I49" s="12" t="n">
        <f aca="false">SUMIFS('SKU Data'!$H$6:$H$505,'SKU Data'!$B$6:$B$505,$A49)</f>
        <v>16</v>
      </c>
      <c r="J49" s="12" t="n">
        <f aca="false">SUMIFS('SKU Data'!$I$6:$I$505,'SKU Data'!$B$6:$B$505,$A49)</f>
        <v>16</v>
      </c>
      <c r="K49" s="12" t="n">
        <f aca="false">SUMIFS('SKU Data'!$J$6:$J$505,'SKU Data'!$B$6:$B$505,$A49)</f>
        <v>18</v>
      </c>
      <c r="L49" s="12" t="n">
        <f aca="false">SUMIFS('SKU Data'!$K$6:$K$505,'SKU Data'!$B$6:$B$505,$A49)</f>
        <v>19</v>
      </c>
      <c r="M49" s="25" t="n">
        <f aca="false">L49*Settings!$B$10+K49*Settings!$B$11+J49*Settings!$B$12+I49*Settings!$B$13</f>
        <v>17.8</v>
      </c>
      <c r="N49" s="25" t="n">
        <f aca="false">M49*Settings!$B$15</f>
        <v>16.02</v>
      </c>
      <c r="O49" s="12" t="n">
        <f aca="false">SUMIFS('SKU Data'!$L$6:$L$505,'SKU Data'!$B$6:$B$505,$A49)</f>
        <v>492</v>
      </c>
      <c r="P49" s="12" t="n">
        <f aca="false">SUMIFS('SKU Data'!$M$6:$M$505,'SKU Data'!$B$6:$B$505,$A49)</f>
        <v>296</v>
      </c>
      <c r="Q49" s="21" t="n">
        <f aca="false">IFERROR(O49/(E49-F49),0)</f>
        <v>0.228837209302326</v>
      </c>
      <c r="R49" s="21" t="n">
        <f aca="false">IFERROR(P49/(E49-F49),0)</f>
        <v>0.137674418604651</v>
      </c>
      <c r="S49" s="26" t="n">
        <f aca="false">IF(N49&lt;=0,IF(G49&gt;0,999,0),G49/N49)</f>
        <v>103.495630461923</v>
      </c>
      <c r="T49" s="25" t="n">
        <f aca="false">IF(N(Options!L49)&gt;0,Options!L49,Settings!$B$20)</f>
        <v>10</v>
      </c>
      <c r="U49" s="9" t="n">
        <f aca="false">COUNTIFS('SKU Data'!$B$6:$B$505,$A49,'SKU Data'!$D$6:$D$505,"Y")</f>
        <v>3</v>
      </c>
      <c r="V49" s="9" t="n">
        <f aca="false">COUNTIFS('SKU Data'!$B$6:$B$505,$A49,'SKU Data'!$D$6:$D$505,"Y",'SKU Data'!$G$6:$G$505,"&lt;=0")</f>
        <v>0</v>
      </c>
      <c r="W49" s="28" t="str">
        <f aca="false">IF(A49="","",IF(AND(V49&gt;0,G49&gt;0),"Y",""))</f>
        <v/>
      </c>
      <c r="X49" s="9" t="str">
        <f aca="false">IF(A49="","",IF(AND(G49&gt;0,OR(Options!P49="N",Options!Q49="N")),"Y",""))</f>
        <v/>
      </c>
      <c r="Y49" s="9" t="n">
        <f aca="false">IF(AND(A49&lt;&gt;"",U49&gt;0,V49=0,G49&gt;0,Options!P49&lt;&gt;"N",Options!Q49&lt;&gt;"N"),1,0)</f>
        <v>1</v>
      </c>
      <c r="Z49" s="29" t="n">
        <f aca="false">IFERROR((K49+L49)/(I49+J49)-1,0)</f>
        <v>0.15625</v>
      </c>
      <c r="AA49" s="9" t="str">
        <f aca="false">IF(A49="","",IF(Q49&gt;=Settings!$B$17,"High","Low"))</f>
        <v>Low</v>
      </c>
      <c r="AB49" s="9" t="str">
        <f aca="false">IF(A49="","",IF(S49&lt;IF(D49="End of life",Settings!$B$9,IF(D49="Core",T49,MIN(T49,Settings!$B$9))),"Low",IF(S49&gt;IF(D49="Core",Settings!$B$19,Settings!$B$9+Settings!$B$18),"High","Balanced")))</f>
        <v>High</v>
      </c>
      <c r="AC49" s="28" t="str">
        <f aca="false">IF(A49="","",IF(AW49="Y","Held for a campaign",IF(AA49="High",IF(AB49="Low","Selling and short",IF(AB49="High","Selling, heavy","Selling, covered")),IF(AB49="Low","Slow and short",IF(AB49="High","Slow and heavy","Slow, covered")))))</f>
        <v>Slow and heavy</v>
      </c>
      <c r="AD49" s="9" t="str">
        <f aca="false">IF(A49="","",TRIM(IF(W49="Y","Broken curve. ","")&amp;IF(X49="Y","Hidden from customers. ","")&amp;IF(Options!O49="Y","Promoted. ","")&amp;IF(Options!I49="Y","Range job. ","")&amp;IF(D49="End of life","End of life. ","")&amp;IF(H49&gt;0,"Order due in "&amp;Options!N49&amp;" weeks. ","")&amp;IF(AW49="Y","Held for "&amp;Options!T49&amp;", starts in "&amp;Options!U49&amp;" weeks. ","")&amp;IF(AX49&gt;0,"Covering for "&amp;AX49&amp;" sold-out line(s). ","")))</f>
        <v>Range job.</v>
      </c>
      <c r="AE49" s="9" t="str">
        <f aca="false">IF(A49="","",IF(AW49="Y",IF(AND(N(Options!V49)&gt;0,G49+H49&gt;N(Options!V49)*1.1),Settings!$A$48,Settings!$A$47),IF(X49="Y",Settings!$A$27,IF(AND(W49="Y",D49&lt;&gt;"End of life",AA49="High"),IF(H49&gt;0,Settings!$A$28,Settings!$A$29),IF(AND(W49="Y",D49="End of life"),Settings!$A$30,IF(AC49="Selling and short",IF(D49="End of life",Settings!$A$31,IF(Options!O49="Y",Settings!$A$32,IF(AX49&gt;0,Settings!$A$33,IF(H49&gt;0,IF(N(Options!N49)&lt;=S49,Settings!$A$34,Settings!$A$35),IF(AND(D49&lt;&gt;"Core",T49&gt;=Settings!$B$9),Settings!$A$36,Settings!$A$37))))),IF(AC49="Selling, heavy",IF(D49="Core",Settings!$A$38,Settings!$A$39),IF(AC49="Selling, covered",Settings!$A$40,IF(AC49="Slow and heavy",IF(Options!I49="Y",Settings!$A$41,IF(D49="End of life",Settings!$A$42,Settings!$A$43)),IF(AC49="Slow and short",IF(W49="Y",Settings!$A$44,Settings!$A$45),Settings!$A$46))))))))))</f>
        <v>Leave it: it is doing a range job (check the evidence)</v>
      </c>
      <c r="AF49" s="9" t="str">
        <f aca="false">IF(A49="","",IFERROR(VLOOKUP(AM49,Settings!$A$27:$B$48,2,0),"Assign an owner"))</f>
        <v>Merchandise Director</v>
      </c>
      <c r="AG49" s="14" t="n">
        <f aca="false">SUMIFS('SKU Data'!$V$6:$V$505,'SKU Data'!$B$6:$B$505,$A49)</f>
        <v>37802.4</v>
      </c>
      <c r="AH49" s="12" t="n">
        <f aca="false">IF(A49="",0,IF(AW49="Y",IF(N(Options!V49)&gt;0,MAX(0,G49+H49-N(Options!V49)),0),MAX(0,G49+H49-N49*IF(D49="Core",Settings!$B$19,Settings!$B$9))))</f>
        <v>1593.92</v>
      </c>
      <c r="AI49" s="14" t="n">
        <f aca="false">IF(OR(A49="",D49="Core"),0,AH49*N(Options!J49)*Settings!$B$21)</f>
        <v>38254.08</v>
      </c>
      <c r="AJ49" s="14" t="n">
        <f aca="false">AH49*N(Options!K49)</f>
        <v>36341.376</v>
      </c>
      <c r="AK49" s="27" t="n">
        <f aca="false">AZ49*(1-AY49)</f>
        <v>0</v>
      </c>
      <c r="AL49" s="27" t="n">
        <f aca="false">AI49+AK49</f>
        <v>38254.08</v>
      </c>
      <c r="AM49" s="9" t="str">
        <f aca="false">IF(A49="","",IF(Options!W49&lt;&gt;"",Options!W49,AE49))</f>
        <v>Leave it: it is doing a range job (check the evidence)</v>
      </c>
      <c r="AN49" s="28" t="n">
        <f aca="false">IF(A49="","",COUNTIF($AR$6:$AR$85,"&gt;"&amp;AR49)+1)</f>
        <v>3</v>
      </c>
      <c r="AO49" s="9" t="str">
        <f aca="false">IF(A49="","",Options!D49)</f>
        <v>Flannel</v>
      </c>
      <c r="AP49" s="9" t="str">
        <f aca="false">IF(A49="","",Options!F49)</f>
        <v>Own brand</v>
      </c>
      <c r="AQ49" s="9" t="n">
        <f aca="false">IF(AND(A49&lt;&gt;"",AW49&lt;&gt;"Y",M49&gt;0,COUNTIF($M$6:$M$85,"&gt;"&amp;M49)&lt;Settings!$B$22),1,0)</f>
        <v>1</v>
      </c>
      <c r="AR49" s="28" t="n">
        <f aca="false">IF(A49="",-1,AL49+ROW()/1000000000)</f>
        <v>38254.080000049</v>
      </c>
      <c r="AS49" s="28" t="n">
        <f aca="false">IF(A49="",-1,AK49+ROW()/1000000000)</f>
        <v>4.9E-008</v>
      </c>
      <c r="AT49" s="28" t="n">
        <f aca="false">IF(A49="",-1,AI49+ROW()/1000000000)</f>
        <v>38254.080000049</v>
      </c>
      <c r="AU49" s="25" t="n">
        <f aca="false">SUMIFS('SKU Data'!$W$6:$W$505,'SKU Data'!$B$6:$B$505,$A49)</f>
        <v>17.25</v>
      </c>
      <c r="AV49" s="28" t="n">
        <f aca="false">IF(A49="","",COUNTIFS($C$6:$C$85,C49,$M$6:$M$85,"&gt;"&amp;M49)+1)</f>
        <v>6</v>
      </c>
      <c r="AW49" s="9" t="str">
        <f aca="false">IF(A49="","",IF(AND(Options!T49&lt;&gt;"",N(Options!U49)&gt;0),"Y",""))</f>
        <v/>
      </c>
      <c r="AX49" s="9" t="n">
        <f aca="false">IF(A49="",0,COUNTIFS(Options!$R$6:$R$85,$A49,$V$6:$V$85,"&gt;0"))</f>
        <v>0</v>
      </c>
      <c r="AY49" s="13" t="n">
        <f aca="false">IF(Options!S49&lt;&gt;"",Options!S49,Settings!$B$23)</f>
        <v>0.3</v>
      </c>
      <c r="AZ49" s="14" t="n">
        <f aca="false">SUMIFS('SKU Data'!$U$6:$U$505,'SKU Data'!$B$6:$B$505,$A49)</f>
        <v>0</v>
      </c>
    </row>
    <row r="50" customFormat="false" ht="15" hidden="false" customHeight="false" outlineLevel="0" collapsed="false">
      <c r="A50" s="9" t="str">
        <f aca="false">IF(Options!A50="","",Options!A50)</f>
        <v>OPT045</v>
      </c>
      <c r="B50" s="9" t="str">
        <f aca="false">IF(A50="","",Options!B50&amp;" "&amp;Options!C50)</f>
        <v>Button-down shirt Black</v>
      </c>
      <c r="C50" s="9" t="str">
        <f aca="false">IF(A50="","",Options!E50)</f>
        <v>Shirts</v>
      </c>
      <c r="D50" s="9" t="str">
        <f aca="false">IF(A50="","",Options!H50)</f>
        <v>Core</v>
      </c>
      <c r="E50" s="12" t="n">
        <f aca="false">SUMIFS('SKU Data'!$E$6:$E$505,'SKU Data'!$B$6:$B$505,$A50)</f>
        <v>512</v>
      </c>
      <c r="F50" s="12" t="n">
        <f aca="false">SUMIFS('SKU Data'!$F$6:$F$505,'SKU Data'!$B$6:$B$505,$A50)</f>
        <v>0</v>
      </c>
      <c r="G50" s="12" t="n">
        <f aca="false">SUMIFS('SKU Data'!$G$6:$G$505,'SKU Data'!$B$6:$B$505,$A50)</f>
        <v>47</v>
      </c>
      <c r="H50" s="12" t="n">
        <f aca="false">N(Options!M50)</f>
        <v>0</v>
      </c>
      <c r="I50" s="12" t="n">
        <f aca="false">SUMIFS('SKU Data'!$H$6:$H$505,'SKU Data'!$B$6:$B$505,$A50)</f>
        <v>20</v>
      </c>
      <c r="J50" s="12" t="n">
        <f aca="false">SUMIFS('SKU Data'!$I$6:$I$505,'SKU Data'!$B$6:$B$505,$A50)</f>
        <v>16</v>
      </c>
      <c r="K50" s="12" t="n">
        <f aca="false">SUMIFS('SKU Data'!$J$6:$J$505,'SKU Data'!$B$6:$B$505,$A50)</f>
        <v>22</v>
      </c>
      <c r="L50" s="12" t="n">
        <f aca="false">SUMIFS('SKU Data'!$K$6:$K$505,'SKU Data'!$B$6:$B$505,$A50)</f>
        <v>21</v>
      </c>
      <c r="M50" s="25" t="n">
        <f aca="false">L50*Settings!$B$10+K50*Settings!$B$11+J50*Settings!$B$12+I50*Settings!$B$13</f>
        <v>20.2</v>
      </c>
      <c r="N50" s="25" t="n">
        <f aca="false">M50*Settings!$B$15</f>
        <v>18.18</v>
      </c>
      <c r="O50" s="12" t="n">
        <f aca="false">SUMIFS('SKU Data'!$L$6:$L$505,'SKU Data'!$B$6:$B$505,$A50)</f>
        <v>465</v>
      </c>
      <c r="P50" s="12" t="n">
        <f aca="false">SUMIFS('SKU Data'!$M$6:$M$505,'SKU Data'!$B$6:$B$505,$A50)</f>
        <v>411</v>
      </c>
      <c r="Q50" s="21" t="n">
        <f aca="false">IFERROR(O50/(E50-F50),0)</f>
        <v>0.908203125</v>
      </c>
      <c r="R50" s="21" t="n">
        <f aca="false">IFERROR(P50/(E50-F50),0)</f>
        <v>0.802734375</v>
      </c>
      <c r="S50" s="26" t="n">
        <f aca="false">IF(N50&lt;=0,IF(G50&gt;0,999,0),G50/N50)</f>
        <v>2.58525852585259</v>
      </c>
      <c r="T50" s="25" t="n">
        <f aca="false">IF(N(Options!L50)&gt;0,Options!L50,Settings!$B$20)</f>
        <v>8</v>
      </c>
      <c r="U50" s="9" t="n">
        <f aca="false">COUNTIFS('SKU Data'!$B$6:$B$505,$A50,'SKU Data'!$D$6:$D$505,"Y")</f>
        <v>3</v>
      </c>
      <c r="V50" s="9" t="n">
        <f aca="false">COUNTIFS('SKU Data'!$B$6:$B$505,$A50,'SKU Data'!$D$6:$D$505,"Y",'SKU Data'!$G$6:$G$505,"&lt;=0")</f>
        <v>1</v>
      </c>
      <c r="W50" s="28" t="str">
        <f aca="false">IF(A50="","",IF(AND(V50&gt;0,G50&gt;0),"Y",""))</f>
        <v>Y</v>
      </c>
      <c r="X50" s="9" t="str">
        <f aca="false">IF(A50="","",IF(AND(G50&gt;0,OR(Options!P50="N",Options!Q50="N")),"Y",""))</f>
        <v/>
      </c>
      <c r="Y50" s="9" t="n">
        <f aca="false">IF(AND(A50&lt;&gt;"",U50&gt;0,V50=0,G50&gt;0,Options!P50&lt;&gt;"N",Options!Q50&lt;&gt;"N"),1,0)</f>
        <v>0</v>
      </c>
      <c r="Z50" s="29" t="n">
        <f aca="false">IFERROR((K50+L50)/(I50+J50)-1,0)</f>
        <v>0.194444444444444</v>
      </c>
      <c r="AA50" s="9" t="str">
        <f aca="false">IF(A50="","",IF(Q50&gt;=Settings!$B$17,"High","Low"))</f>
        <v>High</v>
      </c>
      <c r="AB50" s="9" t="str">
        <f aca="false">IF(A50="","",IF(S50&lt;IF(D50="End of life",Settings!$B$9,IF(D50="Core",T50,MIN(T50,Settings!$B$9))),"Low",IF(S50&gt;IF(D50="Core",Settings!$B$19,Settings!$B$9+Settings!$B$18),"High","Balanced")))</f>
        <v>Low</v>
      </c>
      <c r="AC50" s="28" t="str">
        <f aca="false">IF(A50="","",IF(AW50="Y","Held for a campaign",IF(AA50="High",IF(AB50="Low","Selling and short",IF(AB50="High","Selling, heavy","Selling, covered")),IF(AB50="Low","Slow and short",IF(AB50="High","Slow and heavy","Slow, covered")))))</f>
        <v>Selling and short</v>
      </c>
      <c r="AD50" s="9" t="str">
        <f aca="false">IF(A50="","",TRIM(IF(W50="Y","Broken curve. ","")&amp;IF(X50="Y","Hidden from customers. ","")&amp;IF(Options!O50="Y","Promoted. ","")&amp;IF(Options!I50="Y","Range job. ","")&amp;IF(D50="End of life","End of life. ","")&amp;IF(H50&gt;0,"Order due in "&amp;Options!N50&amp;" weeks. ","")&amp;IF(AW50="Y","Held for "&amp;Options!T50&amp;", starts in "&amp;Options!U50&amp;" weeks. ","")&amp;IF(AX50&gt;0,"Covering for "&amp;AX50&amp;" sold-out line(s). ","")))</f>
        <v>Broken curve.</v>
      </c>
      <c r="AE50" s="9" t="str">
        <f aca="false">IF(A50="","",IF(AW50="Y",IF(AND(N(Options!V50)&gt;0,G50+H50&gt;N(Options!V50)*1.1),Settings!$A$48,Settings!$A$47),IF(X50="Y",Settings!$A$27,IF(AND(W50="Y",D50&lt;&gt;"End of life",AA50="High"),IF(H50&gt;0,Settings!$A$28,Settings!$A$29),IF(AND(W50="Y",D50="End of life"),Settings!$A$30,IF(AC50="Selling and short",IF(D50="End of life",Settings!$A$31,IF(Options!O50="Y",Settings!$A$32,IF(AX50&gt;0,Settings!$A$33,IF(H50&gt;0,IF(N(Options!N50)&lt;=S50,Settings!$A$34,Settings!$A$35),IF(AND(D50&lt;&gt;"Core",T50&gt;=Settings!$B$9),Settings!$A$36,Settings!$A$37))))),IF(AC50="Selling, heavy",IF(D50="Core",Settings!$A$38,Settings!$A$39),IF(AC50="Selling, covered",Settings!$A$40,IF(AC50="Slow and heavy",IF(Options!I50="Y",Settings!$A$41,IF(D50="End of life",Settings!$A$42,Settings!$A$43)),IF(AC50="Slow and short",IF(W50="Y",Settings!$A$44,Settings!$A$45),Settings!$A$46))))))))))</f>
        <v>Reorder core sizes, or transfer them in</v>
      </c>
      <c r="AF50" s="9" t="str">
        <f aca="false">IF(A50="","",IFERROR(VLOOKUP(AM50,Settings!$A$27:$B$48,2,0),"Assign an owner"))</f>
        <v>Merchandiser</v>
      </c>
      <c r="AG50" s="14" t="n">
        <f aca="false">SUMIFS('SKU Data'!$V$6:$V$505,'SKU Data'!$B$6:$B$505,$A50)</f>
        <v>982.3</v>
      </c>
      <c r="AH50" s="12" t="n">
        <f aca="false">IF(A50="",0,IF(AW50="Y",IF(N(Options!V50)&gt;0,MAX(0,G50+H50-N(Options!V50)),0),MAX(0,G50+H50-N50*IF(D50="Core",Settings!$B$19,Settings!$B$9))))</f>
        <v>0</v>
      </c>
      <c r="AI50" s="14" t="n">
        <f aca="false">IF(OR(A50="",D50="Core"),0,AH50*N(Options!J50)*Settings!$B$21)</f>
        <v>0</v>
      </c>
      <c r="AJ50" s="14" t="n">
        <f aca="false">AH50*N(Options!K50)</f>
        <v>0</v>
      </c>
      <c r="AK50" s="27" t="n">
        <f aca="false">AZ50*(1-AY50)</f>
        <v>896</v>
      </c>
      <c r="AL50" s="27" t="n">
        <f aca="false">AI50+AK50</f>
        <v>896</v>
      </c>
      <c r="AM50" s="9" t="str">
        <f aca="false">IF(A50="","",IF(Options!W50&lt;&gt;"",Options!W50,AE50))</f>
        <v>Reorder core sizes, or transfer them in</v>
      </c>
      <c r="AN50" s="28" t="n">
        <f aca="false">IF(A50="","",COUNTIF($AR$6:$AR$85,"&gt;"&amp;AR50)+1)</f>
        <v>40</v>
      </c>
      <c r="AO50" s="9" t="str">
        <f aca="false">IF(A50="","",Options!D50)</f>
        <v>Oxford</v>
      </c>
      <c r="AP50" s="9" t="str">
        <f aca="false">IF(A50="","",Options!F50)</f>
        <v>Partner brand</v>
      </c>
      <c r="AQ50" s="9" t="n">
        <f aca="false">IF(AND(A50&lt;&gt;"",AW50&lt;&gt;"Y",M50&gt;0,COUNTIF($M$6:$M$85,"&gt;"&amp;M50)&lt;Settings!$B$22),1,0)</f>
        <v>1</v>
      </c>
      <c r="AR50" s="28" t="n">
        <f aca="false">IF(A50="",-1,AL50+ROW()/1000000000)</f>
        <v>896.00000005</v>
      </c>
      <c r="AS50" s="28" t="n">
        <f aca="false">IF(A50="",-1,AK50+ROW()/1000000000)</f>
        <v>896.00000005</v>
      </c>
      <c r="AT50" s="28" t="n">
        <f aca="false">IF(A50="",-1,AI50+ROW()/1000000000)</f>
        <v>5E-008</v>
      </c>
      <c r="AU50" s="25" t="n">
        <f aca="false">SUMIFS('SKU Data'!$W$6:$W$505,'SKU Data'!$B$6:$B$505,$A50)</f>
        <v>25.5681818181818</v>
      </c>
      <c r="AV50" s="28" t="n">
        <f aca="false">IF(A50="","",COUNTIFS($C$6:$C$85,C50,$M$6:$M$85,"&gt;"&amp;M50)+1)</f>
        <v>4</v>
      </c>
      <c r="AW50" s="9" t="str">
        <f aca="false">IF(A50="","",IF(AND(Options!T50&lt;&gt;"",N(Options!U50)&gt;0),"Y",""))</f>
        <v/>
      </c>
      <c r="AX50" s="9" t="n">
        <f aca="false">IF(A50="",0,COUNTIFS(Options!$R$6:$R$85,$A50,$V$6:$V$85,"&gt;0"))</f>
        <v>0</v>
      </c>
      <c r="AY50" s="13" t="n">
        <f aca="false">IF(Options!S50&lt;&gt;"",Options!S50,Settings!$B$23)</f>
        <v>0.3</v>
      </c>
      <c r="AZ50" s="14" t="n">
        <f aca="false">SUMIFS('SKU Data'!$U$6:$U$505,'SKU Data'!$B$6:$B$505,$A50)</f>
        <v>1280</v>
      </c>
    </row>
    <row r="51" customFormat="false" ht="15" hidden="false" customHeight="false" outlineLevel="0" collapsed="false">
      <c r="A51" s="9" t="str">
        <f aca="false">IF(Options!A51="","",Options!A51)</f>
        <v>OPT046</v>
      </c>
      <c r="B51" s="9" t="str">
        <f aca="false">IF(A51="","",Options!B51&amp;" "&amp;Options!C51)</f>
        <v>Regular chino Pink</v>
      </c>
      <c r="C51" s="9" t="str">
        <f aca="false">IF(A51="","",Options!E51)</f>
        <v>Trousers</v>
      </c>
      <c r="D51" s="9" t="str">
        <f aca="false">IF(A51="","",Options!H51)</f>
        <v>Seasonal</v>
      </c>
      <c r="E51" s="12" t="n">
        <f aca="false">SUMIFS('SKU Data'!$E$6:$E$505,'SKU Data'!$B$6:$B$505,$A51)</f>
        <v>300</v>
      </c>
      <c r="F51" s="12" t="n">
        <f aca="false">SUMIFS('SKU Data'!$F$6:$F$505,'SKU Data'!$B$6:$B$505,$A51)</f>
        <v>0</v>
      </c>
      <c r="G51" s="12" t="n">
        <f aca="false">SUMIFS('SKU Data'!$G$6:$G$505,'SKU Data'!$B$6:$B$505,$A51)</f>
        <v>63</v>
      </c>
      <c r="H51" s="12" t="n">
        <f aca="false">N(Options!M51)</f>
        <v>0</v>
      </c>
      <c r="I51" s="12" t="n">
        <f aca="false">SUMIFS('SKU Data'!$H$6:$H$505,'SKU Data'!$B$6:$B$505,$A51)</f>
        <v>10</v>
      </c>
      <c r="J51" s="12" t="n">
        <f aca="false">SUMIFS('SKU Data'!$I$6:$I$505,'SKU Data'!$B$6:$B$505,$A51)</f>
        <v>10</v>
      </c>
      <c r="K51" s="12" t="n">
        <f aca="false">SUMIFS('SKU Data'!$J$6:$J$505,'SKU Data'!$B$6:$B$505,$A51)</f>
        <v>12</v>
      </c>
      <c r="L51" s="12" t="n">
        <f aca="false">SUMIFS('SKU Data'!$K$6:$K$505,'SKU Data'!$B$6:$B$505,$A51)</f>
        <v>10</v>
      </c>
      <c r="M51" s="25" t="n">
        <f aca="false">L51*Settings!$B$10+K51*Settings!$B$11+J51*Settings!$B$12+I51*Settings!$B$13</f>
        <v>10.6</v>
      </c>
      <c r="N51" s="25" t="n">
        <f aca="false">M51*Settings!$B$15</f>
        <v>9.54</v>
      </c>
      <c r="O51" s="12" t="n">
        <f aca="false">SUMIFS('SKU Data'!$L$6:$L$505,'SKU Data'!$B$6:$B$505,$A51)</f>
        <v>237</v>
      </c>
      <c r="P51" s="12" t="n">
        <f aca="false">SUMIFS('SKU Data'!$M$6:$M$505,'SKU Data'!$B$6:$B$505,$A51)</f>
        <v>208</v>
      </c>
      <c r="Q51" s="21" t="n">
        <f aca="false">IFERROR(O51/(E51-F51),0)</f>
        <v>0.79</v>
      </c>
      <c r="R51" s="21" t="n">
        <f aca="false">IFERROR(P51/(E51-F51),0)</f>
        <v>0.693333333333333</v>
      </c>
      <c r="S51" s="26" t="n">
        <f aca="false">IF(N51&lt;=0,IF(G51&gt;0,999,0),G51/N51)</f>
        <v>6.60377358490566</v>
      </c>
      <c r="T51" s="25" t="n">
        <f aca="false">IF(N(Options!L51)&gt;0,Options!L51,Settings!$B$20)</f>
        <v>6</v>
      </c>
      <c r="U51" s="9" t="n">
        <f aca="false">COUNTIFS('SKU Data'!$B$6:$B$505,$A51,'SKU Data'!$D$6:$D$505,"Y")</f>
        <v>3</v>
      </c>
      <c r="V51" s="9" t="n">
        <f aca="false">COUNTIFS('SKU Data'!$B$6:$B$505,$A51,'SKU Data'!$D$6:$D$505,"Y",'SKU Data'!$G$6:$G$505,"&lt;=0")</f>
        <v>0</v>
      </c>
      <c r="W51" s="28" t="str">
        <f aca="false">IF(A51="","",IF(AND(V51&gt;0,G51&gt;0),"Y",""))</f>
        <v/>
      </c>
      <c r="X51" s="9" t="str">
        <f aca="false">IF(A51="","",IF(AND(G51&gt;0,OR(Options!P51="N",Options!Q51="N")),"Y",""))</f>
        <v/>
      </c>
      <c r="Y51" s="9" t="n">
        <f aca="false">IF(AND(A51&lt;&gt;"",U51&gt;0,V51=0,G51&gt;0,Options!P51&lt;&gt;"N",Options!Q51&lt;&gt;"N"),1,0)</f>
        <v>1</v>
      </c>
      <c r="Z51" s="29" t="n">
        <f aca="false">IFERROR((K51+L51)/(I51+J51)-1,0)</f>
        <v>0.1</v>
      </c>
      <c r="AA51" s="9" t="str">
        <f aca="false">IF(A51="","",IF(Q51&gt;=Settings!$B$17,"High","Low"))</f>
        <v>High</v>
      </c>
      <c r="AB51" s="9" t="str">
        <f aca="false">IF(A51="","",IF(S51&lt;IF(D51="End of life",Settings!$B$9,IF(D51="Core",T51,MIN(T51,Settings!$B$9))),"Low",IF(S51&gt;IF(D51="Core",Settings!$B$19,Settings!$B$9+Settings!$B$18),"High","Balanced")))</f>
        <v>Balanced</v>
      </c>
      <c r="AC51" s="28" t="str">
        <f aca="false">IF(A51="","",IF(AW51="Y","Held for a campaign",IF(AA51="High",IF(AB51="Low","Selling and short",IF(AB51="High","Selling, heavy","Selling, covered")),IF(AB51="Low","Slow and short",IF(AB51="High","Slow and heavy","Slow, covered")))))</f>
        <v>Selling, covered</v>
      </c>
      <c r="AD51" s="9" t="str">
        <f aca="false">IF(A51="","",TRIM(IF(W51="Y","Broken curve. ","")&amp;IF(X51="Y","Hidden from customers. ","")&amp;IF(Options!O51="Y","Promoted. ","")&amp;IF(Options!I51="Y","Range job. ","")&amp;IF(D51="End of life","End of life. ","")&amp;IF(H51&gt;0,"Order due in "&amp;Options!N51&amp;" weeks. ","")&amp;IF(AW51="Y","Held for "&amp;Options!T51&amp;", starts in "&amp;Options!U51&amp;" weeks. ","")&amp;IF(AX51&gt;0,"Covering for "&amp;AX51&amp;" sold-out line(s). ","")))</f>
        <v/>
      </c>
      <c r="AE51" s="9" t="str">
        <f aca="false">IF(A51="","",IF(AW51="Y",IF(AND(N(Options!V51)&gt;0,G51+H51&gt;N(Options!V51)*1.1),Settings!$A$48,Settings!$A$47),IF(X51="Y",Settings!$A$27,IF(AND(W51="Y",D51&lt;&gt;"End of life",AA51="High"),IF(H51&gt;0,Settings!$A$28,Settings!$A$29),IF(AND(W51="Y",D51="End of life"),Settings!$A$30,IF(AC51="Selling and short",IF(D51="End of life",Settings!$A$31,IF(Options!O51="Y",Settings!$A$32,IF(AX51&gt;0,Settings!$A$33,IF(H51&gt;0,IF(N(Options!N51)&lt;=S51,Settings!$A$34,Settings!$A$35),IF(AND(D51&lt;&gt;"Core",T51&gt;=Settings!$B$9),Settings!$A$36,Settings!$A$37))))),IF(AC51="Selling, heavy",IF(D51="Core",Settings!$A$38,Settings!$A$39),IF(AC51="Selling, covered",Settings!$A$40,IF(AC51="Slow and heavy",IF(Options!I51="Y",Settings!$A$41,IF(D51="End of life",Settings!$A$42,Settings!$A$43)),IF(AC51="Slow and short",IF(W51="Y",Settings!$A$44,Settings!$A$45),Settings!$A$46))))))))))</f>
        <v>Hold</v>
      </c>
      <c r="AF51" s="9" t="str">
        <f aca="false">IF(A51="","",IFERROR(VLOOKUP(AM51,Settings!$A$27:$B$48,2,0),"Assign an owner"))</f>
        <v>Merchandiser</v>
      </c>
      <c r="AG51" s="14" t="n">
        <f aca="false">SUMIFS('SKU Data'!$V$6:$V$505,'SKU Data'!$B$6:$B$505,$A51)</f>
        <v>1675.8</v>
      </c>
      <c r="AH51" s="12" t="n">
        <f aca="false">IF(A51="",0,IF(AW51="Y",IF(N(Options!V51)&gt;0,MAX(0,G51+H51-N(Options!V51)),0),MAX(0,G51+H51-N51*IF(D51="Core",Settings!$B$19,Settings!$B$9))))</f>
        <v>24.84</v>
      </c>
      <c r="AI51" s="14" t="n">
        <f aca="false">IF(OR(A51="",D51="Core"),0,AH51*N(Options!J51)*Settings!$B$21)</f>
        <v>695.52</v>
      </c>
      <c r="AJ51" s="14" t="n">
        <f aca="false">AH51*N(Options!K51)</f>
        <v>660.744</v>
      </c>
      <c r="AK51" s="27" t="n">
        <f aca="false">AZ51*(1-AY51)</f>
        <v>0</v>
      </c>
      <c r="AL51" s="27" t="n">
        <f aca="false">AI51+AK51</f>
        <v>695.52</v>
      </c>
      <c r="AM51" s="9" t="str">
        <f aca="false">IF(A51="","",IF(Options!W51&lt;&gt;"",Options!W51,AE51))</f>
        <v>Hold</v>
      </c>
      <c r="AN51" s="28" t="n">
        <f aca="false">IF(A51="","",COUNTIF($AR$6:$AR$85,"&gt;"&amp;AR51)+1)</f>
        <v>45</v>
      </c>
      <c r="AO51" s="9" t="str">
        <f aca="false">IF(A51="","",Options!D51)</f>
        <v>Chinos</v>
      </c>
      <c r="AP51" s="9" t="str">
        <f aca="false">IF(A51="","",Options!F51)</f>
        <v>Own brand</v>
      </c>
      <c r="AQ51" s="9" t="n">
        <f aca="false">IF(AND(A51&lt;&gt;"",AW51&lt;&gt;"Y",M51&gt;0,COUNTIF($M$6:$M$85,"&gt;"&amp;M51)&lt;Settings!$B$22),1,0)</f>
        <v>0</v>
      </c>
      <c r="AR51" s="28" t="n">
        <f aca="false">IF(A51="",-1,AL51+ROW()/1000000000)</f>
        <v>695.520000051</v>
      </c>
      <c r="AS51" s="28" t="n">
        <f aca="false">IF(A51="",-1,AK51+ROW()/1000000000)</f>
        <v>5.1E-008</v>
      </c>
      <c r="AT51" s="28" t="n">
        <f aca="false">IF(A51="",-1,AI51+ROW()/1000000000)</f>
        <v>695.520000051</v>
      </c>
      <c r="AU51" s="25" t="n">
        <f aca="false">SUMIFS('SKU Data'!$W$6:$W$505,'SKU Data'!$B$6:$B$505,$A51)</f>
        <v>10.5</v>
      </c>
      <c r="AV51" s="28" t="n">
        <f aca="false">IF(A51="","",COUNTIFS($C$6:$C$85,C51,$M$6:$M$85,"&gt;"&amp;M51)+1)</f>
        <v>10</v>
      </c>
      <c r="AW51" s="9" t="str">
        <f aca="false">IF(A51="","",IF(AND(Options!T51&lt;&gt;"",N(Options!U51)&gt;0),"Y",""))</f>
        <v/>
      </c>
      <c r="AX51" s="9" t="n">
        <f aca="false">IF(A51="",0,COUNTIFS(Options!$R$6:$R$85,$A51,$V$6:$V$85,"&gt;0"))</f>
        <v>0</v>
      </c>
      <c r="AY51" s="13" t="n">
        <f aca="false">IF(Options!S51&lt;&gt;"",Options!S51,Settings!$B$23)</f>
        <v>0.3</v>
      </c>
      <c r="AZ51" s="14" t="n">
        <f aca="false">SUMIFS('SKU Data'!$U$6:$U$505,'SKU Data'!$B$6:$B$505,$A51)</f>
        <v>0</v>
      </c>
    </row>
    <row r="52" customFormat="false" ht="15" hidden="false" customHeight="false" outlineLevel="0" collapsed="false">
      <c r="A52" s="9" t="str">
        <f aca="false">IF(Options!A52="","",Options!A52)</f>
        <v>OPT047</v>
      </c>
      <c r="B52" s="9" t="str">
        <f aca="false">IF(A52="","",Options!B52&amp;" "&amp;Options!C52)</f>
        <v>Cord trouser Cobalt</v>
      </c>
      <c r="C52" s="9" t="str">
        <f aca="false">IF(A52="","",Options!E52)</f>
        <v>Trousers</v>
      </c>
      <c r="D52" s="9" t="str">
        <f aca="false">IF(A52="","",Options!H52)</f>
        <v>Seasonal</v>
      </c>
      <c r="E52" s="12" t="n">
        <f aca="false">SUMIFS('SKU Data'!$E$6:$E$505,'SKU Data'!$B$6:$B$505,$A52)</f>
        <v>365</v>
      </c>
      <c r="F52" s="12" t="n">
        <f aca="false">SUMIFS('SKU Data'!$F$6:$F$505,'SKU Data'!$B$6:$B$505,$A52)</f>
        <v>0</v>
      </c>
      <c r="G52" s="12" t="n">
        <f aca="false">SUMIFS('SKU Data'!$G$6:$G$505,'SKU Data'!$B$6:$B$505,$A52)</f>
        <v>107</v>
      </c>
      <c r="H52" s="12" t="n">
        <f aca="false">N(Options!M52)</f>
        <v>0</v>
      </c>
      <c r="I52" s="12" t="n">
        <f aca="false">SUMIFS('SKU Data'!$H$6:$H$505,'SKU Data'!$B$6:$B$505,$A52)</f>
        <v>10</v>
      </c>
      <c r="J52" s="12" t="n">
        <f aca="false">SUMIFS('SKU Data'!$I$6:$I$505,'SKU Data'!$B$6:$B$505,$A52)</f>
        <v>10</v>
      </c>
      <c r="K52" s="12" t="n">
        <f aca="false">SUMIFS('SKU Data'!$J$6:$J$505,'SKU Data'!$B$6:$B$505,$A52)</f>
        <v>12</v>
      </c>
      <c r="L52" s="12" t="n">
        <f aca="false">SUMIFS('SKU Data'!$K$6:$K$505,'SKU Data'!$B$6:$B$505,$A52)</f>
        <v>12</v>
      </c>
      <c r="M52" s="25" t="n">
        <f aca="false">L52*Settings!$B$10+K52*Settings!$B$11+J52*Settings!$B$12+I52*Settings!$B$13</f>
        <v>11.4</v>
      </c>
      <c r="N52" s="25" t="n">
        <f aca="false">M52*Settings!$B$15</f>
        <v>10.26</v>
      </c>
      <c r="O52" s="12" t="n">
        <f aca="false">SUMIFS('SKU Data'!$L$6:$L$505,'SKU Data'!$B$6:$B$505,$A52)</f>
        <v>258</v>
      </c>
      <c r="P52" s="12" t="n">
        <f aca="false">SUMIFS('SKU Data'!$M$6:$M$505,'SKU Data'!$B$6:$B$505,$A52)</f>
        <v>227</v>
      </c>
      <c r="Q52" s="21" t="n">
        <f aca="false">IFERROR(O52/(E52-F52),0)</f>
        <v>0.706849315068493</v>
      </c>
      <c r="R52" s="21" t="n">
        <f aca="false">IFERROR(P52/(E52-F52),0)</f>
        <v>0.621917808219178</v>
      </c>
      <c r="S52" s="26" t="n">
        <f aca="false">IF(N52&lt;=0,IF(G52&gt;0,999,0),G52/N52)</f>
        <v>10.4288499025341</v>
      </c>
      <c r="T52" s="25" t="n">
        <f aca="false">IF(N(Options!L52)&gt;0,Options!L52,Settings!$B$20)</f>
        <v>6</v>
      </c>
      <c r="U52" s="9" t="n">
        <f aca="false">COUNTIFS('SKU Data'!$B$6:$B$505,$A52,'SKU Data'!$D$6:$D$505,"Y")</f>
        <v>3</v>
      </c>
      <c r="V52" s="9" t="n">
        <f aca="false">COUNTIFS('SKU Data'!$B$6:$B$505,$A52,'SKU Data'!$D$6:$D$505,"Y",'SKU Data'!$G$6:$G$505,"&lt;=0")</f>
        <v>0</v>
      </c>
      <c r="W52" s="28" t="str">
        <f aca="false">IF(A52="","",IF(AND(V52&gt;0,G52&gt;0),"Y",""))</f>
        <v/>
      </c>
      <c r="X52" s="9" t="str">
        <f aca="false">IF(A52="","",IF(AND(G52&gt;0,OR(Options!P52="N",Options!Q52="N")),"Y",""))</f>
        <v/>
      </c>
      <c r="Y52" s="9" t="n">
        <f aca="false">IF(AND(A52&lt;&gt;"",U52&gt;0,V52=0,G52&gt;0,Options!P52&lt;&gt;"N",Options!Q52&lt;&gt;"N"),1,0)</f>
        <v>1</v>
      </c>
      <c r="Z52" s="29" t="n">
        <f aca="false">IFERROR((K52+L52)/(I52+J52)-1,0)</f>
        <v>0.2</v>
      </c>
      <c r="AA52" s="9" t="str">
        <f aca="false">IF(A52="","",IF(Q52&gt;=Settings!$B$17,"High","Low"))</f>
        <v>Low</v>
      </c>
      <c r="AB52" s="9" t="str">
        <f aca="false">IF(A52="","",IF(S52&lt;IF(D52="End of life",Settings!$B$9,IF(D52="Core",T52,MIN(T52,Settings!$B$9))),"Low",IF(S52&gt;IF(D52="Core",Settings!$B$19,Settings!$B$9+Settings!$B$18),"High","Balanced")))</f>
        <v>High</v>
      </c>
      <c r="AC52" s="28" t="str">
        <f aca="false">IF(A52="","",IF(AW52="Y","Held for a campaign",IF(AA52="High",IF(AB52="Low","Selling and short",IF(AB52="High","Selling, heavy","Selling, covered")),IF(AB52="Low","Slow and short",IF(AB52="High","Slow and heavy","Slow, covered")))))</f>
        <v>Slow and heavy</v>
      </c>
      <c r="AD52" s="9" t="str">
        <f aca="false">IF(A52="","",TRIM(IF(W52="Y","Broken curve. ","")&amp;IF(X52="Y","Hidden from customers. ","")&amp;IF(Options!O52="Y","Promoted. ","")&amp;IF(Options!I52="Y","Range job. ","")&amp;IF(D52="End of life","End of life. ","")&amp;IF(H52&gt;0,"Order due in "&amp;Options!N52&amp;" weeks. ","")&amp;IF(AW52="Y","Held for "&amp;Options!T52&amp;", starts in "&amp;Options!U52&amp;" weeks. ","")&amp;IF(AX52&gt;0,"Covering for "&amp;AX52&amp;" sold-out line(s). ","")))</f>
        <v/>
      </c>
      <c r="AE52" s="9" t="str">
        <f aca="false">IF(A52="","",IF(AW52="Y",IF(AND(N(Options!V52)&gt;0,G52+H52&gt;N(Options!V52)*1.1),Settings!$A$48,Settings!$A$47),IF(X52="Y",Settings!$A$27,IF(AND(W52="Y",D52&lt;&gt;"End of life",AA52="High"),IF(H52&gt;0,Settings!$A$28,Settings!$A$29),IF(AND(W52="Y",D52="End of life"),Settings!$A$30,IF(AC52="Selling and short",IF(D52="End of life",Settings!$A$31,IF(Options!O52="Y",Settings!$A$32,IF(AX52&gt;0,Settings!$A$33,IF(H52&gt;0,IF(N(Options!N52)&lt;=S52,Settings!$A$34,Settings!$A$35),IF(AND(D52&lt;&gt;"Core",T52&gt;=Settings!$B$9),Settings!$A$36,Settings!$A$37))))),IF(AC52="Selling, heavy",IF(D52="Core",Settings!$A$38,Settings!$A$39),IF(AC52="Selling, covered",Settings!$A$40,IF(AC52="Slow and heavy",IF(Options!I52="Y",Settings!$A$41,IF(D52="End of life",Settings!$A$42,Settings!$A$43)),IF(AC52="Slow and short",IF(W52="Y",Settings!$A$44,Settings!$A$45),Settings!$A$46))))))))))</f>
        <v>Mark down or re-merchandise</v>
      </c>
      <c r="AF52" s="9" t="str">
        <f aca="false">IF(A52="","",IFERROR(VLOOKUP(AM52,Settings!$A$27:$B$48,2,0),"Assign an owner"))</f>
        <v>Trading Manager</v>
      </c>
      <c r="AG52" s="14" t="n">
        <f aca="false">SUMIFS('SKU Data'!$V$6:$V$505,'SKU Data'!$B$6:$B$505,$A52)</f>
        <v>2642.9</v>
      </c>
      <c r="AH52" s="12" t="n">
        <f aca="false">IF(A52="",0,IF(AW52="Y",IF(N(Options!V52)&gt;0,MAX(0,G52+H52-N(Options!V52)),0),MAX(0,G52+H52-N52*IF(D52="Core",Settings!$B$19,Settings!$B$9))))</f>
        <v>65.96</v>
      </c>
      <c r="AI52" s="14" t="n">
        <f aca="false">IF(OR(A52="",D52="Core"),0,AH52*N(Options!J52)*Settings!$B$21)</f>
        <v>1714.96</v>
      </c>
      <c r="AJ52" s="14" t="n">
        <f aca="false">AH52*N(Options!K52)</f>
        <v>1629.212</v>
      </c>
      <c r="AK52" s="27" t="n">
        <f aca="false">AZ52*(1-AY52)</f>
        <v>0</v>
      </c>
      <c r="AL52" s="27" t="n">
        <f aca="false">AI52+AK52</f>
        <v>1714.96</v>
      </c>
      <c r="AM52" s="9" t="str">
        <f aca="false">IF(A52="","",IF(Options!W52&lt;&gt;"",Options!W52,AE52))</f>
        <v>Mark down or re-merchandise</v>
      </c>
      <c r="AN52" s="28" t="n">
        <f aca="false">IF(A52="","",COUNTIF($AR$6:$AR$85,"&gt;"&amp;AR52)+1)</f>
        <v>37</v>
      </c>
      <c r="AO52" s="9" t="str">
        <f aca="false">IF(A52="","",Options!D52)</f>
        <v>Cords</v>
      </c>
      <c r="AP52" s="9" t="str">
        <f aca="false">IF(A52="","",Options!F52)</f>
        <v>Own brand</v>
      </c>
      <c r="AQ52" s="9" t="n">
        <f aca="false">IF(AND(A52&lt;&gt;"",AW52&lt;&gt;"Y",M52&gt;0,COUNTIF($M$6:$M$85,"&gt;"&amp;M52)&lt;Settings!$B$22),1,0)</f>
        <v>0</v>
      </c>
      <c r="AR52" s="28" t="n">
        <f aca="false">IF(A52="",-1,AL52+ROW()/1000000000)</f>
        <v>1714.960000052</v>
      </c>
      <c r="AS52" s="28" t="n">
        <f aca="false">IF(A52="",-1,AK52+ROW()/1000000000)</f>
        <v>5.2E-008</v>
      </c>
      <c r="AT52" s="28" t="n">
        <f aca="false">IF(A52="",-1,AI52+ROW()/1000000000)</f>
        <v>1714.960000052</v>
      </c>
      <c r="AU52" s="25" t="n">
        <f aca="false">SUMIFS('SKU Data'!$W$6:$W$505,'SKU Data'!$B$6:$B$505,$A52)</f>
        <v>11</v>
      </c>
      <c r="AV52" s="28" t="n">
        <f aca="false">IF(A52="","",COUNTIFS($C$6:$C$85,C52,$M$6:$M$85,"&gt;"&amp;M52)+1)</f>
        <v>9</v>
      </c>
      <c r="AW52" s="9" t="str">
        <f aca="false">IF(A52="","",IF(AND(Options!T52&lt;&gt;"",N(Options!U52)&gt;0),"Y",""))</f>
        <v/>
      </c>
      <c r="AX52" s="9" t="n">
        <f aca="false">IF(A52="",0,COUNTIFS(Options!$R$6:$R$85,$A52,$V$6:$V$85,"&gt;0"))</f>
        <v>0</v>
      </c>
      <c r="AY52" s="13" t="n">
        <f aca="false">IF(Options!S52&lt;&gt;"",Options!S52,Settings!$B$23)</f>
        <v>0.3</v>
      </c>
      <c r="AZ52" s="14" t="n">
        <f aca="false">SUMIFS('SKU Data'!$U$6:$U$505,'SKU Data'!$B$6:$B$505,$A52)</f>
        <v>0</v>
      </c>
    </row>
    <row r="53" customFormat="false" ht="15" hidden="false" customHeight="false" outlineLevel="0" collapsed="false">
      <c r="A53" s="9" t="str">
        <f aca="false">IF(Options!A53="","",Options!A53)</f>
        <v>OPT048</v>
      </c>
      <c r="B53" s="9" t="str">
        <f aca="false">IF(A53="","",Options!B53&amp;" "&amp;Options!C53)</f>
        <v>Slim chino Tan</v>
      </c>
      <c r="C53" s="9" t="str">
        <f aca="false">IF(A53="","",Options!E53)</f>
        <v>Trousers</v>
      </c>
      <c r="D53" s="9" t="str">
        <f aca="false">IF(A53="","",Options!H53)</f>
        <v>Seasonal</v>
      </c>
      <c r="E53" s="12" t="n">
        <f aca="false">SUMIFS('SKU Data'!$E$6:$E$505,'SKU Data'!$B$6:$B$505,$A53)</f>
        <v>257</v>
      </c>
      <c r="F53" s="12" t="n">
        <f aca="false">SUMIFS('SKU Data'!$F$6:$F$505,'SKU Data'!$B$6:$B$505,$A53)</f>
        <v>0</v>
      </c>
      <c r="G53" s="12" t="n">
        <f aca="false">SUMIFS('SKU Data'!$G$6:$G$505,'SKU Data'!$B$6:$B$505,$A53)</f>
        <v>69</v>
      </c>
      <c r="H53" s="12" t="n">
        <f aca="false">N(Options!M53)</f>
        <v>0</v>
      </c>
      <c r="I53" s="12" t="n">
        <f aca="false">SUMIFS('SKU Data'!$H$6:$H$505,'SKU Data'!$B$6:$B$505,$A53)</f>
        <v>7</v>
      </c>
      <c r="J53" s="12" t="n">
        <f aca="false">SUMIFS('SKU Data'!$I$6:$I$505,'SKU Data'!$B$6:$B$505,$A53)</f>
        <v>9</v>
      </c>
      <c r="K53" s="12" t="n">
        <f aca="false">SUMIFS('SKU Data'!$J$6:$J$505,'SKU Data'!$B$6:$B$505,$A53)</f>
        <v>9</v>
      </c>
      <c r="L53" s="12" t="n">
        <f aca="false">SUMIFS('SKU Data'!$K$6:$K$505,'SKU Data'!$B$6:$B$505,$A53)</f>
        <v>11</v>
      </c>
      <c r="M53" s="25" t="n">
        <f aca="false">L53*Settings!$B$10+K53*Settings!$B$11+J53*Settings!$B$12+I53*Settings!$B$13</f>
        <v>9.6</v>
      </c>
      <c r="N53" s="25" t="n">
        <f aca="false">M53*Settings!$B$15</f>
        <v>8.64</v>
      </c>
      <c r="O53" s="12" t="n">
        <f aca="false">SUMIFS('SKU Data'!$L$6:$L$505,'SKU Data'!$B$6:$B$505,$A53)</f>
        <v>188</v>
      </c>
      <c r="P53" s="12" t="n">
        <f aca="false">SUMIFS('SKU Data'!$M$6:$M$505,'SKU Data'!$B$6:$B$505,$A53)</f>
        <v>167</v>
      </c>
      <c r="Q53" s="21" t="n">
        <f aca="false">IFERROR(O53/(E53-F53),0)</f>
        <v>0.731517509727626</v>
      </c>
      <c r="R53" s="21" t="n">
        <f aca="false">IFERROR(P53/(E53-F53),0)</f>
        <v>0.649805447470817</v>
      </c>
      <c r="S53" s="26" t="n">
        <f aca="false">IF(N53&lt;=0,IF(G53&gt;0,999,0),G53/N53)</f>
        <v>7.98611111111111</v>
      </c>
      <c r="T53" s="25" t="n">
        <f aca="false">IF(N(Options!L53)&gt;0,Options!L53,Settings!$B$20)</f>
        <v>8</v>
      </c>
      <c r="U53" s="9" t="n">
        <f aca="false">COUNTIFS('SKU Data'!$B$6:$B$505,$A53,'SKU Data'!$D$6:$D$505,"Y")</f>
        <v>3</v>
      </c>
      <c r="V53" s="9" t="n">
        <f aca="false">COUNTIFS('SKU Data'!$B$6:$B$505,$A53,'SKU Data'!$D$6:$D$505,"Y",'SKU Data'!$G$6:$G$505,"&lt;=0")</f>
        <v>0</v>
      </c>
      <c r="W53" s="28" t="str">
        <f aca="false">IF(A53="","",IF(AND(V53&gt;0,G53&gt;0),"Y",""))</f>
        <v/>
      </c>
      <c r="X53" s="9" t="str">
        <f aca="false">IF(A53="","",IF(AND(G53&gt;0,OR(Options!P53="N",Options!Q53="N")),"Y",""))</f>
        <v/>
      </c>
      <c r="Y53" s="9" t="n">
        <f aca="false">IF(AND(A53&lt;&gt;"",U53&gt;0,V53=0,G53&gt;0,Options!P53&lt;&gt;"N",Options!Q53&lt;&gt;"N"),1,0)</f>
        <v>1</v>
      </c>
      <c r="Z53" s="29" t="n">
        <f aca="false">IFERROR((K53+L53)/(I53+J53)-1,0)</f>
        <v>0.25</v>
      </c>
      <c r="AA53" s="9" t="str">
        <f aca="false">IF(A53="","",IF(Q53&gt;=Settings!$B$17,"High","Low"))</f>
        <v>High</v>
      </c>
      <c r="AB53" s="9" t="str">
        <f aca="false">IF(A53="","",IF(S53&lt;IF(D53="End of life",Settings!$B$9,IF(D53="Core",T53,MIN(T53,Settings!$B$9))),"Low",IF(S53&gt;IF(D53="Core",Settings!$B$19,Settings!$B$9+Settings!$B$18),"High","Balanced")))</f>
        <v>Balanced</v>
      </c>
      <c r="AC53" s="28" t="str">
        <f aca="false">IF(A53="","",IF(AW53="Y","Held for a campaign",IF(AA53="High",IF(AB53="Low","Selling and short",IF(AB53="High","Selling, heavy","Selling, covered")),IF(AB53="Low","Slow and short",IF(AB53="High","Slow and heavy","Slow, covered")))))</f>
        <v>Selling, covered</v>
      </c>
      <c r="AD53" s="9" t="str">
        <f aca="false">IF(A53="","",TRIM(IF(W53="Y","Broken curve. ","")&amp;IF(X53="Y","Hidden from customers. ","")&amp;IF(Options!O53="Y","Promoted. ","")&amp;IF(Options!I53="Y","Range job. ","")&amp;IF(D53="End of life","End of life. ","")&amp;IF(H53&gt;0,"Order due in "&amp;Options!N53&amp;" weeks. ","")&amp;IF(AW53="Y","Held for "&amp;Options!T53&amp;", starts in "&amp;Options!U53&amp;" weeks. ","")&amp;IF(AX53&gt;0,"Covering for "&amp;AX53&amp;" sold-out line(s). ","")))</f>
        <v/>
      </c>
      <c r="AE53" s="9" t="str">
        <f aca="false">IF(A53="","",IF(AW53="Y",IF(AND(N(Options!V53)&gt;0,G53+H53&gt;N(Options!V53)*1.1),Settings!$A$48,Settings!$A$47),IF(X53="Y",Settings!$A$27,IF(AND(W53="Y",D53&lt;&gt;"End of life",AA53="High"),IF(H53&gt;0,Settings!$A$28,Settings!$A$29),IF(AND(W53="Y",D53="End of life"),Settings!$A$30,IF(AC53="Selling and short",IF(D53="End of life",Settings!$A$31,IF(Options!O53="Y",Settings!$A$32,IF(AX53&gt;0,Settings!$A$33,IF(H53&gt;0,IF(N(Options!N53)&lt;=S53,Settings!$A$34,Settings!$A$35),IF(AND(D53&lt;&gt;"Core",T53&gt;=Settings!$B$9),Settings!$A$36,Settings!$A$37))))),IF(AC53="Selling, heavy",IF(D53="Core",Settings!$A$38,Settings!$A$39),IF(AC53="Selling, covered",Settings!$A$40,IF(AC53="Slow and heavy",IF(Options!I53="Y",Settings!$A$41,IF(D53="End of life",Settings!$A$42,Settings!$A$43)),IF(AC53="Slow and short",IF(W53="Y",Settings!$A$44,Settings!$A$45),Settings!$A$46))))))))))</f>
        <v>Hold</v>
      </c>
      <c r="AF53" s="9" t="str">
        <f aca="false">IF(A53="","",IFERROR(VLOOKUP(AM53,Settings!$A$27:$B$48,2,0),"Assign an owner"))</f>
        <v>Merchandiser</v>
      </c>
      <c r="AG53" s="14" t="n">
        <f aca="false">SUMIFS('SKU Data'!$V$6:$V$505,'SKU Data'!$B$6:$B$505,$A53)</f>
        <v>1704.3</v>
      </c>
      <c r="AH53" s="12" t="n">
        <f aca="false">IF(A53="",0,IF(AW53="Y",IF(N(Options!V53)&gt;0,MAX(0,G53+H53-N(Options!V53)),0),MAX(0,G53+H53-N53*IF(D53="Core",Settings!$B$19,Settings!$B$9))))</f>
        <v>34.44</v>
      </c>
      <c r="AI53" s="14" t="n">
        <f aca="false">IF(OR(A53="",D53="Core"),0,AH53*N(Options!J53)*Settings!$B$21)</f>
        <v>895.44</v>
      </c>
      <c r="AJ53" s="14" t="n">
        <f aca="false">AH53*N(Options!K53)</f>
        <v>850.668</v>
      </c>
      <c r="AK53" s="27" t="n">
        <f aca="false">AZ53*(1-AY53)</f>
        <v>0</v>
      </c>
      <c r="AL53" s="27" t="n">
        <f aca="false">AI53+AK53</f>
        <v>895.44</v>
      </c>
      <c r="AM53" s="9" t="str">
        <f aca="false">IF(A53="","",IF(Options!W53&lt;&gt;"",Options!W53,AE53))</f>
        <v>Hold</v>
      </c>
      <c r="AN53" s="28" t="n">
        <f aca="false">IF(A53="","",COUNTIF($AR$6:$AR$85,"&gt;"&amp;AR53)+1)</f>
        <v>41</v>
      </c>
      <c r="AO53" s="9" t="str">
        <f aca="false">IF(A53="","",Options!D53)</f>
        <v>Chinos</v>
      </c>
      <c r="AP53" s="9" t="str">
        <f aca="false">IF(A53="","",Options!F53)</f>
        <v>Own brand</v>
      </c>
      <c r="AQ53" s="9" t="n">
        <f aca="false">IF(AND(A53&lt;&gt;"",AW53&lt;&gt;"Y",M53&gt;0,COUNTIF($M$6:$M$85,"&gt;"&amp;M53)&lt;Settings!$B$22),1,0)</f>
        <v>0</v>
      </c>
      <c r="AR53" s="28" t="n">
        <f aca="false">IF(A53="",-1,AL53+ROW()/1000000000)</f>
        <v>895.440000053</v>
      </c>
      <c r="AS53" s="28" t="n">
        <f aca="false">IF(A53="",-1,AK53+ROW()/1000000000)</f>
        <v>5.3E-008</v>
      </c>
      <c r="AT53" s="28" t="n">
        <f aca="false">IF(A53="",-1,AI53+ROW()/1000000000)</f>
        <v>895.440000053</v>
      </c>
      <c r="AU53" s="25" t="n">
        <f aca="false">SUMIFS('SKU Data'!$W$6:$W$505,'SKU Data'!$B$6:$B$505,$A53)</f>
        <v>9</v>
      </c>
      <c r="AV53" s="28" t="n">
        <f aca="false">IF(A53="","",COUNTIFS($C$6:$C$85,C53,$M$6:$M$85,"&gt;"&amp;M53)+1)</f>
        <v>11</v>
      </c>
      <c r="AW53" s="9" t="str">
        <f aca="false">IF(A53="","",IF(AND(Options!T53&lt;&gt;"",N(Options!U53)&gt;0),"Y",""))</f>
        <v/>
      </c>
      <c r="AX53" s="9" t="n">
        <f aca="false">IF(A53="",0,COUNTIFS(Options!$R$6:$R$85,$A53,$V$6:$V$85,"&gt;0"))</f>
        <v>0</v>
      </c>
      <c r="AY53" s="13" t="n">
        <f aca="false">IF(Options!S53&lt;&gt;"",Options!S53,Settings!$B$23)</f>
        <v>0.3</v>
      </c>
      <c r="AZ53" s="14" t="n">
        <f aca="false">SUMIFS('SKU Data'!$U$6:$U$505,'SKU Data'!$B$6:$B$505,$A53)</f>
        <v>0</v>
      </c>
    </row>
    <row r="54" customFormat="false" ht="15" hidden="false" customHeight="false" outlineLevel="0" collapsed="false">
      <c r="A54" s="9" t="str">
        <f aca="false">IF(Options!A54="","",Options!A54)</f>
        <v>OPT049</v>
      </c>
      <c r="B54" s="9" t="str">
        <f aca="false">IF(A54="","",Options!B54&amp;" "&amp;Options!C54)</f>
        <v>Cord trouser Navy</v>
      </c>
      <c r="C54" s="9" t="str">
        <f aca="false">IF(A54="","",Options!E54)</f>
        <v>Trousers</v>
      </c>
      <c r="D54" s="9" t="str">
        <f aca="false">IF(A54="","",Options!H54)</f>
        <v>End of life</v>
      </c>
      <c r="E54" s="12" t="n">
        <f aca="false">SUMIFS('SKU Data'!$E$6:$E$505,'SKU Data'!$B$6:$B$505,$A54)</f>
        <v>436</v>
      </c>
      <c r="F54" s="12" t="n">
        <f aca="false">SUMIFS('SKU Data'!$F$6:$F$505,'SKU Data'!$B$6:$B$505,$A54)</f>
        <v>0</v>
      </c>
      <c r="G54" s="12" t="n">
        <f aca="false">SUMIFS('SKU Data'!$G$6:$G$505,'SKU Data'!$B$6:$B$505,$A54)</f>
        <v>129</v>
      </c>
      <c r="H54" s="12" t="n">
        <f aca="false">N(Options!M54)</f>
        <v>0</v>
      </c>
      <c r="I54" s="12" t="n">
        <f aca="false">SUMIFS('SKU Data'!$H$6:$H$505,'SKU Data'!$B$6:$B$505,$A54)</f>
        <v>4</v>
      </c>
      <c r="J54" s="12" t="n">
        <f aca="false">SUMIFS('SKU Data'!$I$6:$I$505,'SKU Data'!$B$6:$B$505,$A54)</f>
        <v>5</v>
      </c>
      <c r="K54" s="12" t="n">
        <f aca="false">SUMIFS('SKU Data'!$J$6:$J$505,'SKU Data'!$B$6:$B$505,$A54)</f>
        <v>3</v>
      </c>
      <c r="L54" s="12" t="n">
        <f aca="false">SUMIFS('SKU Data'!$K$6:$K$505,'SKU Data'!$B$6:$B$505,$A54)</f>
        <v>3</v>
      </c>
      <c r="M54" s="25" t="n">
        <f aca="false">L54*Settings!$B$10+K54*Settings!$B$11+J54*Settings!$B$12+I54*Settings!$B$13</f>
        <v>3.5</v>
      </c>
      <c r="N54" s="25" t="n">
        <f aca="false">M54*Settings!$B$15</f>
        <v>3.15</v>
      </c>
      <c r="O54" s="12" t="n">
        <f aca="false">SUMIFS('SKU Data'!$L$6:$L$505,'SKU Data'!$B$6:$B$505,$A54)</f>
        <v>307</v>
      </c>
      <c r="P54" s="12" t="n">
        <f aca="false">SUMIFS('SKU Data'!$M$6:$M$505,'SKU Data'!$B$6:$B$505,$A54)</f>
        <v>269</v>
      </c>
      <c r="Q54" s="21" t="n">
        <f aca="false">IFERROR(O54/(E54-F54),0)</f>
        <v>0.704128440366973</v>
      </c>
      <c r="R54" s="21" t="n">
        <f aca="false">IFERROR(P54/(E54-F54),0)</f>
        <v>0.61697247706422</v>
      </c>
      <c r="S54" s="26" t="n">
        <f aca="false">IF(N54&lt;=0,IF(G54&gt;0,999,0),G54/N54)</f>
        <v>40.952380952381</v>
      </c>
      <c r="T54" s="25" t="n">
        <f aca="false">IF(N(Options!L54)&gt;0,Options!L54,Settings!$B$20)</f>
        <v>8</v>
      </c>
      <c r="U54" s="9" t="n">
        <f aca="false">COUNTIFS('SKU Data'!$B$6:$B$505,$A54,'SKU Data'!$D$6:$D$505,"Y")</f>
        <v>3</v>
      </c>
      <c r="V54" s="9" t="n">
        <f aca="false">COUNTIFS('SKU Data'!$B$6:$B$505,$A54,'SKU Data'!$D$6:$D$505,"Y",'SKU Data'!$G$6:$G$505,"&lt;=0")</f>
        <v>3</v>
      </c>
      <c r="W54" s="28" t="str">
        <f aca="false">IF(A54="","",IF(AND(V54&gt;0,G54&gt;0),"Y",""))</f>
        <v>Y</v>
      </c>
      <c r="X54" s="9" t="str">
        <f aca="false">IF(A54="","",IF(AND(G54&gt;0,OR(Options!P54="N",Options!Q54="N")),"Y",""))</f>
        <v/>
      </c>
      <c r="Y54" s="9" t="n">
        <f aca="false">IF(AND(A54&lt;&gt;"",U54&gt;0,V54=0,G54&gt;0,Options!P54&lt;&gt;"N",Options!Q54&lt;&gt;"N"),1,0)</f>
        <v>0</v>
      </c>
      <c r="Z54" s="29" t="n">
        <f aca="false">IFERROR((K54+L54)/(I54+J54)-1,0)</f>
        <v>-0.333333333333333</v>
      </c>
      <c r="AA54" s="9" t="str">
        <f aca="false">IF(A54="","",IF(Q54&gt;=Settings!$B$17,"High","Low"))</f>
        <v>Low</v>
      </c>
      <c r="AB54" s="9" t="str">
        <f aca="false">IF(A54="","",IF(S54&lt;IF(D54="End of life",Settings!$B$9,IF(D54="Core",T54,MIN(T54,Settings!$B$9))),"Low",IF(S54&gt;IF(D54="Core",Settings!$B$19,Settings!$B$9+Settings!$B$18),"High","Balanced")))</f>
        <v>High</v>
      </c>
      <c r="AC54" s="28" t="str">
        <f aca="false">IF(A54="","",IF(AW54="Y","Held for a campaign",IF(AA54="High",IF(AB54="Low","Selling and short",IF(AB54="High","Selling, heavy","Selling, covered")),IF(AB54="Low","Slow and short",IF(AB54="High","Slow and heavy","Slow, covered")))))</f>
        <v>Slow and heavy</v>
      </c>
      <c r="AD54" s="9" t="str">
        <f aca="false">IF(A54="","",TRIM(IF(W54="Y","Broken curve. ","")&amp;IF(X54="Y","Hidden from customers. ","")&amp;IF(Options!O54="Y","Promoted. ","")&amp;IF(Options!I54="Y","Range job. ","")&amp;IF(D54="End of life","End of life. ","")&amp;IF(H54&gt;0,"Order due in "&amp;Options!N54&amp;" weeks. ","")&amp;IF(AW54="Y","Held for "&amp;Options!T54&amp;", starts in "&amp;Options!U54&amp;" weeks. ","")&amp;IF(AX54&gt;0,"Covering for "&amp;AX54&amp;" sold-out line(s). ","")))</f>
        <v>Broken curve. End of life.</v>
      </c>
      <c r="AE54" s="9" t="str">
        <f aca="false">IF(A54="","",IF(AW54="Y",IF(AND(N(Options!V54)&gt;0,G54+H54&gt;N(Options!V54)*1.1),Settings!$A$48,Settings!$A$47),IF(X54="Y",Settings!$A$27,IF(AND(W54="Y",D54&lt;&gt;"End of life",AA54="High"),IF(H54&gt;0,Settings!$A$28,Settings!$A$29),IF(AND(W54="Y",D54="End of life"),Settings!$A$30,IF(AC54="Selling and short",IF(D54="End of life",Settings!$A$31,IF(Options!O54="Y",Settings!$A$32,IF(AX54&gt;0,Settings!$A$33,IF(H54&gt;0,IF(N(Options!N54)&lt;=S54,Settings!$A$34,Settings!$A$35),IF(AND(D54&lt;&gt;"Core",T54&gt;=Settings!$B$9),Settings!$A$36,Settings!$A$37))))),IF(AC54="Selling, heavy",IF(D54="Core",Settings!$A$38,Settings!$A$39),IF(AC54="Selling, covered",Settings!$A$40,IF(AC54="Slow and heavy",IF(Options!I54="Y",Settings!$A$41,IF(D54="End of life",Settings!$A$42,Settings!$A$43)),IF(AC54="Slow and short",IF(W54="Y",Settings!$A$44,Settings!$A$45),Settings!$A$46))))))))))</f>
        <v>Exit: clear the remaining sizes</v>
      </c>
      <c r="AF54" s="9" t="str">
        <f aca="false">IF(A54="","",IFERROR(VLOOKUP(AM54,Settings!$A$27:$B$48,2,0),"Assign an owner"))</f>
        <v>Trading Manager</v>
      </c>
      <c r="AG54" s="14" t="n">
        <f aca="false">SUMIFS('SKU Data'!$V$6:$V$505,'SKU Data'!$B$6:$B$505,$A54)</f>
        <v>3431.4</v>
      </c>
      <c r="AH54" s="12" t="n">
        <f aca="false">IF(A54="",0,IF(AW54="Y",IF(N(Options!V54)&gt;0,MAX(0,G54+H54-N(Options!V54)),0),MAX(0,G54+H54-N54*IF(D54="Core",Settings!$B$19,Settings!$B$9))))</f>
        <v>116.4</v>
      </c>
      <c r="AI54" s="14" t="n">
        <f aca="false">IF(OR(A54="",D54="Core"),0,AH54*N(Options!J54)*Settings!$B$21)</f>
        <v>3259.2</v>
      </c>
      <c r="AJ54" s="14" t="n">
        <f aca="false">AH54*N(Options!K54)</f>
        <v>3096.24</v>
      </c>
      <c r="AK54" s="27" t="n">
        <f aca="false">AZ54*(1-AY54)</f>
        <v>0</v>
      </c>
      <c r="AL54" s="27" t="n">
        <f aca="false">AI54+AK54</f>
        <v>3259.2</v>
      </c>
      <c r="AM54" s="9" t="str">
        <f aca="false">IF(A54="","",IF(Options!W54&lt;&gt;"",Options!W54,AE54))</f>
        <v>Exit: clear the remaining sizes</v>
      </c>
      <c r="AN54" s="28" t="n">
        <f aca="false">IF(A54="","",COUNTIF($AR$6:$AR$85,"&gt;"&amp;AR54)+1)</f>
        <v>29</v>
      </c>
      <c r="AO54" s="9" t="str">
        <f aca="false">IF(A54="","",Options!D54)</f>
        <v>Cords</v>
      </c>
      <c r="AP54" s="9" t="str">
        <f aca="false">IF(A54="","",Options!F54)</f>
        <v>Own brand</v>
      </c>
      <c r="AQ54" s="9" t="n">
        <f aca="false">IF(AND(A54&lt;&gt;"",AW54&lt;&gt;"Y",M54&gt;0,COUNTIF($M$6:$M$85,"&gt;"&amp;M54)&lt;Settings!$B$22),1,0)</f>
        <v>0</v>
      </c>
      <c r="AR54" s="28" t="n">
        <f aca="false">IF(A54="",-1,AL54+ROW()/1000000000)</f>
        <v>3259.200000054</v>
      </c>
      <c r="AS54" s="28" t="n">
        <f aca="false">IF(A54="",-1,AK54+ROW()/1000000000)</f>
        <v>5.4E-008</v>
      </c>
      <c r="AT54" s="28" t="n">
        <f aca="false">IF(A54="",-1,AI54+ROW()/1000000000)</f>
        <v>3259.200000054</v>
      </c>
      <c r="AU54" s="25" t="n">
        <f aca="false">SUMIFS('SKU Data'!$W$6:$W$505,'SKU Data'!$B$6:$B$505,$A54)</f>
        <v>8.63636363636364</v>
      </c>
      <c r="AV54" s="28" t="n">
        <f aca="false">IF(A54="","",COUNTIFS($C$6:$C$85,C54,$M$6:$M$85,"&gt;"&amp;M54)+1)</f>
        <v>14</v>
      </c>
      <c r="AW54" s="9" t="str">
        <f aca="false">IF(A54="","",IF(AND(Options!T54&lt;&gt;"",N(Options!U54)&gt;0),"Y",""))</f>
        <v/>
      </c>
      <c r="AX54" s="9" t="n">
        <f aca="false">IF(A54="",0,COUNTIFS(Options!$R$6:$R$85,$A54,$V$6:$V$85,"&gt;0"))</f>
        <v>0</v>
      </c>
      <c r="AY54" s="13" t="n">
        <f aca="false">IF(Options!S54&lt;&gt;"",Options!S54,Settings!$B$23)</f>
        <v>0.3</v>
      </c>
      <c r="AZ54" s="14" t="n">
        <f aca="false">SUMIFS('SKU Data'!$U$6:$U$505,'SKU Data'!$B$6:$B$505,$A54)</f>
        <v>0</v>
      </c>
    </row>
    <row r="55" customFormat="false" ht="15" hidden="false" customHeight="false" outlineLevel="0" collapsed="false">
      <c r="A55" s="9" t="str">
        <f aca="false">IF(Options!A55="","",Options!A55)</f>
        <v>OPT050</v>
      </c>
      <c r="B55" s="9" t="str">
        <f aca="false">IF(A55="","",Options!B55&amp;" "&amp;Options!C55)</f>
        <v>Regular chino Olive</v>
      </c>
      <c r="C55" s="9" t="str">
        <f aca="false">IF(A55="","",Options!E55)</f>
        <v>Trousers</v>
      </c>
      <c r="D55" s="9" t="str">
        <f aca="false">IF(A55="","",Options!H55)</f>
        <v>Seasonal</v>
      </c>
      <c r="E55" s="12" t="n">
        <f aca="false">SUMIFS('SKU Data'!$E$6:$E$505,'SKU Data'!$B$6:$B$505,$A55)</f>
        <v>1133</v>
      </c>
      <c r="F55" s="12" t="n">
        <f aca="false">SUMIFS('SKU Data'!$F$6:$F$505,'SKU Data'!$B$6:$B$505,$A55)</f>
        <v>0</v>
      </c>
      <c r="G55" s="12" t="n">
        <f aca="false">SUMIFS('SKU Data'!$G$6:$G$505,'SKU Data'!$B$6:$B$505,$A55)</f>
        <v>738</v>
      </c>
      <c r="H55" s="12" t="n">
        <f aca="false">N(Options!M55)</f>
        <v>0</v>
      </c>
      <c r="I55" s="12" t="n">
        <f aca="false">SUMIFS('SKU Data'!$H$6:$H$505,'SKU Data'!$B$6:$B$505,$A55)</f>
        <v>12</v>
      </c>
      <c r="J55" s="12" t="n">
        <f aca="false">SUMIFS('SKU Data'!$I$6:$I$505,'SKU Data'!$B$6:$B$505,$A55)</f>
        <v>11</v>
      </c>
      <c r="K55" s="12" t="n">
        <f aca="false">SUMIFS('SKU Data'!$J$6:$J$505,'SKU Data'!$B$6:$B$505,$A55)</f>
        <v>14</v>
      </c>
      <c r="L55" s="12" t="n">
        <f aca="false">SUMIFS('SKU Data'!$K$6:$K$505,'SKU Data'!$B$6:$B$505,$A55)</f>
        <v>15</v>
      </c>
      <c r="M55" s="25" t="n">
        <f aca="false">L55*Settings!$B$10+K55*Settings!$B$11+J55*Settings!$B$12+I55*Settings!$B$13</f>
        <v>13.6</v>
      </c>
      <c r="N55" s="25" t="n">
        <f aca="false">M55*Settings!$B$15</f>
        <v>12.24</v>
      </c>
      <c r="O55" s="12" t="n">
        <f aca="false">SUMIFS('SKU Data'!$L$6:$L$505,'SKU Data'!$B$6:$B$505,$A55)</f>
        <v>395</v>
      </c>
      <c r="P55" s="12" t="n">
        <f aca="false">SUMIFS('SKU Data'!$M$6:$M$505,'SKU Data'!$B$6:$B$505,$A55)</f>
        <v>237</v>
      </c>
      <c r="Q55" s="21" t="n">
        <f aca="false">IFERROR(O55/(E55-F55),0)</f>
        <v>0.348631950573698</v>
      </c>
      <c r="R55" s="21" t="n">
        <f aca="false">IFERROR(P55/(E55-F55),0)</f>
        <v>0.209179170344219</v>
      </c>
      <c r="S55" s="26" t="n">
        <f aca="false">IF(N55&lt;=0,IF(G55&gt;0,999,0),G55/N55)</f>
        <v>60.2941176470588</v>
      </c>
      <c r="T55" s="25" t="n">
        <f aca="false">IF(N(Options!L55)&gt;0,Options!L55,Settings!$B$20)</f>
        <v>8</v>
      </c>
      <c r="U55" s="9" t="n">
        <f aca="false">COUNTIFS('SKU Data'!$B$6:$B$505,$A55,'SKU Data'!$D$6:$D$505,"Y")</f>
        <v>3</v>
      </c>
      <c r="V55" s="9" t="n">
        <f aca="false">COUNTIFS('SKU Data'!$B$6:$B$505,$A55,'SKU Data'!$D$6:$D$505,"Y",'SKU Data'!$G$6:$G$505,"&lt;=0")</f>
        <v>0</v>
      </c>
      <c r="W55" s="28" t="str">
        <f aca="false">IF(A55="","",IF(AND(V55&gt;0,G55&gt;0),"Y",""))</f>
        <v/>
      </c>
      <c r="X55" s="9" t="str">
        <f aca="false">IF(A55="","",IF(AND(G55&gt;0,OR(Options!P55="N",Options!Q55="N")),"Y",""))</f>
        <v/>
      </c>
      <c r="Y55" s="9" t="n">
        <f aca="false">IF(AND(A55&lt;&gt;"",U55&gt;0,V55=0,G55&gt;0,Options!P55&lt;&gt;"N",Options!Q55&lt;&gt;"N"),1,0)</f>
        <v>1</v>
      </c>
      <c r="Z55" s="29" t="n">
        <f aca="false">IFERROR((K55+L55)/(I55+J55)-1,0)</f>
        <v>0.260869565217391</v>
      </c>
      <c r="AA55" s="9" t="str">
        <f aca="false">IF(A55="","",IF(Q55&gt;=Settings!$B$17,"High","Low"))</f>
        <v>Low</v>
      </c>
      <c r="AB55" s="9" t="str">
        <f aca="false">IF(A55="","",IF(S55&lt;IF(D55="End of life",Settings!$B$9,IF(D55="Core",T55,MIN(T55,Settings!$B$9))),"Low",IF(S55&gt;IF(D55="Core",Settings!$B$19,Settings!$B$9+Settings!$B$18),"High","Balanced")))</f>
        <v>High</v>
      </c>
      <c r="AC55" s="28" t="str">
        <f aca="false">IF(A55="","",IF(AW55="Y","Held for a campaign",IF(AA55="High",IF(AB55="Low","Selling and short",IF(AB55="High","Selling, heavy","Selling, covered")),IF(AB55="Low","Slow and short",IF(AB55="High","Slow and heavy","Slow, covered")))))</f>
        <v>Slow and heavy</v>
      </c>
      <c r="AD55" s="9" t="str">
        <f aca="false">IF(A55="","",TRIM(IF(W55="Y","Broken curve. ","")&amp;IF(X55="Y","Hidden from customers. ","")&amp;IF(Options!O55="Y","Promoted. ","")&amp;IF(Options!I55="Y","Range job. ","")&amp;IF(D55="End of life","End of life. ","")&amp;IF(H55&gt;0,"Order due in "&amp;Options!N55&amp;" weeks. ","")&amp;IF(AW55="Y","Held for "&amp;Options!T55&amp;", starts in "&amp;Options!U55&amp;" weeks. ","")&amp;IF(AX55&gt;0,"Covering for "&amp;AX55&amp;" sold-out line(s). ","")))</f>
        <v/>
      </c>
      <c r="AE55" s="9" t="str">
        <f aca="false">IF(A55="","",IF(AW55="Y",IF(AND(N(Options!V55)&gt;0,G55+H55&gt;N(Options!V55)*1.1),Settings!$A$48,Settings!$A$47),IF(X55="Y",Settings!$A$27,IF(AND(W55="Y",D55&lt;&gt;"End of life",AA55="High"),IF(H55&gt;0,Settings!$A$28,Settings!$A$29),IF(AND(W55="Y",D55="End of life"),Settings!$A$30,IF(AC55="Selling and short",IF(D55="End of life",Settings!$A$31,IF(Options!O55="Y",Settings!$A$32,IF(AX55&gt;0,Settings!$A$33,IF(H55&gt;0,IF(N(Options!N55)&lt;=S55,Settings!$A$34,Settings!$A$35),IF(AND(D55&lt;&gt;"Core",T55&gt;=Settings!$B$9),Settings!$A$36,Settings!$A$37))))),IF(AC55="Selling, heavy",IF(D55="Core",Settings!$A$38,Settings!$A$39),IF(AC55="Selling, covered",Settings!$A$40,IF(AC55="Slow and heavy",IF(Options!I55="Y",Settings!$A$41,IF(D55="End of life",Settings!$A$42,Settings!$A$43)),IF(AC55="Slow and short",IF(W55="Y",Settings!$A$44,Settings!$A$45),Settings!$A$46))))))))))</f>
        <v>Mark down or re-merchandise</v>
      </c>
      <c r="AF55" s="9" t="str">
        <f aca="false">IF(A55="","",IFERROR(VLOOKUP(AM55,Settings!$A$27:$B$48,2,0),"Assign an owner"))</f>
        <v>Trading Manager</v>
      </c>
      <c r="AG55" s="14" t="n">
        <f aca="false">SUMIFS('SKU Data'!$V$6:$V$505,'SKU Data'!$B$6:$B$505,$A55)</f>
        <v>19630.8</v>
      </c>
      <c r="AH55" s="12" t="n">
        <f aca="false">IF(A55="",0,IF(AW55="Y",IF(N(Options!V55)&gt;0,MAX(0,G55+H55-N(Options!V55)),0),MAX(0,G55+H55-N55*IF(D55="Core",Settings!$B$19,Settings!$B$9))))</f>
        <v>689.04</v>
      </c>
      <c r="AI55" s="14" t="n">
        <f aca="false">IF(OR(A55="",D55="Core"),0,AH55*N(Options!J55)*Settings!$B$21)</f>
        <v>19293.12</v>
      </c>
      <c r="AJ55" s="14" t="n">
        <f aca="false">AH55*N(Options!K55)</f>
        <v>18328.464</v>
      </c>
      <c r="AK55" s="27" t="n">
        <f aca="false">AZ55*(1-AY55)</f>
        <v>0</v>
      </c>
      <c r="AL55" s="27" t="n">
        <f aca="false">AI55+AK55</f>
        <v>19293.12</v>
      </c>
      <c r="AM55" s="9" t="str">
        <f aca="false">IF(A55="","",IF(Options!W55&lt;&gt;"",Options!W55,AE55))</f>
        <v>Mark down or re-merchandise</v>
      </c>
      <c r="AN55" s="28" t="n">
        <f aca="false">IF(A55="","",COUNTIF($AR$6:$AR$85,"&gt;"&amp;AR55)+1)</f>
        <v>10</v>
      </c>
      <c r="AO55" s="9" t="str">
        <f aca="false">IF(A55="","",Options!D55)</f>
        <v>Chinos</v>
      </c>
      <c r="AP55" s="9" t="str">
        <f aca="false">IF(A55="","",Options!F55)</f>
        <v>Own brand</v>
      </c>
      <c r="AQ55" s="9" t="n">
        <f aca="false">IF(AND(A55&lt;&gt;"",AW55&lt;&gt;"Y",M55&gt;0,COUNTIF($M$6:$M$85,"&gt;"&amp;M55)&lt;Settings!$B$22),1,0)</f>
        <v>0</v>
      </c>
      <c r="AR55" s="28" t="n">
        <f aca="false">IF(A55="",-1,AL55+ROW()/1000000000)</f>
        <v>19293.120000055</v>
      </c>
      <c r="AS55" s="28" t="n">
        <f aca="false">IF(A55="",-1,AK55+ROW()/1000000000)</f>
        <v>5.5E-008</v>
      </c>
      <c r="AT55" s="28" t="n">
        <f aca="false">IF(A55="",-1,AI55+ROW()/1000000000)</f>
        <v>19293.120000055</v>
      </c>
      <c r="AU55" s="25" t="n">
        <f aca="false">SUMIFS('SKU Data'!$W$6:$W$505,'SKU Data'!$B$6:$B$505,$A55)</f>
        <v>13</v>
      </c>
      <c r="AV55" s="28" t="n">
        <f aca="false">IF(A55="","",COUNTIFS($C$6:$C$85,C55,$M$6:$M$85,"&gt;"&amp;M55)+1)</f>
        <v>7</v>
      </c>
      <c r="AW55" s="9" t="str">
        <f aca="false">IF(A55="","",IF(AND(Options!T55&lt;&gt;"",N(Options!U55)&gt;0),"Y",""))</f>
        <v/>
      </c>
      <c r="AX55" s="9" t="n">
        <f aca="false">IF(A55="",0,COUNTIFS(Options!$R$6:$R$85,$A55,$V$6:$V$85,"&gt;0"))</f>
        <v>0</v>
      </c>
      <c r="AY55" s="13" t="n">
        <f aca="false">IF(Options!S55&lt;&gt;"",Options!S55,Settings!$B$23)</f>
        <v>0.3</v>
      </c>
      <c r="AZ55" s="14" t="n">
        <f aca="false">SUMIFS('SKU Data'!$U$6:$U$505,'SKU Data'!$B$6:$B$505,$A55)</f>
        <v>0</v>
      </c>
    </row>
    <row r="56" customFormat="false" ht="15" hidden="false" customHeight="false" outlineLevel="0" collapsed="false">
      <c r="A56" s="9" t="str">
        <f aca="false">IF(Options!A56="","",Options!A56)</f>
        <v>OPT051</v>
      </c>
      <c r="B56" s="9" t="str">
        <f aca="false">IF(A56="","",Options!B56&amp;" "&amp;Options!C56)</f>
        <v>Cord trouser Stone</v>
      </c>
      <c r="C56" s="9" t="str">
        <f aca="false">IF(A56="","",Options!E56)</f>
        <v>Trousers</v>
      </c>
      <c r="D56" s="9" t="str">
        <f aca="false">IF(A56="","",Options!H56)</f>
        <v>Seasonal</v>
      </c>
      <c r="E56" s="12" t="n">
        <f aca="false">SUMIFS('SKU Data'!$E$6:$E$505,'SKU Data'!$B$6:$B$505,$A56)</f>
        <v>792</v>
      </c>
      <c r="F56" s="12" t="n">
        <f aca="false">SUMIFS('SKU Data'!$F$6:$F$505,'SKU Data'!$B$6:$B$505,$A56)</f>
        <v>0</v>
      </c>
      <c r="G56" s="12" t="n">
        <f aca="false">SUMIFS('SKU Data'!$G$6:$G$505,'SKU Data'!$B$6:$B$505,$A56)</f>
        <v>225</v>
      </c>
      <c r="H56" s="12" t="n">
        <f aca="false">N(Options!M56)</f>
        <v>0</v>
      </c>
      <c r="I56" s="12" t="n">
        <f aca="false">SUMIFS('SKU Data'!$H$6:$H$505,'SKU Data'!$B$6:$B$505,$A56)</f>
        <v>23</v>
      </c>
      <c r="J56" s="12" t="n">
        <f aca="false">SUMIFS('SKU Data'!$I$6:$I$505,'SKU Data'!$B$6:$B$505,$A56)</f>
        <v>25</v>
      </c>
      <c r="K56" s="12" t="n">
        <f aca="false">SUMIFS('SKU Data'!$J$6:$J$505,'SKU Data'!$B$6:$B$505,$A56)</f>
        <v>25</v>
      </c>
      <c r="L56" s="12" t="n">
        <f aca="false">SUMIFS('SKU Data'!$K$6:$K$505,'SKU Data'!$B$6:$B$505,$A56)</f>
        <v>27</v>
      </c>
      <c r="M56" s="25" t="n">
        <f aca="false">L56*Settings!$B$10+K56*Settings!$B$11+J56*Settings!$B$12+I56*Settings!$B$13</f>
        <v>25.6</v>
      </c>
      <c r="N56" s="25" t="n">
        <f aca="false">M56*Settings!$B$15</f>
        <v>23.04</v>
      </c>
      <c r="O56" s="12" t="n">
        <f aca="false">SUMIFS('SKU Data'!$L$6:$L$505,'SKU Data'!$B$6:$B$505,$A56)</f>
        <v>567</v>
      </c>
      <c r="P56" s="12" t="n">
        <f aca="false">SUMIFS('SKU Data'!$M$6:$M$505,'SKU Data'!$B$6:$B$505,$A56)</f>
        <v>500</v>
      </c>
      <c r="Q56" s="21" t="n">
        <f aca="false">IFERROR(O56/(E56-F56),0)</f>
        <v>0.715909090909091</v>
      </c>
      <c r="R56" s="21" t="n">
        <f aca="false">IFERROR(P56/(E56-F56),0)</f>
        <v>0.631313131313131</v>
      </c>
      <c r="S56" s="26" t="n">
        <f aca="false">IF(N56&lt;=0,IF(G56&gt;0,999,0),G56/N56)</f>
        <v>9.765625</v>
      </c>
      <c r="T56" s="25" t="n">
        <f aca="false">IF(N(Options!L56)&gt;0,Options!L56,Settings!$B$20)</f>
        <v>10</v>
      </c>
      <c r="U56" s="9" t="n">
        <f aca="false">COUNTIFS('SKU Data'!$B$6:$B$505,$A56,'SKU Data'!$D$6:$D$505,"Y")</f>
        <v>3</v>
      </c>
      <c r="V56" s="9" t="n">
        <f aca="false">COUNTIFS('SKU Data'!$B$6:$B$505,$A56,'SKU Data'!$D$6:$D$505,"Y",'SKU Data'!$G$6:$G$505,"&lt;=0")</f>
        <v>0</v>
      </c>
      <c r="W56" s="28" t="str">
        <f aca="false">IF(A56="","",IF(AND(V56&gt;0,G56&gt;0),"Y",""))</f>
        <v/>
      </c>
      <c r="X56" s="9" t="str">
        <f aca="false">IF(A56="","",IF(AND(G56&gt;0,OR(Options!P56="N",Options!Q56="N")),"Y",""))</f>
        <v/>
      </c>
      <c r="Y56" s="9" t="n">
        <f aca="false">IF(AND(A56&lt;&gt;"",U56&gt;0,V56=0,G56&gt;0,Options!P56&lt;&gt;"N",Options!Q56&lt;&gt;"N"),1,0)</f>
        <v>1</v>
      </c>
      <c r="Z56" s="29" t="n">
        <f aca="false">IFERROR((K56+L56)/(I56+J56)-1,0)</f>
        <v>0.0833333333333333</v>
      </c>
      <c r="AA56" s="9" t="str">
        <f aca="false">IF(A56="","",IF(Q56&gt;=Settings!$B$17,"High","Low"))</f>
        <v>Low</v>
      </c>
      <c r="AB56" s="9" t="str">
        <f aca="false">IF(A56="","",IF(S56&lt;IF(D56="End of life",Settings!$B$9,IF(D56="Core",T56,MIN(T56,Settings!$B$9))),"Low",IF(S56&gt;IF(D56="Core",Settings!$B$19,Settings!$B$9+Settings!$B$18),"High","Balanced")))</f>
        <v>High</v>
      </c>
      <c r="AC56" s="28" t="str">
        <f aca="false">IF(A56="","",IF(AW56="Y","Held for a campaign",IF(AA56="High",IF(AB56="Low","Selling and short",IF(AB56="High","Selling, heavy","Selling, covered")),IF(AB56="Low","Slow and short",IF(AB56="High","Slow and heavy","Slow, covered")))))</f>
        <v>Slow and heavy</v>
      </c>
      <c r="AD56" s="9" t="str">
        <f aca="false">IF(A56="","",TRIM(IF(W56="Y","Broken curve. ","")&amp;IF(X56="Y","Hidden from customers. ","")&amp;IF(Options!O56="Y","Promoted. ","")&amp;IF(Options!I56="Y","Range job. ","")&amp;IF(D56="End of life","End of life. ","")&amp;IF(H56&gt;0,"Order due in "&amp;Options!N56&amp;" weeks. ","")&amp;IF(AW56="Y","Held for "&amp;Options!T56&amp;", starts in "&amp;Options!U56&amp;" weeks. ","")&amp;IF(AX56&gt;0,"Covering for "&amp;AX56&amp;" sold-out line(s). ","")))</f>
        <v/>
      </c>
      <c r="AE56" s="9" t="str">
        <f aca="false">IF(A56="","",IF(AW56="Y",IF(AND(N(Options!V56)&gt;0,G56+H56&gt;N(Options!V56)*1.1),Settings!$A$48,Settings!$A$47),IF(X56="Y",Settings!$A$27,IF(AND(W56="Y",D56&lt;&gt;"End of life",AA56="High"),IF(H56&gt;0,Settings!$A$28,Settings!$A$29),IF(AND(W56="Y",D56="End of life"),Settings!$A$30,IF(AC56="Selling and short",IF(D56="End of life",Settings!$A$31,IF(Options!O56="Y",Settings!$A$32,IF(AX56&gt;0,Settings!$A$33,IF(H56&gt;0,IF(N(Options!N56)&lt;=S56,Settings!$A$34,Settings!$A$35),IF(AND(D56&lt;&gt;"Core",T56&gt;=Settings!$B$9),Settings!$A$36,Settings!$A$37))))),IF(AC56="Selling, heavy",IF(D56="Core",Settings!$A$38,Settings!$A$39),IF(AC56="Selling, covered",Settings!$A$40,IF(AC56="Slow and heavy",IF(Options!I56="Y",Settings!$A$41,IF(D56="End of life",Settings!$A$42,Settings!$A$43)),IF(AC56="Slow and short",IF(W56="Y",Settings!$A$44,Settings!$A$45),Settings!$A$46))))))))))</f>
        <v>Mark down or re-merchandise</v>
      </c>
      <c r="AF56" s="9" t="str">
        <f aca="false">IF(A56="","",IFERROR(VLOOKUP(AM56,Settings!$A$27:$B$48,2,0),"Assign an owner"))</f>
        <v>Trading Manager</v>
      </c>
      <c r="AG56" s="14" t="n">
        <f aca="false">SUMIFS('SKU Data'!$V$6:$V$505,'SKU Data'!$B$6:$B$505,$A56)</f>
        <v>5557.5</v>
      </c>
      <c r="AH56" s="12" t="n">
        <f aca="false">IF(A56="",0,IF(AW56="Y",IF(N(Options!V56)&gt;0,MAX(0,G56+H56-N(Options!V56)),0),MAX(0,G56+H56-N56*IF(D56="Core",Settings!$B$19,Settings!$B$9))))</f>
        <v>132.84</v>
      </c>
      <c r="AI56" s="14" t="n">
        <f aca="false">IF(OR(A56="",D56="Core"),0,AH56*N(Options!J56)*Settings!$B$21)</f>
        <v>3453.84</v>
      </c>
      <c r="AJ56" s="14" t="n">
        <f aca="false">AH56*N(Options!K56)</f>
        <v>3281.148</v>
      </c>
      <c r="AK56" s="27" t="n">
        <f aca="false">AZ56*(1-AY56)</f>
        <v>0</v>
      </c>
      <c r="AL56" s="27" t="n">
        <f aca="false">AI56+AK56</f>
        <v>3453.84</v>
      </c>
      <c r="AM56" s="9" t="str">
        <f aca="false">IF(A56="","",IF(Options!W56&lt;&gt;"",Options!W56,AE56))</f>
        <v>Mark down or re-merchandise</v>
      </c>
      <c r="AN56" s="28" t="n">
        <f aca="false">IF(A56="","",COUNTIF($AR$6:$AR$85,"&gt;"&amp;AR56)+1)</f>
        <v>26</v>
      </c>
      <c r="AO56" s="9" t="str">
        <f aca="false">IF(A56="","",Options!D56)</f>
        <v>Cords</v>
      </c>
      <c r="AP56" s="9" t="str">
        <f aca="false">IF(A56="","",Options!F56)</f>
        <v>Own brand</v>
      </c>
      <c r="AQ56" s="9" t="n">
        <f aca="false">IF(AND(A56&lt;&gt;"",AW56&lt;&gt;"Y",M56&gt;0,COUNTIF($M$6:$M$85,"&gt;"&amp;M56)&lt;Settings!$B$22),1,0)</f>
        <v>1</v>
      </c>
      <c r="AR56" s="28" t="n">
        <f aca="false">IF(A56="",-1,AL56+ROW()/1000000000)</f>
        <v>3453.840000056</v>
      </c>
      <c r="AS56" s="28" t="n">
        <f aca="false">IF(A56="",-1,AK56+ROW()/1000000000)</f>
        <v>5.6E-008</v>
      </c>
      <c r="AT56" s="28" t="n">
        <f aca="false">IF(A56="",-1,AI56+ROW()/1000000000)</f>
        <v>3453.840000056</v>
      </c>
      <c r="AU56" s="25" t="n">
        <f aca="false">SUMIFS('SKU Data'!$W$6:$W$505,'SKU Data'!$B$6:$B$505,$A56)</f>
        <v>25</v>
      </c>
      <c r="AV56" s="28" t="n">
        <f aca="false">IF(A56="","",COUNTIFS($C$6:$C$85,C56,$M$6:$M$85,"&gt;"&amp;M56)+1)</f>
        <v>2</v>
      </c>
      <c r="AW56" s="9" t="str">
        <f aca="false">IF(A56="","",IF(AND(Options!T56&lt;&gt;"",N(Options!U56)&gt;0),"Y",""))</f>
        <v/>
      </c>
      <c r="AX56" s="9" t="n">
        <f aca="false">IF(A56="",0,COUNTIFS(Options!$R$6:$R$85,$A56,$V$6:$V$85,"&gt;0"))</f>
        <v>0</v>
      </c>
      <c r="AY56" s="13" t="n">
        <f aca="false">IF(Options!S56&lt;&gt;"",Options!S56,Settings!$B$23)</f>
        <v>0.3</v>
      </c>
      <c r="AZ56" s="14" t="n">
        <f aca="false">SUMIFS('SKU Data'!$U$6:$U$505,'SKU Data'!$B$6:$B$505,$A56)</f>
        <v>0</v>
      </c>
    </row>
    <row r="57" customFormat="false" ht="15" hidden="false" customHeight="false" outlineLevel="0" collapsed="false">
      <c r="A57" s="9" t="str">
        <f aca="false">IF(Options!A57="","",Options!A57)</f>
        <v>OPT052</v>
      </c>
      <c r="B57" s="9" t="str">
        <f aca="false">IF(A57="","",Options!B57&amp;" "&amp;Options!C57)</f>
        <v>Regular chino Charcoal</v>
      </c>
      <c r="C57" s="9" t="str">
        <f aca="false">IF(A57="","",Options!E57)</f>
        <v>Trousers</v>
      </c>
      <c r="D57" s="9" t="str">
        <f aca="false">IF(A57="","",Options!H57)</f>
        <v>Seasonal</v>
      </c>
      <c r="E57" s="12" t="n">
        <f aca="false">SUMIFS('SKU Data'!$E$6:$E$505,'SKU Data'!$B$6:$B$505,$A57)</f>
        <v>626</v>
      </c>
      <c r="F57" s="12" t="n">
        <f aca="false">SUMIFS('SKU Data'!$F$6:$F$505,'SKU Data'!$B$6:$B$505,$A57)</f>
        <v>0</v>
      </c>
      <c r="G57" s="12" t="n">
        <f aca="false">SUMIFS('SKU Data'!$G$6:$G$505,'SKU Data'!$B$6:$B$505,$A57)</f>
        <v>116</v>
      </c>
      <c r="H57" s="12" t="n">
        <f aca="false">N(Options!M57)</f>
        <v>0</v>
      </c>
      <c r="I57" s="12" t="n">
        <f aca="false">SUMIFS('SKU Data'!$H$6:$H$505,'SKU Data'!$B$6:$B$505,$A57)</f>
        <v>19</v>
      </c>
      <c r="J57" s="12" t="n">
        <f aca="false">SUMIFS('SKU Data'!$I$6:$I$505,'SKU Data'!$B$6:$B$505,$A57)</f>
        <v>23</v>
      </c>
      <c r="K57" s="12" t="n">
        <f aca="false">SUMIFS('SKU Data'!$J$6:$J$505,'SKU Data'!$B$6:$B$505,$A57)</f>
        <v>27</v>
      </c>
      <c r="L57" s="12" t="n">
        <f aca="false">SUMIFS('SKU Data'!$K$6:$K$505,'SKU Data'!$B$6:$B$505,$A57)</f>
        <v>26</v>
      </c>
      <c r="M57" s="25" t="n">
        <f aca="false">L57*Settings!$B$10+K57*Settings!$B$11+J57*Settings!$B$12+I57*Settings!$B$13</f>
        <v>25</v>
      </c>
      <c r="N57" s="25" t="n">
        <f aca="false">M57*Settings!$B$15</f>
        <v>22.5</v>
      </c>
      <c r="O57" s="12" t="n">
        <f aca="false">SUMIFS('SKU Data'!$L$6:$L$505,'SKU Data'!$B$6:$B$505,$A57)</f>
        <v>510</v>
      </c>
      <c r="P57" s="12" t="n">
        <f aca="false">SUMIFS('SKU Data'!$M$6:$M$505,'SKU Data'!$B$6:$B$505,$A57)</f>
        <v>449</v>
      </c>
      <c r="Q57" s="21" t="n">
        <f aca="false">IFERROR(O57/(E57-F57),0)</f>
        <v>0.814696485623003</v>
      </c>
      <c r="R57" s="21" t="n">
        <f aca="false">IFERROR(P57/(E57-F57),0)</f>
        <v>0.717252396166134</v>
      </c>
      <c r="S57" s="26" t="n">
        <f aca="false">IF(N57&lt;=0,IF(G57&gt;0,999,0),G57/N57)</f>
        <v>5.15555555555556</v>
      </c>
      <c r="T57" s="25" t="n">
        <f aca="false">IF(N(Options!L57)&gt;0,Options!L57,Settings!$B$20)</f>
        <v>6</v>
      </c>
      <c r="U57" s="9" t="n">
        <f aca="false">COUNTIFS('SKU Data'!$B$6:$B$505,$A57,'SKU Data'!$D$6:$D$505,"Y")</f>
        <v>3</v>
      </c>
      <c r="V57" s="9" t="n">
        <f aca="false">COUNTIFS('SKU Data'!$B$6:$B$505,$A57,'SKU Data'!$D$6:$D$505,"Y",'SKU Data'!$G$6:$G$505,"&lt;=0")</f>
        <v>0</v>
      </c>
      <c r="W57" s="28" t="str">
        <f aca="false">IF(A57="","",IF(AND(V57&gt;0,G57&gt;0),"Y",""))</f>
        <v/>
      </c>
      <c r="X57" s="9" t="str">
        <f aca="false">IF(A57="","",IF(AND(G57&gt;0,OR(Options!P57="N",Options!Q57="N")),"Y",""))</f>
        <v/>
      </c>
      <c r="Y57" s="9" t="n">
        <f aca="false">IF(AND(A57&lt;&gt;"",U57&gt;0,V57=0,G57&gt;0,Options!P57&lt;&gt;"N",Options!Q57&lt;&gt;"N"),1,0)</f>
        <v>1</v>
      </c>
      <c r="Z57" s="29" t="n">
        <f aca="false">IFERROR((K57+L57)/(I57+J57)-1,0)</f>
        <v>0.261904761904762</v>
      </c>
      <c r="AA57" s="9" t="str">
        <f aca="false">IF(A57="","",IF(Q57&gt;=Settings!$B$17,"High","Low"))</f>
        <v>High</v>
      </c>
      <c r="AB57" s="9" t="str">
        <f aca="false">IF(A57="","",IF(S57&lt;IF(D57="End of life",Settings!$B$9,IF(D57="Core",T57,MIN(T57,Settings!$B$9))),"Low",IF(S57&gt;IF(D57="Core",Settings!$B$19,Settings!$B$9+Settings!$B$18),"High","Balanced")))</f>
        <v>Balanced</v>
      </c>
      <c r="AC57" s="28" t="str">
        <f aca="false">IF(A57="","",IF(AW57="Y","Held for a campaign",IF(AA57="High",IF(AB57="Low","Selling and short",IF(AB57="High","Selling, heavy","Selling, covered")),IF(AB57="Low","Slow and short",IF(AB57="High","Slow and heavy","Slow, covered")))))</f>
        <v>Selling, covered</v>
      </c>
      <c r="AD57" s="9" t="str">
        <f aca="false">IF(A57="","",TRIM(IF(W57="Y","Broken curve. ","")&amp;IF(X57="Y","Hidden from customers. ","")&amp;IF(Options!O57="Y","Promoted. ","")&amp;IF(Options!I57="Y","Range job. ","")&amp;IF(D57="End of life","End of life. ","")&amp;IF(H57&gt;0,"Order due in "&amp;Options!N57&amp;" weeks. ","")&amp;IF(AW57="Y","Held for "&amp;Options!T57&amp;", starts in "&amp;Options!U57&amp;" weeks. ","")&amp;IF(AX57&gt;0,"Covering for "&amp;AX57&amp;" sold-out line(s). ","")))</f>
        <v/>
      </c>
      <c r="AE57" s="9" t="str">
        <f aca="false">IF(A57="","",IF(AW57="Y",IF(AND(N(Options!V57)&gt;0,G57+H57&gt;N(Options!V57)*1.1),Settings!$A$48,Settings!$A$47),IF(X57="Y",Settings!$A$27,IF(AND(W57="Y",D57&lt;&gt;"End of life",AA57="High"),IF(H57&gt;0,Settings!$A$28,Settings!$A$29),IF(AND(W57="Y",D57="End of life"),Settings!$A$30,IF(AC57="Selling and short",IF(D57="End of life",Settings!$A$31,IF(Options!O57="Y",Settings!$A$32,IF(AX57&gt;0,Settings!$A$33,IF(H57&gt;0,IF(N(Options!N57)&lt;=S57,Settings!$A$34,Settings!$A$35),IF(AND(D57&lt;&gt;"Core",T57&gt;=Settings!$B$9),Settings!$A$36,Settings!$A$37))))),IF(AC57="Selling, heavy",IF(D57="Core",Settings!$A$38,Settings!$A$39),IF(AC57="Selling, covered",Settings!$A$40,IF(AC57="Slow and heavy",IF(Options!I57="Y",Settings!$A$41,IF(D57="End of life",Settings!$A$42,Settings!$A$43)),IF(AC57="Slow and short",IF(W57="Y",Settings!$A$44,Settings!$A$45),Settings!$A$46))))))))))</f>
        <v>Hold</v>
      </c>
      <c r="AF57" s="9" t="str">
        <f aca="false">IF(A57="","",IFERROR(VLOOKUP(AM57,Settings!$A$27:$B$48,2,0),"Assign an owner"))</f>
        <v>Merchandiser</v>
      </c>
      <c r="AG57" s="14" t="n">
        <f aca="false">SUMIFS('SKU Data'!$V$6:$V$505,'SKU Data'!$B$6:$B$505,$A57)</f>
        <v>2865.2</v>
      </c>
      <c r="AH57" s="12" t="n">
        <f aca="false">IF(A57="",0,IF(AW57="Y",IF(N(Options!V57)&gt;0,MAX(0,G57+H57-N(Options!V57)),0),MAX(0,G57+H57-N57*IF(D57="Core",Settings!$B$19,Settings!$B$9))))</f>
        <v>26</v>
      </c>
      <c r="AI57" s="14" t="n">
        <f aca="false">IF(OR(A57="",D57="Core"),0,AH57*N(Options!J57)*Settings!$B$21)</f>
        <v>676</v>
      </c>
      <c r="AJ57" s="14" t="n">
        <f aca="false">AH57*N(Options!K57)</f>
        <v>642.2</v>
      </c>
      <c r="AK57" s="27" t="n">
        <f aca="false">AZ57*(1-AY57)</f>
        <v>0</v>
      </c>
      <c r="AL57" s="27" t="n">
        <f aca="false">AI57+AK57</f>
        <v>676</v>
      </c>
      <c r="AM57" s="9" t="str">
        <f aca="false">IF(A57="","",IF(Options!W57&lt;&gt;"",Options!W57,AE57))</f>
        <v>Hold</v>
      </c>
      <c r="AN57" s="28" t="n">
        <f aca="false">IF(A57="","",COUNTIF($AR$6:$AR$85,"&gt;"&amp;AR57)+1)</f>
        <v>46</v>
      </c>
      <c r="AO57" s="9" t="str">
        <f aca="false">IF(A57="","",Options!D57)</f>
        <v>Chinos</v>
      </c>
      <c r="AP57" s="9" t="str">
        <f aca="false">IF(A57="","",Options!F57)</f>
        <v>Own brand</v>
      </c>
      <c r="AQ57" s="9" t="n">
        <f aca="false">IF(AND(A57&lt;&gt;"",AW57&lt;&gt;"Y",M57&gt;0,COUNTIF($M$6:$M$85,"&gt;"&amp;M57)&lt;Settings!$B$22),1,0)</f>
        <v>1</v>
      </c>
      <c r="AR57" s="28" t="n">
        <f aca="false">IF(A57="",-1,AL57+ROW()/1000000000)</f>
        <v>676.000000057</v>
      </c>
      <c r="AS57" s="28" t="n">
        <f aca="false">IF(A57="",-1,AK57+ROW()/1000000000)</f>
        <v>5.7E-008</v>
      </c>
      <c r="AT57" s="28" t="n">
        <f aca="false">IF(A57="",-1,AI57+ROW()/1000000000)</f>
        <v>676.000000057</v>
      </c>
      <c r="AU57" s="25" t="n">
        <f aca="false">SUMIFS('SKU Data'!$W$6:$W$505,'SKU Data'!$B$6:$B$505,$A57)</f>
        <v>23.75</v>
      </c>
      <c r="AV57" s="28" t="n">
        <f aca="false">IF(A57="","",COUNTIFS($C$6:$C$85,C57,$M$6:$M$85,"&gt;"&amp;M57)+1)</f>
        <v>3</v>
      </c>
      <c r="AW57" s="9" t="str">
        <f aca="false">IF(A57="","",IF(AND(Options!T57&lt;&gt;"",N(Options!U57)&gt;0),"Y",""))</f>
        <v/>
      </c>
      <c r="AX57" s="9" t="n">
        <f aca="false">IF(A57="",0,COUNTIFS(Options!$R$6:$R$85,$A57,$V$6:$V$85,"&gt;0"))</f>
        <v>0</v>
      </c>
      <c r="AY57" s="13" t="n">
        <f aca="false">IF(Options!S57&lt;&gt;"",Options!S57,Settings!$B$23)</f>
        <v>0.3</v>
      </c>
      <c r="AZ57" s="14" t="n">
        <f aca="false">SUMIFS('SKU Data'!$U$6:$U$505,'SKU Data'!$B$6:$B$505,$A57)</f>
        <v>0</v>
      </c>
    </row>
    <row r="58" customFormat="false" ht="15" hidden="false" customHeight="false" outlineLevel="0" collapsed="false">
      <c r="A58" s="9" t="str">
        <f aca="false">IF(Options!A58="","",Options!A58)</f>
        <v>OPT053</v>
      </c>
      <c r="B58" s="9" t="str">
        <f aca="false">IF(A58="","",Options!B58&amp;" "&amp;Options!C58)</f>
        <v>Cord trouser Burgundy</v>
      </c>
      <c r="C58" s="9" t="str">
        <f aca="false">IF(A58="","",Options!E58)</f>
        <v>Trousers</v>
      </c>
      <c r="D58" s="9" t="str">
        <f aca="false">IF(A58="","",Options!H58)</f>
        <v>Seasonal</v>
      </c>
      <c r="E58" s="12" t="n">
        <f aca="false">SUMIFS('SKU Data'!$E$6:$E$505,'SKU Data'!$B$6:$B$505,$A58)</f>
        <v>727</v>
      </c>
      <c r="F58" s="12" t="n">
        <f aca="false">SUMIFS('SKU Data'!$F$6:$F$505,'SKU Data'!$B$6:$B$505,$A58)</f>
        <v>0</v>
      </c>
      <c r="G58" s="12" t="n">
        <f aca="false">SUMIFS('SKU Data'!$G$6:$G$505,'SKU Data'!$B$6:$B$505,$A58)</f>
        <v>198</v>
      </c>
      <c r="H58" s="12" t="n">
        <f aca="false">N(Options!M58)</f>
        <v>120</v>
      </c>
      <c r="I58" s="12" t="n">
        <f aca="false">SUMIFS('SKU Data'!$H$6:$H$505,'SKU Data'!$B$6:$B$505,$A58)</f>
        <v>11</v>
      </c>
      <c r="J58" s="12" t="n">
        <f aca="false">SUMIFS('SKU Data'!$I$6:$I$505,'SKU Data'!$B$6:$B$505,$A58)</f>
        <v>15</v>
      </c>
      <c r="K58" s="12" t="n">
        <f aca="false">SUMIFS('SKU Data'!$J$6:$J$505,'SKU Data'!$B$6:$B$505,$A58)</f>
        <v>11</v>
      </c>
      <c r="L58" s="12" t="n">
        <f aca="false">SUMIFS('SKU Data'!$K$6:$K$505,'SKU Data'!$B$6:$B$505,$A58)</f>
        <v>4</v>
      </c>
      <c r="M58" s="25" t="n">
        <f aca="false">L58*Settings!$B$10+K58*Settings!$B$11+J58*Settings!$B$12+I58*Settings!$B$13</f>
        <v>9</v>
      </c>
      <c r="N58" s="25" t="n">
        <f aca="false">M58*Settings!$B$15</f>
        <v>8.1</v>
      </c>
      <c r="O58" s="12" t="n">
        <f aca="false">SUMIFS('SKU Data'!$L$6:$L$505,'SKU Data'!$B$6:$B$505,$A58)</f>
        <v>529</v>
      </c>
      <c r="P58" s="12" t="n">
        <f aca="false">SUMIFS('SKU Data'!$M$6:$M$505,'SKU Data'!$B$6:$B$505,$A58)</f>
        <v>465</v>
      </c>
      <c r="Q58" s="21" t="n">
        <f aca="false">IFERROR(O58/(E58-F58),0)</f>
        <v>0.727647867950481</v>
      </c>
      <c r="R58" s="21" t="n">
        <f aca="false">IFERROR(P58/(E58-F58),0)</f>
        <v>0.639614855570839</v>
      </c>
      <c r="S58" s="26" t="n">
        <f aca="false">IF(N58&lt;=0,IF(G58&gt;0,999,0),G58/N58)</f>
        <v>24.4444444444444</v>
      </c>
      <c r="T58" s="25" t="n">
        <f aca="false">IF(N(Options!L58)&gt;0,Options!L58,Settings!$B$20)</f>
        <v>8</v>
      </c>
      <c r="U58" s="9" t="n">
        <f aca="false">COUNTIFS('SKU Data'!$B$6:$B$505,$A58,'SKU Data'!$D$6:$D$505,"Y")</f>
        <v>3</v>
      </c>
      <c r="V58" s="9" t="n">
        <f aca="false">COUNTIFS('SKU Data'!$B$6:$B$505,$A58,'SKU Data'!$D$6:$D$505,"Y",'SKU Data'!$G$6:$G$505,"&lt;=0")</f>
        <v>3</v>
      </c>
      <c r="W58" s="28" t="str">
        <f aca="false">IF(A58="","",IF(AND(V58&gt;0,G58&gt;0),"Y",""))</f>
        <v>Y</v>
      </c>
      <c r="X58" s="9" t="str">
        <f aca="false">IF(A58="","",IF(AND(G58&gt;0,OR(Options!P58="N",Options!Q58="N")),"Y",""))</f>
        <v/>
      </c>
      <c r="Y58" s="9" t="n">
        <f aca="false">IF(AND(A58&lt;&gt;"",U58&gt;0,V58=0,G58&gt;0,Options!P58&lt;&gt;"N",Options!Q58&lt;&gt;"N"),1,0)</f>
        <v>0</v>
      </c>
      <c r="Z58" s="29" t="n">
        <f aca="false">IFERROR((K58+L58)/(I58+J58)-1,0)</f>
        <v>-0.423076923076923</v>
      </c>
      <c r="AA58" s="9" t="str">
        <f aca="false">IF(A58="","",IF(Q58&gt;=Settings!$B$17,"High","Low"))</f>
        <v>High</v>
      </c>
      <c r="AB58" s="9" t="str">
        <f aca="false">IF(A58="","",IF(S58&lt;IF(D58="End of life",Settings!$B$9,IF(D58="Core",T58,MIN(T58,Settings!$B$9))),"Low",IF(S58&gt;IF(D58="Core",Settings!$B$19,Settings!$B$9+Settings!$B$18),"High","Balanced")))</f>
        <v>High</v>
      </c>
      <c r="AC58" s="28" t="str">
        <f aca="false">IF(A58="","",IF(AW58="Y","Held for a campaign",IF(AA58="High",IF(AB58="Low","Selling and short",IF(AB58="High","Selling, heavy","Selling, covered")),IF(AB58="Low","Slow and short",IF(AB58="High","Slow and heavy","Slow, covered")))))</f>
        <v>Selling, heavy</v>
      </c>
      <c r="AD58" s="9" t="str">
        <f aca="false">IF(A58="","",TRIM(IF(W58="Y","Broken curve. ","")&amp;IF(X58="Y","Hidden from customers. ","")&amp;IF(Options!O58="Y","Promoted. ","")&amp;IF(Options!I58="Y","Range job. ","")&amp;IF(D58="End of life","End of life. ","")&amp;IF(H58&gt;0,"Order due in "&amp;Options!N58&amp;" weeks. ","")&amp;IF(AW58="Y","Held for "&amp;Options!T58&amp;", starts in "&amp;Options!U58&amp;" weeks. ","")&amp;IF(AX58&gt;0,"Covering for "&amp;AX58&amp;" sold-out line(s). ","")))</f>
        <v>Broken curve. Order due in 3 weeks.</v>
      </c>
      <c r="AE58" s="9" t="str">
        <f aca="false">IF(A58="","",IF(AW58="Y",IF(AND(N(Options!V58)&gt;0,G58+H58&gt;N(Options!V58)*1.1),Settings!$A$48,Settings!$A$47),IF(X58="Y",Settings!$A$27,IF(AND(W58="Y",D58&lt;&gt;"End of life",AA58="High"),IF(H58&gt;0,Settings!$A$28,Settings!$A$29),IF(AND(W58="Y",D58="End of life"),Settings!$A$30,IF(AC58="Selling and short",IF(D58="End of life",Settings!$A$31,IF(Options!O58="Y",Settings!$A$32,IF(AX58&gt;0,Settings!$A$33,IF(H58&gt;0,IF(N(Options!N58)&lt;=S58,Settings!$A$34,Settings!$A$35),IF(AND(D58&lt;&gt;"Core",T58&gt;=Settings!$B$9),Settings!$A$36,Settings!$A$37))))),IF(AC58="Selling, heavy",IF(D58="Core",Settings!$A$38,Settings!$A$39),IF(AC58="Selling, covered",Settings!$A$40,IF(AC58="Slow and heavy",IF(Options!I58="Y",Settings!$A$41,IF(D58="End of life",Settings!$A$42,Settings!$A$43)),IF(AC58="Slow and short",IF(W58="Y",Settings!$A$44,Settings!$A$45),Settings!$A$46))))))))))</f>
        <v>Chase the purchase order for core sizes</v>
      </c>
      <c r="AF58" s="9" t="str">
        <f aca="false">IF(A58="","",IFERROR(VLOOKUP(AM58,Settings!$A$27:$B$48,2,0),"Assign an owner"))</f>
        <v>Merchandiser</v>
      </c>
      <c r="AG58" s="14" t="n">
        <f aca="false">SUMIFS('SKU Data'!$V$6:$V$505,'SKU Data'!$B$6:$B$505,$A58)</f>
        <v>4890.6</v>
      </c>
      <c r="AH58" s="12" t="n">
        <f aca="false">IF(A58="",0,IF(AW58="Y",IF(N(Options!V58)&gt;0,MAX(0,G58+H58-N(Options!V58)),0),MAX(0,G58+H58-N58*IF(D58="Core",Settings!$B$19,Settings!$B$9))))</f>
        <v>285.6</v>
      </c>
      <c r="AI58" s="14" t="n">
        <f aca="false">IF(OR(A58="",D58="Core"),0,AH58*N(Options!J58)*Settings!$B$21)</f>
        <v>7425.6</v>
      </c>
      <c r="AJ58" s="14" t="n">
        <f aca="false">AH58*N(Options!K58)</f>
        <v>7054.32</v>
      </c>
      <c r="AK58" s="27" t="n">
        <f aca="false">AZ58*(1-AY58)</f>
        <v>576.333333333333</v>
      </c>
      <c r="AL58" s="27" t="n">
        <f aca="false">AI58+AK58</f>
        <v>8001.93333333333</v>
      </c>
      <c r="AM58" s="9" t="str">
        <f aca="false">IF(A58="","",IF(Options!W58&lt;&gt;"",Options!W58,AE58))</f>
        <v>Chase the purchase order for core sizes</v>
      </c>
      <c r="AN58" s="28" t="n">
        <f aca="false">IF(A58="","",COUNTIF($AR$6:$AR$85,"&gt;"&amp;AR58)+1)</f>
        <v>15</v>
      </c>
      <c r="AO58" s="9" t="str">
        <f aca="false">IF(A58="","",Options!D58)</f>
        <v>Cords</v>
      </c>
      <c r="AP58" s="9" t="str">
        <f aca="false">IF(A58="","",Options!F58)</f>
        <v>Own brand</v>
      </c>
      <c r="AQ58" s="9" t="n">
        <f aca="false">IF(AND(A58&lt;&gt;"",AW58&lt;&gt;"Y",M58&gt;0,COUNTIF($M$6:$M$85,"&gt;"&amp;M58)&lt;Settings!$B$22),1,0)</f>
        <v>0</v>
      </c>
      <c r="AR58" s="28" t="n">
        <f aca="false">IF(A58="",-1,AL58+ROW()/1000000000)</f>
        <v>8001.93333339133</v>
      </c>
      <c r="AS58" s="28" t="n">
        <f aca="false">IF(A58="",-1,AK58+ROW()/1000000000)</f>
        <v>576.333333391333</v>
      </c>
      <c r="AT58" s="28" t="n">
        <f aca="false">IF(A58="",-1,AI58+ROW()/1000000000)</f>
        <v>7425.600000058</v>
      </c>
      <c r="AU58" s="25" t="n">
        <f aca="false">SUMIFS('SKU Data'!$W$6:$W$505,'SKU Data'!$B$6:$B$505,$A58)</f>
        <v>13.4166666666667</v>
      </c>
      <c r="AV58" s="28" t="n">
        <f aca="false">IF(A58="","",COUNTIFS($C$6:$C$85,C58,$M$6:$M$85,"&gt;"&amp;M58)+1)</f>
        <v>12</v>
      </c>
      <c r="AW58" s="9" t="str">
        <f aca="false">IF(A58="","",IF(AND(Options!T58&lt;&gt;"",N(Options!U58)&gt;0),"Y",""))</f>
        <v/>
      </c>
      <c r="AX58" s="9" t="n">
        <f aca="false">IF(A58="",0,COUNTIFS(Options!$R$6:$R$85,$A58,$V$6:$V$85,"&gt;0"))</f>
        <v>0</v>
      </c>
      <c r="AY58" s="13" t="n">
        <f aca="false">IF(Options!S58&lt;&gt;"",Options!S58,Settings!$B$23)</f>
        <v>0.3</v>
      </c>
      <c r="AZ58" s="14" t="n">
        <f aca="false">SUMIFS('SKU Data'!$U$6:$U$505,'SKU Data'!$B$6:$B$505,$A58)</f>
        <v>823.333333333333</v>
      </c>
    </row>
    <row r="59" customFormat="false" ht="15" hidden="false" customHeight="false" outlineLevel="0" collapsed="false">
      <c r="A59" s="9" t="str">
        <f aca="false">IF(Options!A59="","",Options!A59)</f>
        <v>OPT054</v>
      </c>
      <c r="B59" s="9" t="str">
        <f aca="false">IF(A59="","",Options!B59&amp;" "&amp;Options!C59)</f>
        <v>Slim chino Rust</v>
      </c>
      <c r="C59" s="9" t="str">
        <f aca="false">IF(A59="","",Options!E59)</f>
        <v>Trousers</v>
      </c>
      <c r="D59" s="9" t="str">
        <f aca="false">IF(A59="","",Options!H59)</f>
        <v>Seasonal</v>
      </c>
      <c r="E59" s="12" t="n">
        <f aca="false">SUMIFS('SKU Data'!$E$6:$E$505,'SKU Data'!$B$6:$B$505,$A59)</f>
        <v>639</v>
      </c>
      <c r="F59" s="12" t="n">
        <f aca="false">SUMIFS('SKU Data'!$F$6:$F$505,'SKU Data'!$B$6:$B$505,$A59)</f>
        <v>0</v>
      </c>
      <c r="G59" s="12" t="n">
        <f aca="false">SUMIFS('SKU Data'!$G$6:$G$505,'SKU Data'!$B$6:$B$505,$A59)</f>
        <v>181</v>
      </c>
      <c r="H59" s="12" t="n">
        <f aca="false">N(Options!M59)</f>
        <v>120</v>
      </c>
      <c r="I59" s="12" t="n">
        <f aca="false">SUMIFS('SKU Data'!$H$6:$H$505,'SKU Data'!$B$6:$B$505,$A59)</f>
        <v>7</v>
      </c>
      <c r="J59" s="12" t="n">
        <f aca="false">SUMIFS('SKU Data'!$I$6:$I$505,'SKU Data'!$B$6:$B$505,$A59)</f>
        <v>5</v>
      </c>
      <c r="K59" s="12" t="n">
        <f aca="false">SUMIFS('SKU Data'!$J$6:$J$505,'SKU Data'!$B$6:$B$505,$A59)</f>
        <v>5</v>
      </c>
      <c r="L59" s="12" t="n">
        <f aca="false">SUMIFS('SKU Data'!$K$6:$K$505,'SKU Data'!$B$6:$B$505,$A59)</f>
        <v>5</v>
      </c>
      <c r="M59" s="25" t="n">
        <f aca="false">L59*Settings!$B$10+K59*Settings!$B$11+J59*Settings!$B$12+I59*Settings!$B$13</f>
        <v>5.2</v>
      </c>
      <c r="N59" s="25" t="n">
        <f aca="false">M59*Settings!$B$15</f>
        <v>4.68</v>
      </c>
      <c r="O59" s="12" t="n">
        <f aca="false">SUMIFS('SKU Data'!$L$6:$L$505,'SKU Data'!$B$6:$B$505,$A59)</f>
        <v>458</v>
      </c>
      <c r="P59" s="12" t="n">
        <f aca="false">SUMIFS('SKU Data'!$M$6:$M$505,'SKU Data'!$B$6:$B$505,$A59)</f>
        <v>403</v>
      </c>
      <c r="Q59" s="21" t="n">
        <f aca="false">IFERROR(O59/(E59-F59),0)</f>
        <v>0.716744913928013</v>
      </c>
      <c r="R59" s="21" t="n">
        <f aca="false">IFERROR(P59/(E59-F59),0)</f>
        <v>0.630672926447574</v>
      </c>
      <c r="S59" s="26" t="n">
        <f aca="false">IF(N59&lt;=0,IF(G59&gt;0,999,0),G59/N59)</f>
        <v>38.6752136752137</v>
      </c>
      <c r="T59" s="25" t="n">
        <f aca="false">IF(N(Options!L59)&gt;0,Options!L59,Settings!$B$20)</f>
        <v>10</v>
      </c>
      <c r="U59" s="9" t="n">
        <f aca="false">COUNTIFS('SKU Data'!$B$6:$B$505,$A59,'SKU Data'!$D$6:$D$505,"Y")</f>
        <v>3</v>
      </c>
      <c r="V59" s="9" t="n">
        <f aca="false">COUNTIFS('SKU Data'!$B$6:$B$505,$A59,'SKU Data'!$D$6:$D$505,"Y",'SKU Data'!$G$6:$G$505,"&lt;=0")</f>
        <v>3</v>
      </c>
      <c r="W59" s="28" t="str">
        <f aca="false">IF(A59="","",IF(AND(V59&gt;0,G59&gt;0),"Y",""))</f>
        <v>Y</v>
      </c>
      <c r="X59" s="9" t="str">
        <f aca="false">IF(A59="","",IF(AND(G59&gt;0,OR(Options!P59="N",Options!Q59="N")),"Y",""))</f>
        <v/>
      </c>
      <c r="Y59" s="9" t="n">
        <f aca="false">IF(AND(A59&lt;&gt;"",U59&gt;0,V59=0,G59&gt;0,Options!P59&lt;&gt;"N",Options!Q59&lt;&gt;"N"),1,0)</f>
        <v>0</v>
      </c>
      <c r="Z59" s="29" t="n">
        <f aca="false">IFERROR((K59+L59)/(I59+J59)-1,0)</f>
        <v>-0.166666666666667</v>
      </c>
      <c r="AA59" s="9" t="str">
        <f aca="false">IF(A59="","",IF(Q59&gt;=Settings!$B$17,"High","Low"))</f>
        <v>Low</v>
      </c>
      <c r="AB59" s="9" t="str">
        <f aca="false">IF(A59="","",IF(S59&lt;IF(D59="End of life",Settings!$B$9,IF(D59="Core",T59,MIN(T59,Settings!$B$9))),"Low",IF(S59&gt;IF(D59="Core",Settings!$B$19,Settings!$B$9+Settings!$B$18),"High","Balanced")))</f>
        <v>High</v>
      </c>
      <c r="AC59" s="28" t="str">
        <f aca="false">IF(A59="","",IF(AW59="Y","Held for a campaign",IF(AA59="High",IF(AB59="Low","Selling and short",IF(AB59="High","Selling, heavy","Selling, covered")),IF(AB59="Low","Slow and short",IF(AB59="High","Slow and heavy","Slow, covered")))))</f>
        <v>Slow and heavy</v>
      </c>
      <c r="AD59" s="9" t="str">
        <f aca="false">IF(A59="","",TRIM(IF(W59="Y","Broken curve. ","")&amp;IF(X59="Y","Hidden from customers. ","")&amp;IF(Options!O59="Y","Promoted. ","")&amp;IF(Options!I59="Y","Range job. ","")&amp;IF(D59="End of life","End of life. ","")&amp;IF(H59&gt;0,"Order due in "&amp;Options!N59&amp;" weeks. ","")&amp;IF(AW59="Y","Held for "&amp;Options!T59&amp;", starts in "&amp;Options!U59&amp;" weeks. ","")&amp;IF(AX59&gt;0,"Covering for "&amp;AX59&amp;" sold-out line(s). ","")))</f>
        <v>Broken curve. Order due in 3 weeks.</v>
      </c>
      <c r="AE59" s="9" t="str">
        <f aca="false">IF(A59="","",IF(AW59="Y",IF(AND(N(Options!V59)&gt;0,G59+H59&gt;N(Options!V59)*1.1),Settings!$A$48,Settings!$A$47),IF(X59="Y",Settings!$A$27,IF(AND(W59="Y",D59&lt;&gt;"End of life",AA59="High"),IF(H59&gt;0,Settings!$A$28,Settings!$A$29),IF(AND(W59="Y",D59="End of life"),Settings!$A$30,IF(AC59="Selling and short",IF(D59="End of life",Settings!$A$31,IF(Options!O59="Y",Settings!$A$32,IF(AX59&gt;0,Settings!$A$33,IF(H59&gt;0,IF(N(Options!N59)&lt;=S59,Settings!$A$34,Settings!$A$35),IF(AND(D59&lt;&gt;"Core",T59&gt;=Settings!$B$9),Settings!$A$36,Settings!$A$37))))),IF(AC59="Selling, heavy",IF(D59="Core",Settings!$A$38,Settings!$A$39),IF(AC59="Selling, covered",Settings!$A$40,IF(AC59="Slow and heavy",IF(Options!I59="Y",Settings!$A$41,IF(D59="End of life",Settings!$A$42,Settings!$A$43)),IF(AC59="Slow and short",IF(W59="Y",Settings!$A$44,Settings!$A$45),Settings!$A$46))))))))))</f>
        <v>Mark down or re-merchandise</v>
      </c>
      <c r="AF59" s="9" t="str">
        <f aca="false">IF(A59="","",IFERROR(VLOOKUP(AM59,Settings!$A$27:$B$48,2,0),"Assign an owner"))</f>
        <v>Trading Manager</v>
      </c>
      <c r="AG59" s="14" t="n">
        <f aca="false">SUMIFS('SKU Data'!$V$6:$V$505,'SKU Data'!$B$6:$B$505,$A59)</f>
        <v>4470.7</v>
      </c>
      <c r="AH59" s="12" t="n">
        <f aca="false">IF(A59="",0,IF(AW59="Y",IF(N(Options!V59)&gt;0,MAX(0,G59+H59-N(Options!V59)),0),MAX(0,G59+H59-N59*IF(D59="Core",Settings!$B$19,Settings!$B$9))))</f>
        <v>282.28</v>
      </c>
      <c r="AI59" s="14" t="n">
        <f aca="false">IF(OR(A59="",D59="Core"),0,AH59*N(Options!J59)*Settings!$B$21)</f>
        <v>7339.28</v>
      </c>
      <c r="AJ59" s="14" t="n">
        <f aca="false">AH59*N(Options!K59)</f>
        <v>6972.316</v>
      </c>
      <c r="AK59" s="27" t="n">
        <f aca="false">AZ59*(1-AY59)</f>
        <v>1331.90909090909</v>
      </c>
      <c r="AL59" s="27" t="n">
        <f aca="false">AI59+AK59</f>
        <v>8671.18909090909</v>
      </c>
      <c r="AM59" s="9" t="str">
        <f aca="false">IF(A59="","",IF(Options!W59&lt;&gt;"",Options!W59,AE59))</f>
        <v>Mark down or re-merchandise</v>
      </c>
      <c r="AN59" s="28" t="n">
        <f aca="false">IF(A59="","",COUNTIF($AR$6:$AR$85,"&gt;"&amp;AR59)+1)</f>
        <v>13</v>
      </c>
      <c r="AO59" s="9" t="str">
        <f aca="false">IF(A59="","",Options!D59)</f>
        <v>Chinos</v>
      </c>
      <c r="AP59" s="9" t="str">
        <f aca="false">IF(A59="","",Options!F59)</f>
        <v>Own brand</v>
      </c>
      <c r="AQ59" s="9" t="n">
        <f aca="false">IF(AND(A59&lt;&gt;"",AW59&lt;&gt;"Y",M59&gt;0,COUNTIF($M$6:$M$85,"&gt;"&amp;M59)&lt;Settings!$B$22),1,0)</f>
        <v>0</v>
      </c>
      <c r="AR59" s="28" t="n">
        <f aca="false">IF(A59="",-1,AL59+ROW()/1000000000)</f>
        <v>8671.18909096809</v>
      </c>
      <c r="AS59" s="28" t="n">
        <f aca="false">IF(A59="",-1,AK59+ROW()/1000000000)</f>
        <v>1331.90909096809</v>
      </c>
      <c r="AT59" s="28" t="n">
        <f aca="false">IF(A59="",-1,AI59+ROW()/1000000000)</f>
        <v>7339.280000059</v>
      </c>
      <c r="AU59" s="25" t="n">
        <f aca="false">SUMIFS('SKU Data'!$W$6:$W$505,'SKU Data'!$B$6:$B$505,$A59)</f>
        <v>12.8181818181818</v>
      </c>
      <c r="AV59" s="28" t="n">
        <f aca="false">IF(A59="","",COUNTIFS($C$6:$C$85,C59,$M$6:$M$85,"&gt;"&amp;M59)+1)</f>
        <v>13</v>
      </c>
      <c r="AW59" s="9" t="str">
        <f aca="false">IF(A59="","",IF(AND(Options!T59&lt;&gt;"",N(Options!U59)&gt;0),"Y",""))</f>
        <v/>
      </c>
      <c r="AX59" s="9" t="n">
        <f aca="false">IF(A59="",0,COUNTIFS(Options!$R$6:$R$85,$A59,$V$6:$V$85,"&gt;0"))</f>
        <v>0</v>
      </c>
      <c r="AY59" s="13" t="n">
        <f aca="false">IF(Options!S59&lt;&gt;"",Options!S59,Settings!$B$23)</f>
        <v>0.3</v>
      </c>
      <c r="AZ59" s="14" t="n">
        <f aca="false">SUMIFS('SKU Data'!$U$6:$U$505,'SKU Data'!$B$6:$B$505,$A59)</f>
        <v>1902.72727272727</v>
      </c>
    </row>
    <row r="60" customFormat="false" ht="15" hidden="false" customHeight="false" outlineLevel="0" collapsed="false">
      <c r="A60" s="9" t="str">
        <f aca="false">IF(Options!A60="","",Options!A60)</f>
        <v>OPT055</v>
      </c>
      <c r="B60" s="9" t="str">
        <f aca="false">IF(A60="","",Options!B60&amp;" "&amp;Options!C60)</f>
        <v>Cord trouser Cream</v>
      </c>
      <c r="C60" s="9" t="str">
        <f aca="false">IF(A60="","",Options!E60)</f>
        <v>Trousers</v>
      </c>
      <c r="D60" s="9" t="str">
        <f aca="false">IF(A60="","",Options!H60)</f>
        <v>Seasonal</v>
      </c>
      <c r="E60" s="12" t="n">
        <f aca="false">SUMIFS('SKU Data'!$E$6:$E$505,'SKU Data'!$B$6:$B$505,$A60)</f>
        <v>705</v>
      </c>
      <c r="F60" s="12" t="n">
        <f aca="false">SUMIFS('SKU Data'!$F$6:$F$505,'SKU Data'!$B$6:$B$505,$A60)</f>
        <v>0</v>
      </c>
      <c r="G60" s="12" t="n">
        <f aca="false">SUMIFS('SKU Data'!$G$6:$G$505,'SKU Data'!$B$6:$B$505,$A60)</f>
        <v>177</v>
      </c>
      <c r="H60" s="12" t="n">
        <f aca="false">N(Options!M60)</f>
        <v>0</v>
      </c>
      <c r="I60" s="12" t="n">
        <f aca="false">SUMIFS('SKU Data'!$H$6:$H$505,'SKU Data'!$B$6:$B$505,$A60)</f>
        <v>20</v>
      </c>
      <c r="J60" s="12" t="n">
        <f aca="false">SUMIFS('SKU Data'!$I$6:$I$505,'SKU Data'!$B$6:$B$505,$A60)</f>
        <v>23</v>
      </c>
      <c r="K60" s="12" t="n">
        <f aca="false">SUMIFS('SKU Data'!$J$6:$J$505,'SKU Data'!$B$6:$B$505,$A60)</f>
        <v>29</v>
      </c>
      <c r="L60" s="12" t="n">
        <f aca="false">SUMIFS('SKU Data'!$K$6:$K$505,'SKU Data'!$B$6:$B$505,$A60)</f>
        <v>26</v>
      </c>
      <c r="M60" s="25" t="n">
        <f aca="false">L60*Settings!$B$10+K60*Settings!$B$11+J60*Settings!$B$12+I60*Settings!$B$13</f>
        <v>25.7</v>
      </c>
      <c r="N60" s="25" t="n">
        <f aca="false">M60*Settings!$B$15</f>
        <v>23.13</v>
      </c>
      <c r="O60" s="12" t="n">
        <f aca="false">SUMIFS('SKU Data'!$L$6:$L$505,'SKU Data'!$B$6:$B$505,$A60)</f>
        <v>528</v>
      </c>
      <c r="P60" s="12" t="n">
        <f aca="false">SUMIFS('SKU Data'!$M$6:$M$505,'SKU Data'!$B$6:$B$505,$A60)</f>
        <v>464</v>
      </c>
      <c r="Q60" s="21" t="n">
        <f aca="false">IFERROR(O60/(E60-F60),0)</f>
        <v>0.748936170212766</v>
      </c>
      <c r="R60" s="21" t="n">
        <f aca="false">IFERROR(P60/(E60-F60),0)</f>
        <v>0.658156028368794</v>
      </c>
      <c r="S60" s="26" t="n">
        <f aca="false">IF(N60&lt;=0,IF(G60&gt;0,999,0),G60/N60)</f>
        <v>7.65239948119326</v>
      </c>
      <c r="T60" s="25" t="n">
        <f aca="false">IF(N(Options!L60)&gt;0,Options!L60,Settings!$B$20)</f>
        <v>8</v>
      </c>
      <c r="U60" s="9" t="n">
        <f aca="false">COUNTIFS('SKU Data'!$B$6:$B$505,$A60,'SKU Data'!$D$6:$D$505,"Y")</f>
        <v>3</v>
      </c>
      <c r="V60" s="9" t="n">
        <f aca="false">COUNTIFS('SKU Data'!$B$6:$B$505,$A60,'SKU Data'!$D$6:$D$505,"Y",'SKU Data'!$G$6:$G$505,"&lt;=0")</f>
        <v>0</v>
      </c>
      <c r="W60" s="28" t="str">
        <f aca="false">IF(A60="","",IF(AND(V60&gt;0,G60&gt;0),"Y",""))</f>
        <v/>
      </c>
      <c r="X60" s="9" t="str">
        <f aca="false">IF(A60="","",IF(AND(G60&gt;0,OR(Options!P60="N",Options!Q60="N")),"Y",""))</f>
        <v/>
      </c>
      <c r="Y60" s="9" t="n">
        <f aca="false">IF(AND(A60&lt;&gt;"",U60&gt;0,V60=0,G60&gt;0,Options!P60&lt;&gt;"N",Options!Q60&lt;&gt;"N"),1,0)</f>
        <v>1</v>
      </c>
      <c r="Z60" s="29" t="n">
        <f aca="false">IFERROR((K60+L60)/(I60+J60)-1,0)</f>
        <v>0.279069767441861</v>
      </c>
      <c r="AA60" s="9" t="str">
        <f aca="false">IF(A60="","",IF(Q60&gt;=Settings!$B$17,"High","Low"))</f>
        <v>High</v>
      </c>
      <c r="AB60" s="9" t="str">
        <f aca="false">IF(A60="","",IF(S60&lt;IF(D60="End of life",Settings!$B$9,IF(D60="Core",T60,MIN(T60,Settings!$B$9))),"Low",IF(S60&gt;IF(D60="Core",Settings!$B$19,Settings!$B$9+Settings!$B$18),"High","Balanced")))</f>
        <v>Balanced</v>
      </c>
      <c r="AC60" s="28" t="str">
        <f aca="false">IF(A60="","",IF(AW60="Y","Held for a campaign",IF(AA60="High",IF(AB60="Low","Selling and short",IF(AB60="High","Selling, heavy","Selling, covered")),IF(AB60="Low","Slow and short",IF(AB60="High","Slow and heavy","Slow, covered")))))</f>
        <v>Selling, covered</v>
      </c>
      <c r="AD60" s="9" t="str">
        <f aca="false">IF(A60="","",TRIM(IF(W60="Y","Broken curve. ","")&amp;IF(X60="Y","Hidden from customers. ","")&amp;IF(Options!O60="Y","Promoted. ","")&amp;IF(Options!I60="Y","Range job. ","")&amp;IF(D60="End of life","End of life. ","")&amp;IF(H60&gt;0,"Order due in "&amp;Options!N60&amp;" weeks. ","")&amp;IF(AW60="Y","Held for "&amp;Options!T60&amp;", starts in "&amp;Options!U60&amp;" weeks. ","")&amp;IF(AX60&gt;0,"Covering for "&amp;AX60&amp;" sold-out line(s). ","")))</f>
        <v/>
      </c>
      <c r="AE60" s="9" t="str">
        <f aca="false">IF(A60="","",IF(AW60="Y",IF(AND(N(Options!V60)&gt;0,G60+H60&gt;N(Options!V60)*1.1),Settings!$A$48,Settings!$A$47),IF(X60="Y",Settings!$A$27,IF(AND(W60="Y",D60&lt;&gt;"End of life",AA60="High"),IF(H60&gt;0,Settings!$A$28,Settings!$A$29),IF(AND(W60="Y",D60="End of life"),Settings!$A$30,IF(AC60="Selling and short",IF(D60="End of life",Settings!$A$31,IF(Options!O60="Y",Settings!$A$32,IF(AX60&gt;0,Settings!$A$33,IF(H60&gt;0,IF(N(Options!N60)&lt;=S60,Settings!$A$34,Settings!$A$35),IF(AND(D60&lt;&gt;"Core",T60&gt;=Settings!$B$9),Settings!$A$36,Settings!$A$37))))),IF(AC60="Selling, heavy",IF(D60="Core",Settings!$A$38,Settings!$A$39),IF(AC60="Selling, covered",Settings!$A$40,IF(AC60="Slow and heavy",IF(Options!I60="Y",Settings!$A$41,IF(D60="End of life",Settings!$A$42,Settings!$A$43)),IF(AC60="Slow and short",IF(W60="Y",Settings!$A$44,Settings!$A$45),Settings!$A$46))))))))))</f>
        <v>Hold</v>
      </c>
      <c r="AF60" s="9" t="str">
        <f aca="false">IF(A60="","",IFERROR(VLOOKUP(AM60,Settings!$A$27:$B$48,2,0),"Assign an owner"))</f>
        <v>Merchandiser</v>
      </c>
      <c r="AG60" s="14" t="n">
        <f aca="false">SUMIFS('SKU Data'!$V$6:$V$505,'SKU Data'!$B$6:$B$505,$A60)</f>
        <v>4708.2</v>
      </c>
      <c r="AH60" s="12" t="n">
        <f aca="false">IF(A60="",0,IF(AW60="Y",IF(N(Options!V60)&gt;0,MAX(0,G60+H60-N(Options!V60)),0),MAX(0,G60+H60-N60*IF(D60="Core",Settings!$B$19,Settings!$B$9))))</f>
        <v>84.48</v>
      </c>
      <c r="AI60" s="14" t="n">
        <f aca="false">IF(OR(A60="",D60="Core"),0,AH60*N(Options!J60)*Settings!$B$21)</f>
        <v>2365.44</v>
      </c>
      <c r="AJ60" s="14" t="n">
        <f aca="false">AH60*N(Options!K60)</f>
        <v>2247.168</v>
      </c>
      <c r="AK60" s="27" t="n">
        <f aca="false">AZ60*(1-AY60)</f>
        <v>0</v>
      </c>
      <c r="AL60" s="27" t="n">
        <f aca="false">AI60+AK60</f>
        <v>2365.44</v>
      </c>
      <c r="AM60" s="9" t="str">
        <f aca="false">IF(A60="","",IF(Options!W60&lt;&gt;"",Options!W60,AE60))</f>
        <v>Hold</v>
      </c>
      <c r="AN60" s="28" t="n">
        <f aca="false">IF(A60="","",COUNTIF($AR$6:$AR$85,"&gt;"&amp;AR60)+1)</f>
        <v>34</v>
      </c>
      <c r="AO60" s="9" t="str">
        <f aca="false">IF(A60="","",Options!D60)</f>
        <v>Cords</v>
      </c>
      <c r="AP60" s="9" t="str">
        <f aca="false">IF(A60="","",Options!F60)</f>
        <v>Partner brand</v>
      </c>
      <c r="AQ60" s="9" t="n">
        <f aca="false">IF(AND(A60&lt;&gt;"",AW60&lt;&gt;"Y",M60&gt;0,COUNTIF($M$6:$M$85,"&gt;"&amp;M60)&lt;Settings!$B$22),1,0)</f>
        <v>1</v>
      </c>
      <c r="AR60" s="28" t="n">
        <f aca="false">IF(A60="",-1,AL60+ROW()/1000000000)</f>
        <v>2365.44000006</v>
      </c>
      <c r="AS60" s="28" t="n">
        <f aca="false">IF(A60="",-1,AK60+ROW()/1000000000)</f>
        <v>6E-008</v>
      </c>
      <c r="AT60" s="28" t="n">
        <f aca="false">IF(A60="",-1,AI60+ROW()/1000000000)</f>
        <v>2365.44000006</v>
      </c>
      <c r="AU60" s="25" t="n">
        <f aca="false">SUMIFS('SKU Data'!$W$6:$W$505,'SKU Data'!$B$6:$B$505,$A60)</f>
        <v>24.5</v>
      </c>
      <c r="AV60" s="28" t="n">
        <f aca="false">IF(A60="","",COUNTIFS($C$6:$C$85,C60,$M$6:$M$85,"&gt;"&amp;M60)+1)</f>
        <v>1</v>
      </c>
      <c r="AW60" s="9" t="str">
        <f aca="false">IF(A60="","",IF(AND(Options!T60&lt;&gt;"",N(Options!U60)&gt;0),"Y",""))</f>
        <v/>
      </c>
      <c r="AX60" s="9" t="n">
        <f aca="false">IF(A60="",0,COUNTIFS(Options!$R$6:$R$85,$A60,$V$6:$V$85,"&gt;0"))</f>
        <v>0</v>
      </c>
      <c r="AY60" s="13" t="n">
        <f aca="false">IF(Options!S60&lt;&gt;"",Options!S60,Settings!$B$23)</f>
        <v>0.3</v>
      </c>
      <c r="AZ60" s="14" t="n">
        <f aca="false">SUMIFS('SKU Data'!$U$6:$U$505,'SKU Data'!$B$6:$B$505,$A60)</f>
        <v>0</v>
      </c>
    </row>
    <row r="61" customFormat="false" ht="15" hidden="false" customHeight="false" outlineLevel="0" collapsed="false">
      <c r="A61" s="9" t="str">
        <f aca="false">IF(Options!A61="","",Options!A61)</f>
        <v>OPT056</v>
      </c>
      <c r="B61" s="9" t="str">
        <f aca="false">IF(A61="","",Options!B61&amp;" "&amp;Options!C61)</f>
        <v>Regular chino Black</v>
      </c>
      <c r="C61" s="9" t="str">
        <f aca="false">IF(A61="","",Options!E61)</f>
        <v>Trousers</v>
      </c>
      <c r="D61" s="9" t="str">
        <f aca="false">IF(A61="","",Options!H61)</f>
        <v>Seasonal</v>
      </c>
      <c r="E61" s="12" t="n">
        <f aca="false">SUMIFS('SKU Data'!$E$6:$E$505,'SKU Data'!$B$6:$B$505,$A61)</f>
        <v>219</v>
      </c>
      <c r="F61" s="12" t="n">
        <f aca="false">SUMIFS('SKU Data'!$F$6:$F$505,'SKU Data'!$B$6:$B$505,$A61)</f>
        <v>0</v>
      </c>
      <c r="G61" s="12" t="n">
        <f aca="false">SUMIFS('SKU Data'!$G$6:$G$505,'SKU Data'!$B$6:$B$505,$A61)</f>
        <v>200</v>
      </c>
      <c r="H61" s="12" t="n">
        <f aca="false">N(Options!M61)</f>
        <v>0</v>
      </c>
      <c r="I61" s="12" t="n">
        <f aca="false">SUMIFS('SKU Data'!$H$6:$H$505,'SKU Data'!$B$6:$B$505,$A61)</f>
        <v>3</v>
      </c>
      <c r="J61" s="12" t="n">
        <f aca="false">SUMIFS('SKU Data'!$I$6:$I$505,'SKU Data'!$B$6:$B$505,$A61)</f>
        <v>3</v>
      </c>
      <c r="K61" s="12" t="n">
        <f aca="false">SUMIFS('SKU Data'!$J$6:$J$505,'SKU Data'!$B$6:$B$505,$A61)</f>
        <v>3</v>
      </c>
      <c r="L61" s="12" t="n">
        <f aca="false">SUMIFS('SKU Data'!$K$6:$K$505,'SKU Data'!$B$6:$B$505,$A61)</f>
        <v>4</v>
      </c>
      <c r="M61" s="25" t="n">
        <f aca="false">L61*Settings!$B$10+K61*Settings!$B$11+J61*Settings!$B$12+I61*Settings!$B$13</f>
        <v>3.4</v>
      </c>
      <c r="N61" s="25" t="n">
        <f aca="false">M61*Settings!$B$15</f>
        <v>3.06</v>
      </c>
      <c r="O61" s="12" t="n">
        <f aca="false">SUMIFS('SKU Data'!$L$6:$L$505,'SKU Data'!$B$6:$B$505,$A61)</f>
        <v>20</v>
      </c>
      <c r="P61" s="12" t="n">
        <f aca="false">SUMIFS('SKU Data'!$M$6:$M$505,'SKU Data'!$B$6:$B$505,$A61)</f>
        <v>17</v>
      </c>
      <c r="Q61" s="21" t="n">
        <f aca="false">IFERROR(O61/(E61-F61),0)</f>
        <v>0.091324200913242</v>
      </c>
      <c r="R61" s="21" t="n">
        <f aca="false">IFERROR(P61/(E61-F61),0)</f>
        <v>0.0776255707762557</v>
      </c>
      <c r="S61" s="26" t="n">
        <f aca="false">IF(N61&lt;=0,IF(G61&gt;0,999,0),G61/N61)</f>
        <v>65.359477124183</v>
      </c>
      <c r="T61" s="25" t="n">
        <f aca="false">IF(N(Options!L61)&gt;0,Options!L61,Settings!$B$20)</f>
        <v>8</v>
      </c>
      <c r="U61" s="9" t="n">
        <f aca="false">COUNTIFS('SKU Data'!$B$6:$B$505,$A61,'SKU Data'!$D$6:$D$505,"Y")</f>
        <v>3</v>
      </c>
      <c r="V61" s="9" t="n">
        <f aca="false">COUNTIFS('SKU Data'!$B$6:$B$505,$A61,'SKU Data'!$D$6:$D$505,"Y",'SKU Data'!$G$6:$G$505,"&lt;=0")</f>
        <v>0</v>
      </c>
      <c r="W61" s="28" t="str">
        <f aca="false">IF(A61="","",IF(AND(V61&gt;0,G61&gt;0),"Y",""))</f>
        <v/>
      </c>
      <c r="X61" s="9" t="str">
        <f aca="false">IF(A61="","",IF(AND(G61&gt;0,OR(Options!P61="N",Options!Q61="N")),"Y",""))</f>
        <v/>
      </c>
      <c r="Y61" s="9" t="n">
        <f aca="false">IF(AND(A61&lt;&gt;"",U61&gt;0,V61=0,G61&gt;0,Options!P61&lt;&gt;"N",Options!Q61&lt;&gt;"N"),1,0)</f>
        <v>1</v>
      </c>
      <c r="Z61" s="29" t="n">
        <f aca="false">IFERROR((K61+L61)/(I61+J61)-1,0)</f>
        <v>0.166666666666667</v>
      </c>
      <c r="AA61" s="9" t="str">
        <f aca="false">IF(A61="","",IF(Q61&gt;=Settings!$B$17,"High","Low"))</f>
        <v>Low</v>
      </c>
      <c r="AB61" s="9" t="str">
        <f aca="false">IF(A61="","",IF(S61&lt;IF(D61="End of life",Settings!$B$9,IF(D61="Core",T61,MIN(T61,Settings!$B$9))),"Low",IF(S61&gt;IF(D61="Core",Settings!$B$19,Settings!$B$9+Settings!$B$18),"High","Balanced")))</f>
        <v>High</v>
      </c>
      <c r="AC61" s="28" t="str">
        <f aca="false">IF(A61="","",IF(AW61="Y","Held for a campaign",IF(AA61="High",IF(AB61="Low","Selling and short",IF(AB61="High","Selling, heavy","Selling, covered")),IF(AB61="Low","Slow and short",IF(AB61="High","Slow and heavy","Slow, covered")))))</f>
        <v>Held for a campaign</v>
      </c>
      <c r="AD61" s="9" t="str">
        <f aca="false">IF(A61="","",TRIM(IF(W61="Y","Broken curve. ","")&amp;IF(X61="Y","Hidden from customers. ","")&amp;IF(Options!O61="Y","Promoted. ","")&amp;IF(Options!I61="Y","Range job. ","")&amp;IF(D61="End of life","End of life. ","")&amp;IF(H61&gt;0,"Order due in "&amp;Options!N61&amp;" weeks. ","")&amp;IF(AW61="Y","Held for "&amp;Options!T61&amp;", starts in "&amp;Options!U61&amp;" weeks. ","")&amp;IF(AX61&gt;0,"Covering for "&amp;AX61&amp;" sold-out line(s). ","")))</f>
        <v>Held for Members' weekend, starts in 3 weeks.</v>
      </c>
      <c r="AE61" s="9" t="str">
        <f aca="false">IF(A61="","",IF(AW61="Y",IF(AND(N(Options!V61)&gt;0,G61+H61&gt;N(Options!V61)*1.1),Settings!$A$48,Settings!$A$47),IF(X61="Y",Settings!$A$27,IF(AND(W61="Y",D61&lt;&gt;"End of life",AA61="High"),IF(H61&gt;0,Settings!$A$28,Settings!$A$29),IF(AND(W61="Y",D61="End of life"),Settings!$A$30,IF(AC61="Selling and short",IF(D61="End of life",Settings!$A$31,IF(Options!O61="Y",Settings!$A$32,IF(AX61&gt;0,Settings!$A$33,IF(H61&gt;0,IF(N(Options!N61)&lt;=S61,Settings!$A$34,Settings!$A$35),IF(AND(D61&lt;&gt;"Core",T61&gt;=Settings!$B$9),Settings!$A$36,Settings!$A$37))))),IF(AC61="Selling, heavy",IF(D61="Core",Settings!$A$38,Settings!$A$39),IF(AC61="Selling, covered",Settings!$A$40,IF(AC61="Slow and heavy",IF(Options!I61="Y",Settings!$A$41,IF(D61="End of life",Settings!$A$42,Settings!$A$43)),IF(AC61="Slow and short",IF(W61="Y",Settings!$A$44,Settings!$A$45),Settings!$A$46))))))))))</f>
        <v>Hold for the campaign; judge it on the campaign's rate of sale</v>
      </c>
      <c r="AF61" s="9" t="str">
        <f aca="false">IF(A61="","",IFERROR(VLOOKUP(AM61,Settings!$A$27:$B$48,2,0),"Assign an owner"))</f>
        <v>Trading Manager</v>
      </c>
      <c r="AG61" s="14" t="n">
        <f aca="false">SUMIFS('SKU Data'!$V$6:$V$505,'SKU Data'!$B$6:$B$505,$A61)</f>
        <v>5320</v>
      </c>
      <c r="AH61" s="12" t="n">
        <f aca="false">IF(A61="",0,IF(AW61="Y",IF(N(Options!V61)&gt;0,MAX(0,G61+H61-N(Options!V61)),0),MAX(0,G61+H61-N61*IF(D61="Core",Settings!$B$19,Settings!$B$9))))</f>
        <v>0</v>
      </c>
      <c r="AI61" s="14" t="n">
        <f aca="false">IF(OR(A61="",D61="Core"),0,AH61*N(Options!J61)*Settings!$B$21)</f>
        <v>0</v>
      </c>
      <c r="AJ61" s="14" t="n">
        <f aca="false">AH61*N(Options!K61)</f>
        <v>0</v>
      </c>
      <c r="AK61" s="27" t="n">
        <f aca="false">AZ61*(1-AY61)</f>
        <v>0</v>
      </c>
      <c r="AL61" s="27" t="n">
        <f aca="false">AI61+AK61</f>
        <v>0</v>
      </c>
      <c r="AM61" s="9" t="str">
        <f aca="false">IF(A61="","",IF(Options!W61&lt;&gt;"",Options!W61,AE61))</f>
        <v>Hold for the campaign; judge it on the campaign's rate of sale</v>
      </c>
      <c r="AN61" s="28" t="n">
        <f aca="false">IF(A61="","",COUNTIF($AR$6:$AR$85,"&gt;"&amp;AR61)+1)</f>
        <v>50</v>
      </c>
      <c r="AO61" s="9" t="str">
        <f aca="false">IF(A61="","",Options!D61)</f>
        <v>Chinos</v>
      </c>
      <c r="AP61" s="9" t="str">
        <f aca="false">IF(A61="","",Options!F61)</f>
        <v>Partner brand</v>
      </c>
      <c r="AQ61" s="9" t="n">
        <f aca="false">IF(AND(A61&lt;&gt;"",AW61&lt;&gt;"Y",M61&gt;0,COUNTIF($M$6:$M$85,"&gt;"&amp;M61)&lt;Settings!$B$22),1,0)</f>
        <v>0</v>
      </c>
      <c r="AR61" s="28" t="n">
        <f aca="false">IF(A61="",-1,AL61+ROW()/1000000000)</f>
        <v>6.1E-008</v>
      </c>
      <c r="AS61" s="28" t="n">
        <f aca="false">IF(A61="",-1,AK61+ROW()/1000000000)</f>
        <v>6.1E-008</v>
      </c>
      <c r="AT61" s="28" t="n">
        <f aca="false">IF(A61="",-1,AI61+ROW()/1000000000)</f>
        <v>6.1E-008</v>
      </c>
      <c r="AU61" s="25" t="n">
        <f aca="false">SUMIFS('SKU Data'!$W$6:$W$505,'SKU Data'!$B$6:$B$505,$A61)</f>
        <v>3.25</v>
      </c>
      <c r="AV61" s="28" t="n">
        <f aca="false">IF(A61="","",COUNTIFS($C$6:$C$85,C61,$M$6:$M$85,"&gt;"&amp;M61)+1)</f>
        <v>15</v>
      </c>
      <c r="AW61" s="9" t="str">
        <f aca="false">IF(A61="","",IF(AND(Options!T61&lt;&gt;"",N(Options!U61)&gt;0),"Y",""))</f>
        <v>Y</v>
      </c>
      <c r="AX61" s="9" t="n">
        <f aca="false">IF(A61="",0,COUNTIFS(Options!$R$6:$R$85,$A61,$V$6:$V$85,"&gt;0"))</f>
        <v>0</v>
      </c>
      <c r="AY61" s="13" t="n">
        <f aca="false">IF(Options!S61&lt;&gt;"",Options!S61,Settings!$B$23)</f>
        <v>0.3</v>
      </c>
      <c r="AZ61" s="14" t="n">
        <f aca="false">SUMIFS('SKU Data'!$U$6:$U$505,'SKU Data'!$B$6:$B$505,$A61)</f>
        <v>0</v>
      </c>
    </row>
    <row r="62" customFormat="false" ht="15" hidden="false" customHeight="false" outlineLevel="0" collapsed="false">
      <c r="A62" s="9" t="str">
        <f aca="false">IF(Options!A62="","",Options!A62)</f>
        <v>OPT057</v>
      </c>
      <c r="B62" s="9" t="str">
        <f aca="false">IF(A62="","",Options!B62&amp;" "&amp;Options!C62)</f>
        <v>Jumbo cord Forest</v>
      </c>
      <c r="C62" s="9" t="str">
        <f aca="false">IF(A62="","",Options!E62)</f>
        <v>Trousers</v>
      </c>
      <c r="D62" s="9" t="str">
        <f aca="false">IF(A62="","",Options!H62)</f>
        <v>Seasonal</v>
      </c>
      <c r="E62" s="12" t="n">
        <f aca="false">SUMIFS('SKU Data'!$E$6:$E$505,'SKU Data'!$B$6:$B$505,$A62)</f>
        <v>353</v>
      </c>
      <c r="F62" s="12" t="n">
        <f aca="false">SUMIFS('SKU Data'!$F$6:$F$505,'SKU Data'!$B$6:$B$505,$A62)</f>
        <v>0</v>
      </c>
      <c r="G62" s="12" t="n">
        <f aca="false">SUMIFS('SKU Data'!$G$6:$G$505,'SKU Data'!$B$6:$B$505,$A62)</f>
        <v>52</v>
      </c>
      <c r="H62" s="12" t="n">
        <f aca="false">N(Options!M62)</f>
        <v>0</v>
      </c>
      <c r="I62" s="12" t="n">
        <f aca="false">SUMIFS('SKU Data'!$H$6:$H$505,'SKU Data'!$B$6:$B$505,$A62)</f>
        <v>15</v>
      </c>
      <c r="J62" s="12" t="n">
        <f aca="false">SUMIFS('SKU Data'!$I$6:$I$505,'SKU Data'!$B$6:$B$505,$A62)</f>
        <v>16</v>
      </c>
      <c r="K62" s="12" t="n">
        <f aca="false">SUMIFS('SKU Data'!$J$6:$J$505,'SKU Data'!$B$6:$B$505,$A62)</f>
        <v>20</v>
      </c>
      <c r="L62" s="12" t="n">
        <f aca="false">SUMIFS('SKU Data'!$K$6:$K$505,'SKU Data'!$B$6:$B$505,$A62)</f>
        <v>18</v>
      </c>
      <c r="M62" s="25" t="n">
        <f aca="false">L62*Settings!$B$10+K62*Settings!$B$11+J62*Settings!$B$12+I62*Settings!$B$13</f>
        <v>17.9</v>
      </c>
      <c r="N62" s="25" t="n">
        <f aca="false">M62*Settings!$B$15</f>
        <v>16.11</v>
      </c>
      <c r="O62" s="12" t="n">
        <f aca="false">SUMIFS('SKU Data'!$L$6:$L$505,'SKU Data'!$B$6:$B$505,$A62)</f>
        <v>301</v>
      </c>
      <c r="P62" s="12" t="n">
        <f aca="false">SUMIFS('SKU Data'!$M$6:$M$505,'SKU Data'!$B$6:$B$505,$A62)</f>
        <v>266</v>
      </c>
      <c r="Q62" s="21" t="n">
        <f aca="false">IFERROR(O62/(E62-F62),0)</f>
        <v>0.852691218130312</v>
      </c>
      <c r="R62" s="21" t="n">
        <f aca="false">IFERROR(P62/(E62-F62),0)</f>
        <v>0.753541076487252</v>
      </c>
      <c r="S62" s="26" t="n">
        <f aca="false">IF(N62&lt;=0,IF(G62&gt;0,999,0),G62/N62)</f>
        <v>3.22780881440099</v>
      </c>
      <c r="T62" s="25" t="n">
        <f aca="false">IF(N(Options!L62)&gt;0,Options!L62,Settings!$B$20)</f>
        <v>10</v>
      </c>
      <c r="U62" s="9" t="n">
        <f aca="false">COUNTIFS('SKU Data'!$B$6:$B$505,$A62,'SKU Data'!$D$6:$D$505,"Y")</f>
        <v>3</v>
      </c>
      <c r="V62" s="9" t="n">
        <f aca="false">COUNTIFS('SKU Data'!$B$6:$B$505,$A62,'SKU Data'!$D$6:$D$505,"Y",'SKU Data'!$G$6:$G$505,"&lt;=0")</f>
        <v>0</v>
      </c>
      <c r="W62" s="28" t="str">
        <f aca="false">IF(A62="","",IF(AND(V62&gt;0,G62&gt;0),"Y",""))</f>
        <v/>
      </c>
      <c r="X62" s="9" t="str">
        <f aca="false">IF(A62="","",IF(AND(G62&gt;0,OR(Options!P62="N",Options!Q62="N")),"Y",""))</f>
        <v/>
      </c>
      <c r="Y62" s="9" t="n">
        <f aca="false">IF(AND(A62&lt;&gt;"",U62&gt;0,V62=0,G62&gt;0,Options!P62&lt;&gt;"N",Options!Q62&lt;&gt;"N"),1,0)</f>
        <v>1</v>
      </c>
      <c r="Z62" s="29" t="n">
        <f aca="false">IFERROR((K62+L62)/(I62+J62)-1,0)</f>
        <v>0.225806451612903</v>
      </c>
      <c r="AA62" s="9" t="str">
        <f aca="false">IF(A62="","",IF(Q62&gt;=Settings!$B$17,"High","Low"))</f>
        <v>High</v>
      </c>
      <c r="AB62" s="9" t="str">
        <f aca="false">IF(A62="","",IF(S62&lt;IF(D62="End of life",Settings!$B$9,IF(D62="Core",T62,MIN(T62,Settings!$B$9))),"Low",IF(S62&gt;IF(D62="Core",Settings!$B$19,Settings!$B$9+Settings!$B$18),"High","Balanced")))</f>
        <v>Low</v>
      </c>
      <c r="AC62" s="28" t="str">
        <f aca="false">IF(A62="","",IF(AW62="Y","Held for a campaign",IF(AA62="High",IF(AB62="Low","Selling and short",IF(AB62="High","Selling, heavy","Selling, covered")),IF(AB62="Low","Slow and short",IF(AB62="High","Slow and heavy","Slow, covered")))))</f>
        <v>Selling and short</v>
      </c>
      <c r="AD62" s="9" t="str">
        <f aca="false">IF(A62="","",TRIM(IF(W62="Y","Broken curve. ","")&amp;IF(X62="Y","Hidden from customers. ","")&amp;IF(Options!O62="Y","Promoted. ","")&amp;IF(Options!I62="Y","Range job. ","")&amp;IF(D62="End of life","End of life. ","")&amp;IF(H62&gt;0,"Order due in "&amp;Options!N62&amp;" weeks. ","")&amp;IF(AW62="Y","Held for "&amp;Options!T62&amp;", starts in "&amp;Options!U62&amp;" weeks. ","")&amp;IF(AX62&gt;0,"Covering for "&amp;AX62&amp;" sold-out line(s). ","")))</f>
        <v/>
      </c>
      <c r="AE62" s="9" t="str">
        <f aca="false">IF(A62="","",IF(AW62="Y",IF(AND(N(Options!V62)&gt;0,G62+H62&gt;N(Options!V62)*1.1),Settings!$A$48,Settings!$A$47),IF(X62="Y",Settings!$A$27,IF(AND(W62="Y",D62&lt;&gt;"End of life",AA62="High"),IF(H62&gt;0,Settings!$A$28,Settings!$A$29),IF(AND(W62="Y",D62="End of life"),Settings!$A$30,IF(AC62="Selling and short",IF(D62="End of life",Settings!$A$31,IF(Options!O62="Y",Settings!$A$32,IF(AX62&gt;0,Settings!$A$33,IF(H62&gt;0,IF(N(Options!N62)&lt;=S62,Settings!$A$34,Settings!$A$35),IF(AND(D62&lt;&gt;"Core",T62&gt;=Settings!$B$9),Settings!$A$36,Settings!$A$37))))),IF(AC62="Selling, heavy",IF(D62="Core",Settings!$A$38,Settings!$A$39),IF(AC62="Selling, covered",Settings!$A$40,IF(AC62="Slow and heavy",IF(Options!I62="Y",Settings!$A$41,IF(D62="End of life",Settings!$A$42,Settings!$A$43)),IF(AC62="Slow and short",IF(W62="Y",Settings!$A$44,Settings!$A$45),Settings!$A$46))))))))))</f>
        <v>Sell through; carry the lesson into next season's buy</v>
      </c>
      <c r="AF62" s="9" t="str">
        <f aca="false">IF(A62="","",IFERROR(VLOOKUP(AM62,Settings!$A$27:$B$48,2,0),"Assign an owner"))</f>
        <v>Buyer</v>
      </c>
      <c r="AG62" s="14" t="n">
        <f aca="false">SUMIFS('SKU Data'!$V$6:$V$505,'SKU Data'!$B$6:$B$505,$A62)</f>
        <v>1284.4</v>
      </c>
      <c r="AH62" s="12" t="n">
        <f aca="false">IF(A62="",0,IF(AW62="Y",IF(N(Options!V62)&gt;0,MAX(0,G62+H62-N(Options!V62)),0),MAX(0,G62+H62-N62*IF(D62="Core",Settings!$B$19,Settings!$B$9))))</f>
        <v>0</v>
      </c>
      <c r="AI62" s="14" t="n">
        <f aca="false">IF(OR(A62="",D62="Core"),0,AH62*N(Options!J62)*Settings!$B$21)</f>
        <v>0</v>
      </c>
      <c r="AJ62" s="14" t="n">
        <f aca="false">AH62*N(Options!K62)</f>
        <v>0</v>
      </c>
      <c r="AK62" s="27" t="n">
        <f aca="false">AZ62*(1-AY62)</f>
        <v>0</v>
      </c>
      <c r="AL62" s="27" t="n">
        <f aca="false">AI62+AK62</f>
        <v>0</v>
      </c>
      <c r="AM62" s="9" t="str">
        <f aca="false">IF(A62="","",IF(Options!W62&lt;&gt;"",Options!W62,AE62))</f>
        <v>Sell through; carry the lesson into next season's buy</v>
      </c>
      <c r="AN62" s="28" t="n">
        <f aca="false">IF(A62="","",COUNTIF($AR$6:$AR$85,"&gt;"&amp;AR62)+1)</f>
        <v>49</v>
      </c>
      <c r="AO62" s="9" t="str">
        <f aca="false">IF(A62="","",Options!D62)</f>
        <v>Cords</v>
      </c>
      <c r="AP62" s="9" t="str">
        <f aca="false">IF(A62="","",Options!F62)</f>
        <v>Partner brand</v>
      </c>
      <c r="AQ62" s="9" t="n">
        <f aca="false">IF(AND(A62&lt;&gt;"",AW62&lt;&gt;"Y",M62&gt;0,COUNTIF($M$6:$M$85,"&gt;"&amp;M62)&lt;Settings!$B$22),1,0)</f>
        <v>1</v>
      </c>
      <c r="AR62" s="28" t="n">
        <f aca="false">IF(A62="",-1,AL62+ROW()/1000000000)</f>
        <v>6.2E-008</v>
      </c>
      <c r="AS62" s="28" t="n">
        <f aca="false">IF(A62="",-1,AK62+ROW()/1000000000)</f>
        <v>6.2E-008</v>
      </c>
      <c r="AT62" s="28" t="n">
        <f aca="false">IF(A62="",-1,AI62+ROW()/1000000000)</f>
        <v>6.2E-008</v>
      </c>
      <c r="AU62" s="25" t="n">
        <f aca="false">SUMIFS('SKU Data'!$W$6:$W$505,'SKU Data'!$B$6:$B$505,$A62)</f>
        <v>17.25</v>
      </c>
      <c r="AV62" s="28" t="n">
        <f aca="false">IF(A62="","",COUNTIFS($C$6:$C$85,C62,$M$6:$M$85,"&gt;"&amp;M62)+1)</f>
        <v>6</v>
      </c>
      <c r="AW62" s="9" t="str">
        <f aca="false">IF(A62="","",IF(AND(Options!T62&lt;&gt;"",N(Options!U62)&gt;0),"Y",""))</f>
        <v/>
      </c>
      <c r="AX62" s="9" t="n">
        <f aca="false">IF(A62="",0,COUNTIFS(Options!$R$6:$R$85,$A62,$V$6:$V$85,"&gt;0"))</f>
        <v>0</v>
      </c>
      <c r="AY62" s="13" t="n">
        <f aca="false">IF(Options!S62&lt;&gt;"",Options!S62,Settings!$B$23)</f>
        <v>0.3</v>
      </c>
      <c r="AZ62" s="14" t="n">
        <f aca="false">SUMIFS('SKU Data'!$U$6:$U$505,'SKU Data'!$B$6:$B$505,$A62)</f>
        <v>0</v>
      </c>
    </row>
    <row r="63" customFormat="false" ht="15" hidden="false" customHeight="false" outlineLevel="0" collapsed="false">
      <c r="A63" s="9" t="str">
        <f aca="false">IF(Options!A63="","",Options!A63)</f>
        <v>OPT058</v>
      </c>
      <c r="B63" s="9" t="str">
        <f aca="false">IF(A63="","",Options!B63&amp;" "&amp;Options!C63)</f>
        <v>Regular chino Sand</v>
      </c>
      <c r="C63" s="9" t="str">
        <f aca="false">IF(A63="","",Options!E63)</f>
        <v>Trousers</v>
      </c>
      <c r="D63" s="9" t="str">
        <f aca="false">IF(A63="","",Options!H63)</f>
        <v>Seasonal</v>
      </c>
      <c r="E63" s="12" t="n">
        <f aca="false">SUMIFS('SKU Data'!$E$6:$E$505,'SKU Data'!$B$6:$B$505,$A63)</f>
        <v>617</v>
      </c>
      <c r="F63" s="12" t="n">
        <f aca="false">SUMIFS('SKU Data'!$F$6:$F$505,'SKU Data'!$B$6:$B$505,$A63)</f>
        <v>0</v>
      </c>
      <c r="G63" s="12" t="n">
        <f aca="false">SUMIFS('SKU Data'!$G$6:$G$505,'SKU Data'!$B$6:$B$505,$A63)</f>
        <v>157</v>
      </c>
      <c r="H63" s="12" t="n">
        <f aca="false">N(Options!M63)</f>
        <v>0</v>
      </c>
      <c r="I63" s="12" t="n">
        <f aca="false">SUMIFS('SKU Data'!$H$6:$H$505,'SKU Data'!$B$6:$B$505,$A63)</f>
        <v>19</v>
      </c>
      <c r="J63" s="12" t="n">
        <f aca="false">SUMIFS('SKU Data'!$I$6:$I$505,'SKU Data'!$B$6:$B$505,$A63)</f>
        <v>19</v>
      </c>
      <c r="K63" s="12" t="n">
        <f aca="false">SUMIFS('SKU Data'!$J$6:$J$505,'SKU Data'!$B$6:$B$505,$A63)</f>
        <v>23</v>
      </c>
      <c r="L63" s="12" t="n">
        <f aca="false">SUMIFS('SKU Data'!$K$6:$K$505,'SKU Data'!$B$6:$B$505,$A63)</f>
        <v>26</v>
      </c>
      <c r="M63" s="25" t="n">
        <f aca="false">L63*Settings!$B$10+K63*Settings!$B$11+J63*Settings!$B$12+I63*Settings!$B$13</f>
        <v>23</v>
      </c>
      <c r="N63" s="25" t="n">
        <f aca="false">M63*Settings!$B$15</f>
        <v>20.7</v>
      </c>
      <c r="O63" s="12" t="n">
        <f aca="false">SUMIFS('SKU Data'!$L$6:$L$505,'SKU Data'!$B$6:$B$505,$A63)</f>
        <v>460</v>
      </c>
      <c r="P63" s="12" t="n">
        <f aca="false">SUMIFS('SKU Data'!$M$6:$M$505,'SKU Data'!$B$6:$B$505,$A63)</f>
        <v>405</v>
      </c>
      <c r="Q63" s="21" t="n">
        <f aca="false">IFERROR(O63/(E63-F63),0)</f>
        <v>0.745542949756888</v>
      </c>
      <c r="R63" s="21" t="n">
        <f aca="false">IFERROR(P63/(E63-F63),0)</f>
        <v>0.656401944894652</v>
      </c>
      <c r="S63" s="26" t="n">
        <f aca="false">IF(N63&lt;=0,IF(G63&gt;0,999,0),G63/N63)</f>
        <v>7.58454106280193</v>
      </c>
      <c r="T63" s="25" t="n">
        <f aca="false">IF(N(Options!L63)&gt;0,Options!L63,Settings!$B$20)</f>
        <v>6</v>
      </c>
      <c r="U63" s="9" t="n">
        <f aca="false">COUNTIFS('SKU Data'!$B$6:$B$505,$A63,'SKU Data'!$D$6:$D$505,"Y")</f>
        <v>3</v>
      </c>
      <c r="V63" s="9" t="n">
        <f aca="false">COUNTIFS('SKU Data'!$B$6:$B$505,$A63,'SKU Data'!$D$6:$D$505,"Y",'SKU Data'!$G$6:$G$505,"&lt;=0")</f>
        <v>0</v>
      </c>
      <c r="W63" s="28" t="str">
        <f aca="false">IF(A63="","",IF(AND(V63&gt;0,G63&gt;0),"Y",""))</f>
        <v/>
      </c>
      <c r="X63" s="9" t="str">
        <f aca="false">IF(A63="","",IF(AND(G63&gt;0,OR(Options!P63="N",Options!Q63="N")),"Y",""))</f>
        <v/>
      </c>
      <c r="Y63" s="9" t="n">
        <f aca="false">IF(AND(A63&lt;&gt;"",U63&gt;0,V63=0,G63&gt;0,Options!P63&lt;&gt;"N",Options!Q63&lt;&gt;"N"),1,0)</f>
        <v>1</v>
      </c>
      <c r="Z63" s="29" t="n">
        <f aca="false">IFERROR((K63+L63)/(I63+J63)-1,0)</f>
        <v>0.289473684210526</v>
      </c>
      <c r="AA63" s="9" t="str">
        <f aca="false">IF(A63="","",IF(Q63&gt;=Settings!$B$17,"High","Low"))</f>
        <v>High</v>
      </c>
      <c r="AB63" s="9" t="str">
        <f aca="false">IF(A63="","",IF(S63&lt;IF(D63="End of life",Settings!$B$9,IF(D63="Core",T63,MIN(T63,Settings!$B$9))),"Low",IF(S63&gt;IF(D63="Core",Settings!$B$19,Settings!$B$9+Settings!$B$18),"High","Balanced")))</f>
        <v>Balanced</v>
      </c>
      <c r="AC63" s="28" t="str">
        <f aca="false">IF(A63="","",IF(AW63="Y","Held for a campaign",IF(AA63="High",IF(AB63="Low","Selling and short",IF(AB63="High","Selling, heavy","Selling, covered")),IF(AB63="Low","Slow and short",IF(AB63="High","Slow and heavy","Slow, covered")))))</f>
        <v>Selling, covered</v>
      </c>
      <c r="AD63" s="9" t="str">
        <f aca="false">IF(A63="","",TRIM(IF(W63="Y","Broken curve. ","")&amp;IF(X63="Y","Hidden from customers. ","")&amp;IF(Options!O63="Y","Promoted. ","")&amp;IF(Options!I63="Y","Range job. ","")&amp;IF(D63="End of life","End of life. ","")&amp;IF(H63&gt;0,"Order due in "&amp;Options!N63&amp;" weeks. ","")&amp;IF(AW63="Y","Held for "&amp;Options!T63&amp;", starts in "&amp;Options!U63&amp;" weeks. ","")&amp;IF(AX63&gt;0,"Covering for "&amp;AX63&amp;" sold-out line(s). ","")))</f>
        <v/>
      </c>
      <c r="AE63" s="9" t="str">
        <f aca="false">IF(A63="","",IF(AW63="Y",IF(AND(N(Options!V63)&gt;0,G63+H63&gt;N(Options!V63)*1.1),Settings!$A$48,Settings!$A$47),IF(X63="Y",Settings!$A$27,IF(AND(W63="Y",D63&lt;&gt;"End of life",AA63="High"),IF(H63&gt;0,Settings!$A$28,Settings!$A$29),IF(AND(W63="Y",D63="End of life"),Settings!$A$30,IF(AC63="Selling and short",IF(D63="End of life",Settings!$A$31,IF(Options!O63="Y",Settings!$A$32,IF(AX63&gt;0,Settings!$A$33,IF(H63&gt;0,IF(N(Options!N63)&lt;=S63,Settings!$A$34,Settings!$A$35),IF(AND(D63&lt;&gt;"Core",T63&gt;=Settings!$B$9),Settings!$A$36,Settings!$A$37))))),IF(AC63="Selling, heavy",IF(D63="Core",Settings!$A$38,Settings!$A$39),IF(AC63="Selling, covered",Settings!$A$40,IF(AC63="Slow and heavy",IF(Options!I63="Y",Settings!$A$41,IF(D63="End of life",Settings!$A$42,Settings!$A$43)),IF(AC63="Slow and short",IF(W63="Y",Settings!$A$44,Settings!$A$45),Settings!$A$46))))))))))</f>
        <v>Hold</v>
      </c>
      <c r="AF63" s="9" t="str">
        <f aca="false">IF(A63="","",IFERROR(VLOOKUP(AM63,Settings!$A$27:$B$48,2,0),"Assign an owner"))</f>
        <v>Merchandiser</v>
      </c>
      <c r="AG63" s="14" t="n">
        <f aca="false">SUMIFS('SKU Data'!$V$6:$V$505,'SKU Data'!$B$6:$B$505,$A63)</f>
        <v>3877.9</v>
      </c>
      <c r="AH63" s="12" t="n">
        <f aca="false">IF(A63="",0,IF(AW63="Y",IF(N(Options!V63)&gt;0,MAX(0,G63+H63-N(Options!V63)),0),MAX(0,G63+H63-N63*IF(D63="Core",Settings!$B$19,Settings!$B$9))))</f>
        <v>74.2</v>
      </c>
      <c r="AI63" s="14" t="n">
        <f aca="false">IF(OR(A63="",D63="Core"),0,AH63*N(Options!J63)*Settings!$B$21)</f>
        <v>1929.2</v>
      </c>
      <c r="AJ63" s="14" t="n">
        <f aca="false">AH63*N(Options!K63)</f>
        <v>1832.74</v>
      </c>
      <c r="AK63" s="27" t="n">
        <f aca="false">AZ63*(1-AY63)</f>
        <v>0</v>
      </c>
      <c r="AL63" s="27" t="n">
        <f aca="false">AI63+AK63</f>
        <v>1929.2</v>
      </c>
      <c r="AM63" s="9" t="str">
        <f aca="false">IF(A63="","",IF(Options!W63&lt;&gt;"",Options!W63,AE63))</f>
        <v>Hold</v>
      </c>
      <c r="AN63" s="28" t="n">
        <f aca="false">IF(A63="","",COUNTIF($AR$6:$AR$85,"&gt;"&amp;AR63)+1)</f>
        <v>35</v>
      </c>
      <c r="AO63" s="9" t="str">
        <f aca="false">IF(A63="","",Options!D63)</f>
        <v>Chinos</v>
      </c>
      <c r="AP63" s="9" t="str">
        <f aca="false">IF(A63="","",Options!F63)</f>
        <v>Own brand</v>
      </c>
      <c r="AQ63" s="9" t="n">
        <f aca="false">IF(AND(A63&lt;&gt;"",AW63&lt;&gt;"Y",M63&gt;0,COUNTIF($M$6:$M$85,"&gt;"&amp;M63)&lt;Settings!$B$22),1,0)</f>
        <v>1</v>
      </c>
      <c r="AR63" s="28" t="n">
        <f aca="false">IF(A63="",-1,AL63+ROW()/1000000000)</f>
        <v>1929.200000063</v>
      </c>
      <c r="AS63" s="28" t="n">
        <f aca="false">IF(A63="",-1,AK63+ROW()/1000000000)</f>
        <v>6.3E-008</v>
      </c>
      <c r="AT63" s="28" t="n">
        <f aca="false">IF(A63="",-1,AI63+ROW()/1000000000)</f>
        <v>1929.200000063</v>
      </c>
      <c r="AU63" s="25" t="n">
        <f aca="false">SUMIFS('SKU Data'!$W$6:$W$505,'SKU Data'!$B$6:$B$505,$A63)</f>
        <v>21.75</v>
      </c>
      <c r="AV63" s="28" t="n">
        <f aca="false">IF(A63="","",COUNTIFS($C$6:$C$85,C63,$M$6:$M$85,"&gt;"&amp;M63)+1)</f>
        <v>5</v>
      </c>
      <c r="AW63" s="9" t="str">
        <f aca="false">IF(A63="","",IF(AND(Options!T63&lt;&gt;"",N(Options!U63)&gt;0),"Y",""))</f>
        <v/>
      </c>
      <c r="AX63" s="9" t="n">
        <f aca="false">IF(A63="",0,COUNTIFS(Options!$R$6:$R$85,$A63,$V$6:$V$85,"&gt;0"))</f>
        <v>0</v>
      </c>
      <c r="AY63" s="13" t="n">
        <f aca="false">IF(Options!S63&lt;&gt;"",Options!S63,Settings!$B$23)</f>
        <v>0.3</v>
      </c>
      <c r="AZ63" s="14" t="n">
        <f aca="false">SUMIFS('SKU Data'!$U$6:$U$505,'SKU Data'!$B$6:$B$505,$A63)</f>
        <v>0</v>
      </c>
    </row>
    <row r="64" customFormat="false" ht="15" hidden="false" customHeight="false" outlineLevel="0" collapsed="false">
      <c r="A64" s="9" t="str">
        <f aca="false">IF(Options!A64="","",Options!A64)</f>
        <v>OPT059</v>
      </c>
      <c r="B64" s="9" t="str">
        <f aca="false">IF(A64="","",Options!B64&amp;" "&amp;Options!C64)</f>
        <v>Jumbo cord Teal</v>
      </c>
      <c r="C64" s="9" t="str">
        <f aca="false">IF(A64="","",Options!E64)</f>
        <v>Trousers</v>
      </c>
      <c r="D64" s="9" t="str">
        <f aca="false">IF(A64="","",Options!H64)</f>
        <v>Seasonal</v>
      </c>
      <c r="E64" s="12" t="n">
        <f aca="false">SUMIFS('SKU Data'!$E$6:$E$505,'SKU Data'!$B$6:$B$505,$A64)</f>
        <v>468</v>
      </c>
      <c r="F64" s="12" t="n">
        <f aca="false">SUMIFS('SKU Data'!$F$6:$F$505,'SKU Data'!$B$6:$B$505,$A64)</f>
        <v>0</v>
      </c>
      <c r="G64" s="12" t="n">
        <f aca="false">SUMIFS('SKU Data'!$G$6:$G$505,'SKU Data'!$B$6:$B$505,$A64)</f>
        <v>81</v>
      </c>
      <c r="H64" s="12" t="n">
        <f aca="false">N(Options!M64)</f>
        <v>0</v>
      </c>
      <c r="I64" s="12" t="n">
        <f aca="false">SUMIFS('SKU Data'!$H$6:$H$505,'SKU Data'!$B$6:$B$505,$A64)</f>
        <v>21</v>
      </c>
      <c r="J64" s="12" t="n">
        <f aca="false">SUMIFS('SKU Data'!$I$6:$I$505,'SKU Data'!$B$6:$B$505,$A64)</f>
        <v>18</v>
      </c>
      <c r="K64" s="12" t="n">
        <f aca="false">SUMIFS('SKU Data'!$J$6:$J$505,'SKU Data'!$B$6:$B$505,$A64)</f>
        <v>25</v>
      </c>
      <c r="L64" s="12" t="n">
        <f aca="false">SUMIFS('SKU Data'!$K$6:$K$505,'SKU Data'!$B$6:$B$505,$A64)</f>
        <v>26</v>
      </c>
      <c r="M64" s="25" t="n">
        <f aca="false">L64*Settings!$B$10+K64*Settings!$B$11+J64*Settings!$B$12+I64*Settings!$B$13</f>
        <v>23.6</v>
      </c>
      <c r="N64" s="25" t="n">
        <f aca="false">M64*Settings!$B$15</f>
        <v>21.24</v>
      </c>
      <c r="O64" s="12" t="n">
        <f aca="false">SUMIFS('SKU Data'!$L$6:$L$505,'SKU Data'!$B$6:$B$505,$A64)</f>
        <v>387</v>
      </c>
      <c r="P64" s="12" t="n">
        <f aca="false">SUMIFS('SKU Data'!$M$6:$M$505,'SKU Data'!$B$6:$B$505,$A64)</f>
        <v>339</v>
      </c>
      <c r="Q64" s="21" t="n">
        <f aca="false">IFERROR(O64/(E64-F64),0)</f>
        <v>0.826923076923077</v>
      </c>
      <c r="R64" s="21" t="n">
        <f aca="false">IFERROR(P64/(E64-F64),0)</f>
        <v>0.724358974358974</v>
      </c>
      <c r="S64" s="26" t="n">
        <f aca="false">IF(N64&lt;=0,IF(G64&gt;0,999,0),G64/N64)</f>
        <v>3.8135593220339</v>
      </c>
      <c r="T64" s="25" t="n">
        <f aca="false">IF(N(Options!L64)&gt;0,Options!L64,Settings!$B$20)</f>
        <v>3</v>
      </c>
      <c r="U64" s="9" t="n">
        <f aca="false">COUNTIFS('SKU Data'!$B$6:$B$505,$A64,'SKU Data'!$D$6:$D$505,"Y")</f>
        <v>3</v>
      </c>
      <c r="V64" s="9" t="n">
        <f aca="false">COUNTIFS('SKU Data'!$B$6:$B$505,$A64,'SKU Data'!$D$6:$D$505,"Y",'SKU Data'!$G$6:$G$505,"&lt;=0")</f>
        <v>0</v>
      </c>
      <c r="W64" s="28" t="str">
        <f aca="false">IF(A64="","",IF(AND(V64&gt;0,G64&gt;0),"Y",""))</f>
        <v/>
      </c>
      <c r="X64" s="9" t="str">
        <f aca="false">IF(A64="","",IF(AND(G64&gt;0,OR(Options!P64="N",Options!Q64="N")),"Y",""))</f>
        <v/>
      </c>
      <c r="Y64" s="9" t="n">
        <f aca="false">IF(AND(A64&lt;&gt;"",U64&gt;0,V64=0,G64&gt;0,Options!P64&lt;&gt;"N",Options!Q64&lt;&gt;"N"),1,0)</f>
        <v>1</v>
      </c>
      <c r="Z64" s="29" t="n">
        <f aca="false">IFERROR((K64+L64)/(I64+J64)-1,0)</f>
        <v>0.307692307692308</v>
      </c>
      <c r="AA64" s="9" t="str">
        <f aca="false">IF(A64="","",IF(Q64&gt;=Settings!$B$17,"High","Low"))</f>
        <v>High</v>
      </c>
      <c r="AB64" s="9" t="str">
        <f aca="false">IF(A64="","",IF(S64&lt;IF(D64="End of life",Settings!$B$9,IF(D64="Core",T64,MIN(T64,Settings!$B$9))),"Low",IF(S64&gt;IF(D64="Core",Settings!$B$19,Settings!$B$9+Settings!$B$18),"High","Balanced")))</f>
        <v>Balanced</v>
      </c>
      <c r="AC64" s="28" t="str">
        <f aca="false">IF(A64="","",IF(AW64="Y","Held for a campaign",IF(AA64="High",IF(AB64="Low","Selling and short",IF(AB64="High","Selling, heavy","Selling, covered")),IF(AB64="Low","Slow and short",IF(AB64="High","Slow and heavy","Slow, covered")))))</f>
        <v>Selling, covered</v>
      </c>
      <c r="AD64" s="9" t="str">
        <f aca="false">IF(A64="","",TRIM(IF(W64="Y","Broken curve. ","")&amp;IF(X64="Y","Hidden from customers. ","")&amp;IF(Options!O64="Y","Promoted. ","")&amp;IF(Options!I64="Y","Range job. ","")&amp;IF(D64="End of life","End of life. ","")&amp;IF(H64&gt;0,"Order due in "&amp;Options!N64&amp;" weeks. ","")&amp;IF(AW64="Y","Held for "&amp;Options!T64&amp;", starts in "&amp;Options!U64&amp;" weeks. ","")&amp;IF(AX64&gt;0,"Covering for "&amp;AX64&amp;" sold-out line(s). ","")))</f>
        <v/>
      </c>
      <c r="AE64" s="9" t="str">
        <f aca="false">IF(A64="","",IF(AW64="Y",IF(AND(N(Options!V64)&gt;0,G64+H64&gt;N(Options!V64)*1.1),Settings!$A$48,Settings!$A$47),IF(X64="Y",Settings!$A$27,IF(AND(W64="Y",D64&lt;&gt;"End of life",AA64="High"),IF(H64&gt;0,Settings!$A$28,Settings!$A$29),IF(AND(W64="Y",D64="End of life"),Settings!$A$30,IF(AC64="Selling and short",IF(D64="End of life",Settings!$A$31,IF(Options!O64="Y",Settings!$A$32,IF(AX64&gt;0,Settings!$A$33,IF(H64&gt;0,IF(N(Options!N64)&lt;=S64,Settings!$A$34,Settings!$A$35),IF(AND(D64&lt;&gt;"Core",T64&gt;=Settings!$B$9),Settings!$A$36,Settings!$A$37))))),IF(AC64="Selling, heavy",IF(D64="Core",Settings!$A$38,Settings!$A$39),IF(AC64="Selling, covered",Settings!$A$40,IF(AC64="Slow and heavy",IF(Options!I64="Y",Settings!$A$41,IF(D64="End of life",Settings!$A$42,Settings!$A$43)),IF(AC64="Slow and short",IF(W64="Y",Settings!$A$44,Settings!$A$45),Settings!$A$46))))))))))</f>
        <v>Hold</v>
      </c>
      <c r="AF64" s="9" t="str">
        <f aca="false">IF(A64="","",IFERROR(VLOOKUP(AM64,Settings!$A$27:$B$48,2,0),"Assign an owner"))</f>
        <v>Merchandiser</v>
      </c>
      <c r="AG64" s="14" t="n">
        <f aca="false">SUMIFS('SKU Data'!$V$6:$V$505,'SKU Data'!$B$6:$B$505,$A64)</f>
        <v>2000.7</v>
      </c>
      <c r="AH64" s="12" t="n">
        <f aca="false">IF(A64="",0,IF(AW64="Y",IF(N(Options!V64)&gt;0,MAX(0,G64+H64-N(Options!V64)),0),MAX(0,G64+H64-N64*IF(D64="Core",Settings!$B$19,Settings!$B$9))))</f>
        <v>0</v>
      </c>
      <c r="AI64" s="14" t="n">
        <f aca="false">IF(OR(A64="",D64="Core"),0,AH64*N(Options!J64)*Settings!$B$21)</f>
        <v>0</v>
      </c>
      <c r="AJ64" s="14" t="n">
        <f aca="false">AH64*N(Options!K64)</f>
        <v>0</v>
      </c>
      <c r="AK64" s="27" t="n">
        <f aca="false">AZ64*(1-AY64)</f>
        <v>0</v>
      </c>
      <c r="AL64" s="27" t="n">
        <f aca="false">AI64+AK64</f>
        <v>0</v>
      </c>
      <c r="AM64" s="9" t="str">
        <f aca="false">IF(A64="","",IF(Options!W64&lt;&gt;"",Options!W64,AE64))</f>
        <v>Hold</v>
      </c>
      <c r="AN64" s="28" t="n">
        <f aca="false">IF(A64="","",COUNTIF($AR$6:$AR$85,"&gt;"&amp;AR64)+1)</f>
        <v>48</v>
      </c>
      <c r="AO64" s="9" t="str">
        <f aca="false">IF(A64="","",Options!D64)</f>
        <v>Cords</v>
      </c>
      <c r="AP64" s="9" t="str">
        <f aca="false">IF(A64="","",Options!F64)</f>
        <v>Own brand</v>
      </c>
      <c r="AQ64" s="9" t="n">
        <f aca="false">IF(AND(A64&lt;&gt;"",AW64&lt;&gt;"Y",M64&gt;0,COUNTIF($M$6:$M$85,"&gt;"&amp;M64)&lt;Settings!$B$22),1,0)</f>
        <v>1</v>
      </c>
      <c r="AR64" s="28" t="n">
        <f aca="false">IF(A64="",-1,AL64+ROW()/1000000000)</f>
        <v>6.4E-008</v>
      </c>
      <c r="AS64" s="28" t="n">
        <f aca="false">IF(A64="",-1,AK64+ROW()/1000000000)</f>
        <v>6.4E-008</v>
      </c>
      <c r="AT64" s="28" t="n">
        <f aca="false">IF(A64="",-1,AI64+ROW()/1000000000)</f>
        <v>6.4E-008</v>
      </c>
      <c r="AU64" s="25" t="n">
        <f aca="false">SUMIFS('SKU Data'!$W$6:$W$505,'SKU Data'!$B$6:$B$505,$A64)</f>
        <v>22.5</v>
      </c>
      <c r="AV64" s="28" t="n">
        <f aca="false">IF(A64="","",COUNTIFS($C$6:$C$85,C64,$M$6:$M$85,"&gt;"&amp;M64)+1)</f>
        <v>4</v>
      </c>
      <c r="AW64" s="9" t="str">
        <f aca="false">IF(A64="","",IF(AND(Options!T64&lt;&gt;"",N(Options!U64)&gt;0),"Y",""))</f>
        <v/>
      </c>
      <c r="AX64" s="9" t="n">
        <f aca="false">IF(A64="",0,COUNTIFS(Options!$R$6:$R$85,$A64,$V$6:$V$85,"&gt;0"))</f>
        <v>0</v>
      </c>
      <c r="AY64" s="13" t="n">
        <f aca="false">IF(Options!S64&lt;&gt;"",Options!S64,Settings!$B$23)</f>
        <v>0.3</v>
      </c>
      <c r="AZ64" s="14" t="n">
        <f aca="false">SUMIFS('SKU Data'!$U$6:$U$505,'SKU Data'!$B$6:$B$505,$A64)</f>
        <v>0</v>
      </c>
    </row>
    <row r="65" customFormat="false" ht="15" hidden="false" customHeight="false" outlineLevel="0" collapsed="false">
      <c r="A65" s="9" t="str">
        <f aca="false">IF(Options!A65="","",Options!A65)</f>
        <v>OPT060</v>
      </c>
      <c r="B65" s="9" t="str">
        <f aca="false">IF(A65="","",Options!B65&amp;" "&amp;Options!C65)</f>
        <v>Regular chino Mustard</v>
      </c>
      <c r="C65" s="9" t="str">
        <f aca="false">IF(A65="","",Options!E65)</f>
        <v>Trousers</v>
      </c>
      <c r="D65" s="9" t="str">
        <f aca="false">IF(A65="","",Options!H65)</f>
        <v>Seasonal</v>
      </c>
      <c r="E65" s="12" t="n">
        <f aca="false">SUMIFS('SKU Data'!$E$6:$E$505,'SKU Data'!$B$6:$B$505,$A65)</f>
        <v>375</v>
      </c>
      <c r="F65" s="12" t="n">
        <f aca="false">SUMIFS('SKU Data'!$F$6:$F$505,'SKU Data'!$B$6:$B$505,$A65)</f>
        <v>0</v>
      </c>
      <c r="G65" s="12" t="n">
        <f aca="false">SUMIFS('SKU Data'!$G$6:$G$505,'SKU Data'!$B$6:$B$505,$A65)</f>
        <v>96</v>
      </c>
      <c r="H65" s="12" t="n">
        <f aca="false">N(Options!M65)</f>
        <v>0</v>
      </c>
      <c r="I65" s="12" t="n">
        <f aca="false">SUMIFS('SKU Data'!$H$6:$H$505,'SKU Data'!$B$6:$B$505,$A65)</f>
        <v>12</v>
      </c>
      <c r="J65" s="12" t="n">
        <f aca="false">SUMIFS('SKU Data'!$I$6:$I$505,'SKU Data'!$B$6:$B$505,$A65)</f>
        <v>13</v>
      </c>
      <c r="K65" s="12" t="n">
        <f aca="false">SUMIFS('SKU Data'!$J$6:$J$505,'SKU Data'!$B$6:$B$505,$A65)</f>
        <v>14</v>
      </c>
      <c r="L65" s="12" t="n">
        <f aca="false">SUMIFS('SKU Data'!$K$6:$K$505,'SKU Data'!$B$6:$B$505,$A65)</f>
        <v>14</v>
      </c>
      <c r="M65" s="25" t="n">
        <f aca="false">L65*Settings!$B$10+K65*Settings!$B$11+J65*Settings!$B$12+I65*Settings!$B$13</f>
        <v>13.6</v>
      </c>
      <c r="N65" s="25" t="n">
        <f aca="false">M65*Settings!$B$15</f>
        <v>12.24</v>
      </c>
      <c r="O65" s="12" t="n">
        <f aca="false">SUMIFS('SKU Data'!$L$6:$L$505,'SKU Data'!$B$6:$B$505,$A65)</f>
        <v>279</v>
      </c>
      <c r="P65" s="12" t="n">
        <f aca="false">SUMIFS('SKU Data'!$M$6:$M$505,'SKU Data'!$B$6:$B$505,$A65)</f>
        <v>246</v>
      </c>
      <c r="Q65" s="21" t="n">
        <f aca="false">IFERROR(O65/(E65-F65),0)</f>
        <v>0.744</v>
      </c>
      <c r="R65" s="21" t="n">
        <f aca="false">IFERROR(P65/(E65-F65),0)</f>
        <v>0.656</v>
      </c>
      <c r="S65" s="26" t="n">
        <f aca="false">IF(N65&lt;=0,IF(G65&gt;0,999,0),G65/N65)</f>
        <v>7.84313725490196</v>
      </c>
      <c r="T65" s="25" t="n">
        <f aca="false">IF(N(Options!L65)&gt;0,Options!L65,Settings!$B$20)</f>
        <v>8</v>
      </c>
      <c r="U65" s="9" t="n">
        <f aca="false">COUNTIFS('SKU Data'!$B$6:$B$505,$A65,'SKU Data'!$D$6:$D$505,"Y")</f>
        <v>3</v>
      </c>
      <c r="V65" s="9" t="n">
        <f aca="false">COUNTIFS('SKU Data'!$B$6:$B$505,$A65,'SKU Data'!$D$6:$D$505,"Y",'SKU Data'!$G$6:$G$505,"&lt;=0")</f>
        <v>0</v>
      </c>
      <c r="W65" s="28" t="str">
        <f aca="false">IF(A65="","",IF(AND(V65&gt;0,G65&gt;0),"Y",""))</f>
        <v/>
      </c>
      <c r="X65" s="9" t="str">
        <f aca="false">IF(A65="","",IF(AND(G65&gt;0,OR(Options!P65="N",Options!Q65="N")),"Y",""))</f>
        <v/>
      </c>
      <c r="Y65" s="9" t="n">
        <f aca="false">IF(AND(A65&lt;&gt;"",U65&gt;0,V65=0,G65&gt;0,Options!P65&lt;&gt;"N",Options!Q65&lt;&gt;"N"),1,0)</f>
        <v>1</v>
      </c>
      <c r="Z65" s="29" t="n">
        <f aca="false">IFERROR((K65+L65)/(I65+J65)-1,0)</f>
        <v>0.12</v>
      </c>
      <c r="AA65" s="9" t="str">
        <f aca="false">IF(A65="","",IF(Q65&gt;=Settings!$B$17,"High","Low"))</f>
        <v>High</v>
      </c>
      <c r="AB65" s="9" t="str">
        <f aca="false">IF(A65="","",IF(S65&lt;IF(D65="End of life",Settings!$B$9,IF(D65="Core",T65,MIN(T65,Settings!$B$9))),"Low",IF(S65&gt;IF(D65="Core",Settings!$B$19,Settings!$B$9+Settings!$B$18),"High","Balanced")))</f>
        <v>Balanced</v>
      </c>
      <c r="AC65" s="28" t="str">
        <f aca="false">IF(A65="","",IF(AW65="Y","Held for a campaign",IF(AA65="High",IF(AB65="Low","Selling and short",IF(AB65="High","Selling, heavy","Selling, covered")),IF(AB65="Low","Slow and short",IF(AB65="High","Slow and heavy","Slow, covered")))))</f>
        <v>Selling, covered</v>
      </c>
      <c r="AD65" s="9" t="str">
        <f aca="false">IF(A65="","",TRIM(IF(W65="Y","Broken curve. ","")&amp;IF(X65="Y","Hidden from customers. ","")&amp;IF(Options!O65="Y","Promoted. ","")&amp;IF(Options!I65="Y","Range job. ","")&amp;IF(D65="End of life","End of life. ","")&amp;IF(H65&gt;0,"Order due in "&amp;Options!N65&amp;" weeks. ","")&amp;IF(AW65="Y","Held for "&amp;Options!T65&amp;", starts in "&amp;Options!U65&amp;" weeks. ","")&amp;IF(AX65&gt;0,"Covering for "&amp;AX65&amp;" sold-out line(s). ","")))</f>
        <v/>
      </c>
      <c r="AE65" s="9" t="str">
        <f aca="false">IF(A65="","",IF(AW65="Y",IF(AND(N(Options!V65)&gt;0,G65+H65&gt;N(Options!V65)*1.1),Settings!$A$48,Settings!$A$47),IF(X65="Y",Settings!$A$27,IF(AND(W65="Y",D65&lt;&gt;"End of life",AA65="High"),IF(H65&gt;0,Settings!$A$28,Settings!$A$29),IF(AND(W65="Y",D65="End of life"),Settings!$A$30,IF(AC65="Selling and short",IF(D65="End of life",Settings!$A$31,IF(Options!O65="Y",Settings!$A$32,IF(AX65&gt;0,Settings!$A$33,IF(H65&gt;0,IF(N(Options!N65)&lt;=S65,Settings!$A$34,Settings!$A$35),IF(AND(D65&lt;&gt;"Core",T65&gt;=Settings!$B$9),Settings!$A$36,Settings!$A$37))))),IF(AC65="Selling, heavy",IF(D65="Core",Settings!$A$38,Settings!$A$39),IF(AC65="Selling, covered",Settings!$A$40,IF(AC65="Slow and heavy",IF(Options!I65="Y",Settings!$A$41,IF(D65="End of life",Settings!$A$42,Settings!$A$43)),IF(AC65="Slow and short",IF(W65="Y",Settings!$A$44,Settings!$A$45),Settings!$A$46))))))))))</f>
        <v>Hold</v>
      </c>
      <c r="AF65" s="9" t="str">
        <f aca="false">IF(A65="","",IFERROR(VLOOKUP(AM65,Settings!$A$27:$B$48,2,0),"Assign an owner"))</f>
        <v>Merchandiser</v>
      </c>
      <c r="AG65" s="14" t="n">
        <f aca="false">SUMIFS('SKU Data'!$V$6:$V$505,'SKU Data'!$B$6:$B$505,$A65)</f>
        <v>2371.2</v>
      </c>
      <c r="AH65" s="12" t="n">
        <f aca="false">IF(A65="",0,IF(AW65="Y",IF(N(Options!V65)&gt;0,MAX(0,G65+H65-N(Options!V65)),0),MAX(0,G65+H65-N65*IF(D65="Core",Settings!$B$19,Settings!$B$9))))</f>
        <v>47.04</v>
      </c>
      <c r="AI65" s="14" t="n">
        <f aca="false">IF(OR(A65="",D65="Core"),0,AH65*N(Options!J65)*Settings!$B$21)</f>
        <v>1223.04</v>
      </c>
      <c r="AJ65" s="14" t="n">
        <f aca="false">AH65*N(Options!K65)</f>
        <v>1161.888</v>
      </c>
      <c r="AK65" s="27" t="n">
        <f aca="false">AZ65*(1-AY65)</f>
        <v>0</v>
      </c>
      <c r="AL65" s="27" t="n">
        <f aca="false">AI65+AK65</f>
        <v>1223.04</v>
      </c>
      <c r="AM65" s="9" t="str">
        <f aca="false">IF(A65="","",IF(Options!W65&lt;&gt;"",Options!W65,AE65))</f>
        <v>Hold</v>
      </c>
      <c r="AN65" s="28" t="n">
        <f aca="false">IF(A65="","",COUNTIF($AR$6:$AR$85,"&gt;"&amp;AR65)+1)</f>
        <v>39</v>
      </c>
      <c r="AO65" s="9" t="str">
        <f aca="false">IF(A65="","",Options!D65)</f>
        <v>Chinos</v>
      </c>
      <c r="AP65" s="9" t="str">
        <f aca="false">IF(A65="","",Options!F65)</f>
        <v>Own brand</v>
      </c>
      <c r="AQ65" s="9" t="n">
        <f aca="false">IF(AND(A65&lt;&gt;"",AW65&lt;&gt;"Y",M65&gt;0,COUNTIF($M$6:$M$85,"&gt;"&amp;M65)&lt;Settings!$B$22),1,0)</f>
        <v>0</v>
      </c>
      <c r="AR65" s="28" t="n">
        <f aca="false">IF(A65="",-1,AL65+ROW()/1000000000)</f>
        <v>1223.040000065</v>
      </c>
      <c r="AS65" s="28" t="n">
        <f aca="false">IF(A65="",-1,AK65+ROW()/1000000000)</f>
        <v>6.5E-008</v>
      </c>
      <c r="AT65" s="28" t="n">
        <f aca="false">IF(A65="",-1,AI65+ROW()/1000000000)</f>
        <v>1223.040000065</v>
      </c>
      <c r="AU65" s="25" t="n">
        <f aca="false">SUMIFS('SKU Data'!$W$6:$W$505,'SKU Data'!$B$6:$B$505,$A65)</f>
        <v>13.25</v>
      </c>
      <c r="AV65" s="28" t="n">
        <f aca="false">IF(A65="","",COUNTIFS($C$6:$C$85,C65,$M$6:$M$85,"&gt;"&amp;M65)+1)</f>
        <v>7</v>
      </c>
      <c r="AW65" s="9" t="str">
        <f aca="false">IF(A65="","",IF(AND(Options!T65&lt;&gt;"",N(Options!U65)&gt;0),"Y",""))</f>
        <v/>
      </c>
      <c r="AX65" s="9" t="n">
        <f aca="false">IF(A65="",0,COUNTIFS(Options!$R$6:$R$85,$A65,$V$6:$V$85,"&gt;0"))</f>
        <v>0</v>
      </c>
      <c r="AY65" s="13" t="n">
        <f aca="false">IF(Options!S65&lt;&gt;"",Options!S65,Settings!$B$23)</f>
        <v>0.3</v>
      </c>
      <c r="AZ65" s="14" t="n">
        <f aca="false">SUMIFS('SKU Data'!$U$6:$U$505,'SKU Data'!$B$6:$B$505,$A65)</f>
        <v>0</v>
      </c>
    </row>
    <row r="66" customFormat="false" ht="15" hidden="false" customHeight="false" outlineLevel="0" collapsed="false">
      <c r="A66" s="9" t="str">
        <f aca="false">IF(Options!A66="","",Options!A66)</f>
        <v/>
      </c>
      <c r="B66" s="9" t="str">
        <f aca="false">IF(A66="","",Options!B66&amp;" "&amp;Options!C66)</f>
        <v/>
      </c>
      <c r="C66" s="9" t="str">
        <f aca="false">IF(A66="","",Options!E66)</f>
        <v/>
      </c>
      <c r="D66" s="9" t="str">
        <f aca="false">IF(A66="","",Options!H66)</f>
        <v/>
      </c>
      <c r="E66" s="12" t="n">
        <f aca="false">SUMIFS('SKU Data'!$E$6:$E$505,'SKU Data'!$B$6:$B$505,$A66)</f>
        <v>0</v>
      </c>
      <c r="F66" s="12" t="n">
        <f aca="false">SUMIFS('SKU Data'!$F$6:$F$505,'SKU Data'!$B$6:$B$505,$A66)</f>
        <v>0</v>
      </c>
      <c r="G66" s="12" t="n">
        <f aca="false">SUMIFS('SKU Data'!$G$6:$G$505,'SKU Data'!$B$6:$B$505,$A66)</f>
        <v>0</v>
      </c>
      <c r="H66" s="12" t="n">
        <f aca="false">N(Options!M66)</f>
        <v>0</v>
      </c>
      <c r="I66" s="12" t="n">
        <f aca="false">SUMIFS('SKU Data'!$H$6:$H$505,'SKU Data'!$B$6:$B$505,$A66)</f>
        <v>0</v>
      </c>
      <c r="J66" s="12" t="n">
        <f aca="false">SUMIFS('SKU Data'!$I$6:$I$505,'SKU Data'!$B$6:$B$505,$A66)</f>
        <v>0</v>
      </c>
      <c r="K66" s="12" t="n">
        <f aca="false">SUMIFS('SKU Data'!$J$6:$J$505,'SKU Data'!$B$6:$B$505,$A66)</f>
        <v>0</v>
      </c>
      <c r="L66" s="12" t="n">
        <f aca="false">SUMIFS('SKU Data'!$K$6:$K$505,'SKU Data'!$B$6:$B$505,$A66)</f>
        <v>0</v>
      </c>
      <c r="M66" s="25" t="n">
        <f aca="false">L66*Settings!$B$10+K66*Settings!$B$11+J66*Settings!$B$12+I66*Settings!$B$13</f>
        <v>0</v>
      </c>
      <c r="N66" s="25" t="n">
        <f aca="false">M66*Settings!$B$15</f>
        <v>0</v>
      </c>
      <c r="O66" s="12" t="n">
        <f aca="false">SUMIFS('SKU Data'!$L$6:$L$505,'SKU Data'!$B$6:$B$505,$A66)</f>
        <v>0</v>
      </c>
      <c r="P66" s="12" t="n">
        <f aca="false">SUMIFS('SKU Data'!$M$6:$M$505,'SKU Data'!$B$6:$B$505,$A66)</f>
        <v>0</v>
      </c>
      <c r="Q66" s="21" t="n">
        <f aca="false">IFERROR(O66/(E66-F66),0)</f>
        <v>0</v>
      </c>
      <c r="R66" s="21" t="n">
        <f aca="false">IFERROR(P66/(E66-F66),0)</f>
        <v>0</v>
      </c>
      <c r="S66" s="26" t="n">
        <f aca="false">IF(N66&lt;=0,IF(G66&gt;0,999,0),G66/N66)</f>
        <v>0</v>
      </c>
      <c r="T66" s="25" t="n">
        <f aca="false">IF(N(Options!L66)&gt;0,Options!L66,Settings!$B$20)</f>
        <v>8</v>
      </c>
      <c r="U66" s="9" t="n">
        <f aca="false">COUNTIFS('SKU Data'!$B$6:$B$505,$A66,'SKU Data'!$D$6:$D$505,"Y")</f>
        <v>0</v>
      </c>
      <c r="V66" s="9" t="n">
        <f aca="false">COUNTIFS('SKU Data'!$B$6:$B$505,$A66,'SKU Data'!$D$6:$D$505,"Y",'SKU Data'!$G$6:$G$505,"&lt;=0")</f>
        <v>0</v>
      </c>
      <c r="W66" s="28" t="str">
        <f aca="false">IF(A66="","",IF(AND(V66&gt;0,G66&gt;0),"Y",""))</f>
        <v/>
      </c>
      <c r="X66" s="9" t="str">
        <f aca="false">IF(A66="","",IF(AND(G66&gt;0,OR(Options!P66="N",Options!Q66="N")),"Y",""))</f>
        <v/>
      </c>
      <c r="Y66" s="9" t="n">
        <f aca="false">IF(AND(A66&lt;&gt;"",U66&gt;0,V66=0,G66&gt;0,Options!P66&lt;&gt;"N",Options!Q66&lt;&gt;"N"),1,0)</f>
        <v>0</v>
      </c>
      <c r="Z66" s="29" t="n">
        <f aca="false">IFERROR((K66+L66)/(I66+J66)-1,0)</f>
        <v>0</v>
      </c>
      <c r="AA66" s="9" t="str">
        <f aca="false">IF(A66="","",IF(Q66&gt;=Settings!$B$17,"High","Low"))</f>
        <v/>
      </c>
      <c r="AB66" s="9" t="str">
        <f aca="false">IF(A66="","",IF(S66&lt;IF(D66="End of life",Settings!$B$9,IF(D66="Core",T66,MIN(T66,Settings!$B$9))),"Low",IF(S66&gt;IF(D66="Core",Settings!$B$19,Settings!$B$9+Settings!$B$18),"High","Balanced")))</f>
        <v/>
      </c>
      <c r="AC66" s="28" t="str">
        <f aca="false">IF(A66="","",IF(AW66="Y","Held for a campaign",IF(AA66="High",IF(AB66="Low","Selling and short",IF(AB66="High","Selling, heavy","Selling, covered")),IF(AB66="Low","Slow and short",IF(AB66="High","Slow and heavy","Slow, covered")))))</f>
        <v/>
      </c>
      <c r="AD66" s="9" t="str">
        <f aca="false">IF(A66="","",TRIM(IF(W66="Y","Broken curve. ","")&amp;IF(X66="Y","Hidden from customers. ","")&amp;IF(Options!O66="Y","Promoted. ","")&amp;IF(Options!I66="Y","Range job. ","")&amp;IF(D66="End of life","End of life. ","")&amp;IF(H66&gt;0,"Order due in "&amp;Options!N66&amp;" weeks. ","")&amp;IF(AW66="Y","Held for "&amp;Options!T66&amp;", starts in "&amp;Options!U66&amp;" weeks. ","")&amp;IF(AX66&gt;0,"Covering for "&amp;AX66&amp;" sold-out line(s). ","")))</f>
        <v/>
      </c>
      <c r="AE66" s="9" t="str">
        <f aca="false">IF(A66="","",IF(AW66="Y",IF(AND(N(Options!V66)&gt;0,G66+H66&gt;N(Options!V66)*1.1),Settings!$A$48,Settings!$A$47),IF(X66="Y",Settings!$A$27,IF(AND(W66="Y",D66&lt;&gt;"End of life",AA66="High"),IF(H66&gt;0,Settings!$A$28,Settings!$A$29),IF(AND(W66="Y",D66="End of life"),Settings!$A$30,IF(AC66="Selling and short",IF(D66="End of life",Settings!$A$31,IF(Options!O66="Y",Settings!$A$32,IF(AX66&gt;0,Settings!$A$33,IF(H66&gt;0,IF(N(Options!N66)&lt;=S66,Settings!$A$34,Settings!$A$35),IF(AND(D66&lt;&gt;"Core",T66&gt;=Settings!$B$9),Settings!$A$36,Settings!$A$37))))),IF(AC66="Selling, heavy",IF(D66="Core",Settings!$A$38,Settings!$A$39),IF(AC66="Selling, covered",Settings!$A$40,IF(AC66="Slow and heavy",IF(Options!I66="Y",Settings!$A$41,IF(D66="End of life",Settings!$A$42,Settings!$A$43)),IF(AC66="Slow and short",IF(W66="Y",Settings!$A$44,Settings!$A$45),Settings!$A$46))))))))))</f>
        <v/>
      </c>
      <c r="AF66" s="9" t="str">
        <f aca="false">IF(A66="","",IFERROR(VLOOKUP(AM66,Settings!$A$27:$B$48,2,0),"Assign an owner"))</f>
        <v/>
      </c>
      <c r="AG66" s="14" t="n">
        <f aca="false">SUMIFS('SKU Data'!$V$6:$V$505,'SKU Data'!$B$6:$B$505,$A66)</f>
        <v>0</v>
      </c>
      <c r="AH66" s="12" t="n">
        <f aca="false">IF(A66="",0,IF(AW66="Y",IF(N(Options!V66)&gt;0,MAX(0,G66+H66-N(Options!V66)),0),MAX(0,G66+H66-N66*IF(D66="Core",Settings!$B$19,Settings!$B$9))))</f>
        <v>0</v>
      </c>
      <c r="AI66" s="14" t="n">
        <f aca="false">IF(OR(A66="",D66="Core"),0,AH66*N(Options!J66)*Settings!$B$21)</f>
        <v>0</v>
      </c>
      <c r="AJ66" s="14" t="n">
        <f aca="false">AH66*N(Options!K66)</f>
        <v>0</v>
      </c>
      <c r="AK66" s="27" t="n">
        <f aca="false">AZ66*(1-AY66)</f>
        <v>0</v>
      </c>
      <c r="AL66" s="27" t="n">
        <f aca="false">AI66+AK66</f>
        <v>0</v>
      </c>
      <c r="AM66" s="9" t="str">
        <f aca="false">IF(A66="","",IF(Options!W66&lt;&gt;"",Options!W66,AE66))</f>
        <v/>
      </c>
      <c r="AN66" s="28" t="str">
        <f aca="false">IF(A66="","",COUNTIF($AR$6:$AR$85,"&gt;"&amp;AR66)+1)</f>
        <v/>
      </c>
      <c r="AO66" s="9" t="str">
        <f aca="false">IF(A66="","",Options!D66)</f>
        <v/>
      </c>
      <c r="AP66" s="9" t="str">
        <f aca="false">IF(A66="","",Options!F66)</f>
        <v/>
      </c>
      <c r="AQ66" s="9" t="n">
        <f aca="false">IF(AND(A66&lt;&gt;"",AW66&lt;&gt;"Y",M66&gt;0,COUNTIF($M$6:$M$85,"&gt;"&amp;M66)&lt;Settings!$B$22),1,0)</f>
        <v>0</v>
      </c>
      <c r="AR66" s="28" t="n">
        <f aca="false">IF(A66="",-1,AL66+ROW()/1000000000)</f>
        <v>-1</v>
      </c>
      <c r="AS66" s="28" t="n">
        <f aca="false">IF(A66="",-1,AK66+ROW()/1000000000)</f>
        <v>-1</v>
      </c>
      <c r="AT66" s="28" t="n">
        <f aca="false">IF(A66="",-1,AI66+ROW()/1000000000)</f>
        <v>-1</v>
      </c>
      <c r="AU66" s="25" t="n">
        <f aca="false">SUMIFS('SKU Data'!$W$6:$W$505,'SKU Data'!$B$6:$B$505,$A66)</f>
        <v>0</v>
      </c>
      <c r="AV66" s="28" t="str">
        <f aca="false">IF(A66="","",COUNTIFS($C$6:$C$85,C66,$M$6:$M$85,"&gt;"&amp;M66)+1)</f>
        <v/>
      </c>
      <c r="AW66" s="9" t="str">
        <f aca="false">IF(A66="","",IF(AND(Options!T66&lt;&gt;"",N(Options!U66)&gt;0),"Y",""))</f>
        <v/>
      </c>
      <c r="AX66" s="9" t="n">
        <f aca="false">IF(A66="",0,COUNTIFS(Options!$R$6:$R$85,$A66,$V$6:$V$85,"&gt;0"))</f>
        <v>0</v>
      </c>
      <c r="AY66" s="13" t="n">
        <f aca="false">IF(Options!S66&lt;&gt;"",Options!S66,Settings!$B$23)</f>
        <v>0.3</v>
      </c>
      <c r="AZ66" s="14" t="n">
        <f aca="false">SUMIFS('SKU Data'!$U$6:$U$505,'SKU Data'!$B$6:$B$505,$A66)</f>
        <v>0</v>
      </c>
    </row>
    <row r="67" customFormat="false" ht="15" hidden="false" customHeight="false" outlineLevel="0" collapsed="false">
      <c r="A67" s="9" t="str">
        <f aca="false">IF(Options!A67="","",Options!A67)</f>
        <v/>
      </c>
      <c r="B67" s="9" t="str">
        <f aca="false">IF(A67="","",Options!B67&amp;" "&amp;Options!C67)</f>
        <v/>
      </c>
      <c r="C67" s="9" t="str">
        <f aca="false">IF(A67="","",Options!E67)</f>
        <v/>
      </c>
      <c r="D67" s="9" t="str">
        <f aca="false">IF(A67="","",Options!H67)</f>
        <v/>
      </c>
      <c r="E67" s="12" t="n">
        <f aca="false">SUMIFS('SKU Data'!$E$6:$E$505,'SKU Data'!$B$6:$B$505,$A67)</f>
        <v>0</v>
      </c>
      <c r="F67" s="12" t="n">
        <f aca="false">SUMIFS('SKU Data'!$F$6:$F$505,'SKU Data'!$B$6:$B$505,$A67)</f>
        <v>0</v>
      </c>
      <c r="G67" s="12" t="n">
        <f aca="false">SUMIFS('SKU Data'!$G$6:$G$505,'SKU Data'!$B$6:$B$505,$A67)</f>
        <v>0</v>
      </c>
      <c r="H67" s="12" t="n">
        <f aca="false">N(Options!M67)</f>
        <v>0</v>
      </c>
      <c r="I67" s="12" t="n">
        <f aca="false">SUMIFS('SKU Data'!$H$6:$H$505,'SKU Data'!$B$6:$B$505,$A67)</f>
        <v>0</v>
      </c>
      <c r="J67" s="12" t="n">
        <f aca="false">SUMIFS('SKU Data'!$I$6:$I$505,'SKU Data'!$B$6:$B$505,$A67)</f>
        <v>0</v>
      </c>
      <c r="K67" s="12" t="n">
        <f aca="false">SUMIFS('SKU Data'!$J$6:$J$505,'SKU Data'!$B$6:$B$505,$A67)</f>
        <v>0</v>
      </c>
      <c r="L67" s="12" t="n">
        <f aca="false">SUMIFS('SKU Data'!$K$6:$K$505,'SKU Data'!$B$6:$B$505,$A67)</f>
        <v>0</v>
      </c>
      <c r="M67" s="25" t="n">
        <f aca="false">L67*Settings!$B$10+K67*Settings!$B$11+J67*Settings!$B$12+I67*Settings!$B$13</f>
        <v>0</v>
      </c>
      <c r="N67" s="25" t="n">
        <f aca="false">M67*Settings!$B$15</f>
        <v>0</v>
      </c>
      <c r="O67" s="12" t="n">
        <f aca="false">SUMIFS('SKU Data'!$L$6:$L$505,'SKU Data'!$B$6:$B$505,$A67)</f>
        <v>0</v>
      </c>
      <c r="P67" s="12" t="n">
        <f aca="false">SUMIFS('SKU Data'!$M$6:$M$505,'SKU Data'!$B$6:$B$505,$A67)</f>
        <v>0</v>
      </c>
      <c r="Q67" s="21" t="n">
        <f aca="false">IFERROR(O67/(E67-F67),0)</f>
        <v>0</v>
      </c>
      <c r="R67" s="21" t="n">
        <f aca="false">IFERROR(P67/(E67-F67),0)</f>
        <v>0</v>
      </c>
      <c r="S67" s="26" t="n">
        <f aca="false">IF(N67&lt;=0,IF(G67&gt;0,999,0),G67/N67)</f>
        <v>0</v>
      </c>
      <c r="T67" s="25" t="n">
        <f aca="false">IF(N(Options!L67)&gt;0,Options!L67,Settings!$B$20)</f>
        <v>8</v>
      </c>
      <c r="U67" s="9" t="n">
        <f aca="false">COUNTIFS('SKU Data'!$B$6:$B$505,$A67,'SKU Data'!$D$6:$D$505,"Y")</f>
        <v>0</v>
      </c>
      <c r="V67" s="9" t="n">
        <f aca="false">COUNTIFS('SKU Data'!$B$6:$B$505,$A67,'SKU Data'!$D$6:$D$505,"Y",'SKU Data'!$G$6:$G$505,"&lt;=0")</f>
        <v>0</v>
      </c>
      <c r="W67" s="28" t="str">
        <f aca="false">IF(A67="","",IF(AND(V67&gt;0,G67&gt;0),"Y",""))</f>
        <v/>
      </c>
      <c r="X67" s="9" t="str">
        <f aca="false">IF(A67="","",IF(AND(G67&gt;0,OR(Options!P67="N",Options!Q67="N")),"Y",""))</f>
        <v/>
      </c>
      <c r="Y67" s="9" t="n">
        <f aca="false">IF(AND(A67&lt;&gt;"",U67&gt;0,V67=0,G67&gt;0,Options!P67&lt;&gt;"N",Options!Q67&lt;&gt;"N"),1,0)</f>
        <v>0</v>
      </c>
      <c r="Z67" s="29" t="n">
        <f aca="false">IFERROR((K67+L67)/(I67+J67)-1,0)</f>
        <v>0</v>
      </c>
      <c r="AA67" s="9" t="str">
        <f aca="false">IF(A67="","",IF(Q67&gt;=Settings!$B$17,"High","Low"))</f>
        <v/>
      </c>
      <c r="AB67" s="9" t="str">
        <f aca="false">IF(A67="","",IF(S67&lt;IF(D67="End of life",Settings!$B$9,IF(D67="Core",T67,MIN(T67,Settings!$B$9))),"Low",IF(S67&gt;IF(D67="Core",Settings!$B$19,Settings!$B$9+Settings!$B$18),"High","Balanced")))</f>
        <v/>
      </c>
      <c r="AC67" s="28" t="str">
        <f aca="false">IF(A67="","",IF(AW67="Y","Held for a campaign",IF(AA67="High",IF(AB67="Low","Selling and short",IF(AB67="High","Selling, heavy","Selling, covered")),IF(AB67="Low","Slow and short",IF(AB67="High","Slow and heavy","Slow, covered")))))</f>
        <v/>
      </c>
      <c r="AD67" s="9" t="str">
        <f aca="false">IF(A67="","",TRIM(IF(W67="Y","Broken curve. ","")&amp;IF(X67="Y","Hidden from customers. ","")&amp;IF(Options!O67="Y","Promoted. ","")&amp;IF(Options!I67="Y","Range job. ","")&amp;IF(D67="End of life","End of life. ","")&amp;IF(H67&gt;0,"Order due in "&amp;Options!N67&amp;" weeks. ","")&amp;IF(AW67="Y","Held for "&amp;Options!T67&amp;", starts in "&amp;Options!U67&amp;" weeks. ","")&amp;IF(AX67&gt;0,"Covering for "&amp;AX67&amp;" sold-out line(s). ","")))</f>
        <v/>
      </c>
      <c r="AE67" s="9" t="str">
        <f aca="false">IF(A67="","",IF(AW67="Y",IF(AND(N(Options!V67)&gt;0,G67+H67&gt;N(Options!V67)*1.1),Settings!$A$48,Settings!$A$47),IF(X67="Y",Settings!$A$27,IF(AND(W67="Y",D67&lt;&gt;"End of life",AA67="High"),IF(H67&gt;0,Settings!$A$28,Settings!$A$29),IF(AND(W67="Y",D67="End of life"),Settings!$A$30,IF(AC67="Selling and short",IF(D67="End of life",Settings!$A$31,IF(Options!O67="Y",Settings!$A$32,IF(AX67&gt;0,Settings!$A$33,IF(H67&gt;0,IF(N(Options!N67)&lt;=S67,Settings!$A$34,Settings!$A$35),IF(AND(D67&lt;&gt;"Core",T67&gt;=Settings!$B$9),Settings!$A$36,Settings!$A$37))))),IF(AC67="Selling, heavy",IF(D67="Core",Settings!$A$38,Settings!$A$39),IF(AC67="Selling, covered",Settings!$A$40,IF(AC67="Slow and heavy",IF(Options!I67="Y",Settings!$A$41,IF(D67="End of life",Settings!$A$42,Settings!$A$43)),IF(AC67="Slow and short",IF(W67="Y",Settings!$A$44,Settings!$A$45),Settings!$A$46))))))))))</f>
        <v/>
      </c>
      <c r="AF67" s="9" t="str">
        <f aca="false">IF(A67="","",IFERROR(VLOOKUP(AM67,Settings!$A$27:$B$48,2,0),"Assign an owner"))</f>
        <v/>
      </c>
      <c r="AG67" s="14" t="n">
        <f aca="false">SUMIFS('SKU Data'!$V$6:$V$505,'SKU Data'!$B$6:$B$505,$A67)</f>
        <v>0</v>
      </c>
      <c r="AH67" s="12" t="n">
        <f aca="false">IF(A67="",0,IF(AW67="Y",IF(N(Options!V67)&gt;0,MAX(0,G67+H67-N(Options!V67)),0),MAX(0,G67+H67-N67*IF(D67="Core",Settings!$B$19,Settings!$B$9))))</f>
        <v>0</v>
      </c>
      <c r="AI67" s="14" t="n">
        <f aca="false">IF(OR(A67="",D67="Core"),0,AH67*N(Options!J67)*Settings!$B$21)</f>
        <v>0</v>
      </c>
      <c r="AJ67" s="14" t="n">
        <f aca="false">AH67*N(Options!K67)</f>
        <v>0</v>
      </c>
      <c r="AK67" s="27" t="n">
        <f aca="false">AZ67*(1-AY67)</f>
        <v>0</v>
      </c>
      <c r="AL67" s="27" t="n">
        <f aca="false">AI67+AK67</f>
        <v>0</v>
      </c>
      <c r="AM67" s="9" t="str">
        <f aca="false">IF(A67="","",IF(Options!W67&lt;&gt;"",Options!W67,AE67))</f>
        <v/>
      </c>
      <c r="AN67" s="28" t="str">
        <f aca="false">IF(A67="","",COUNTIF($AR$6:$AR$85,"&gt;"&amp;AR67)+1)</f>
        <v/>
      </c>
      <c r="AO67" s="9" t="str">
        <f aca="false">IF(A67="","",Options!D67)</f>
        <v/>
      </c>
      <c r="AP67" s="9" t="str">
        <f aca="false">IF(A67="","",Options!F67)</f>
        <v/>
      </c>
      <c r="AQ67" s="9" t="n">
        <f aca="false">IF(AND(A67&lt;&gt;"",AW67&lt;&gt;"Y",M67&gt;0,COUNTIF($M$6:$M$85,"&gt;"&amp;M67)&lt;Settings!$B$22),1,0)</f>
        <v>0</v>
      </c>
      <c r="AR67" s="28" t="n">
        <f aca="false">IF(A67="",-1,AL67+ROW()/1000000000)</f>
        <v>-1</v>
      </c>
      <c r="AS67" s="28" t="n">
        <f aca="false">IF(A67="",-1,AK67+ROW()/1000000000)</f>
        <v>-1</v>
      </c>
      <c r="AT67" s="28" t="n">
        <f aca="false">IF(A67="",-1,AI67+ROW()/1000000000)</f>
        <v>-1</v>
      </c>
      <c r="AU67" s="25" t="n">
        <f aca="false">SUMIFS('SKU Data'!$W$6:$W$505,'SKU Data'!$B$6:$B$505,$A67)</f>
        <v>0</v>
      </c>
      <c r="AV67" s="28" t="str">
        <f aca="false">IF(A67="","",COUNTIFS($C$6:$C$85,C67,$M$6:$M$85,"&gt;"&amp;M67)+1)</f>
        <v/>
      </c>
      <c r="AW67" s="9" t="str">
        <f aca="false">IF(A67="","",IF(AND(Options!T67&lt;&gt;"",N(Options!U67)&gt;0),"Y",""))</f>
        <v/>
      </c>
      <c r="AX67" s="9" t="n">
        <f aca="false">IF(A67="",0,COUNTIFS(Options!$R$6:$R$85,$A67,$V$6:$V$85,"&gt;0"))</f>
        <v>0</v>
      </c>
      <c r="AY67" s="13" t="n">
        <f aca="false">IF(Options!S67&lt;&gt;"",Options!S67,Settings!$B$23)</f>
        <v>0.3</v>
      </c>
      <c r="AZ67" s="14" t="n">
        <f aca="false">SUMIFS('SKU Data'!$U$6:$U$505,'SKU Data'!$B$6:$B$505,$A67)</f>
        <v>0</v>
      </c>
    </row>
    <row r="68" customFormat="false" ht="15" hidden="false" customHeight="false" outlineLevel="0" collapsed="false">
      <c r="A68" s="9" t="str">
        <f aca="false">IF(Options!A68="","",Options!A68)</f>
        <v/>
      </c>
      <c r="B68" s="9" t="str">
        <f aca="false">IF(A68="","",Options!B68&amp;" "&amp;Options!C68)</f>
        <v/>
      </c>
      <c r="C68" s="9" t="str">
        <f aca="false">IF(A68="","",Options!E68)</f>
        <v/>
      </c>
      <c r="D68" s="9" t="str">
        <f aca="false">IF(A68="","",Options!H68)</f>
        <v/>
      </c>
      <c r="E68" s="12" t="n">
        <f aca="false">SUMIFS('SKU Data'!$E$6:$E$505,'SKU Data'!$B$6:$B$505,$A68)</f>
        <v>0</v>
      </c>
      <c r="F68" s="12" t="n">
        <f aca="false">SUMIFS('SKU Data'!$F$6:$F$505,'SKU Data'!$B$6:$B$505,$A68)</f>
        <v>0</v>
      </c>
      <c r="G68" s="12" t="n">
        <f aca="false">SUMIFS('SKU Data'!$G$6:$G$505,'SKU Data'!$B$6:$B$505,$A68)</f>
        <v>0</v>
      </c>
      <c r="H68" s="12" t="n">
        <f aca="false">N(Options!M68)</f>
        <v>0</v>
      </c>
      <c r="I68" s="12" t="n">
        <f aca="false">SUMIFS('SKU Data'!$H$6:$H$505,'SKU Data'!$B$6:$B$505,$A68)</f>
        <v>0</v>
      </c>
      <c r="J68" s="12" t="n">
        <f aca="false">SUMIFS('SKU Data'!$I$6:$I$505,'SKU Data'!$B$6:$B$505,$A68)</f>
        <v>0</v>
      </c>
      <c r="K68" s="12" t="n">
        <f aca="false">SUMIFS('SKU Data'!$J$6:$J$505,'SKU Data'!$B$6:$B$505,$A68)</f>
        <v>0</v>
      </c>
      <c r="L68" s="12" t="n">
        <f aca="false">SUMIFS('SKU Data'!$K$6:$K$505,'SKU Data'!$B$6:$B$505,$A68)</f>
        <v>0</v>
      </c>
      <c r="M68" s="25" t="n">
        <f aca="false">L68*Settings!$B$10+K68*Settings!$B$11+J68*Settings!$B$12+I68*Settings!$B$13</f>
        <v>0</v>
      </c>
      <c r="N68" s="25" t="n">
        <f aca="false">M68*Settings!$B$15</f>
        <v>0</v>
      </c>
      <c r="O68" s="12" t="n">
        <f aca="false">SUMIFS('SKU Data'!$L$6:$L$505,'SKU Data'!$B$6:$B$505,$A68)</f>
        <v>0</v>
      </c>
      <c r="P68" s="12" t="n">
        <f aca="false">SUMIFS('SKU Data'!$M$6:$M$505,'SKU Data'!$B$6:$B$505,$A68)</f>
        <v>0</v>
      </c>
      <c r="Q68" s="21" t="n">
        <f aca="false">IFERROR(O68/(E68-F68),0)</f>
        <v>0</v>
      </c>
      <c r="R68" s="21" t="n">
        <f aca="false">IFERROR(P68/(E68-F68),0)</f>
        <v>0</v>
      </c>
      <c r="S68" s="26" t="n">
        <f aca="false">IF(N68&lt;=0,IF(G68&gt;0,999,0),G68/N68)</f>
        <v>0</v>
      </c>
      <c r="T68" s="25" t="n">
        <f aca="false">IF(N(Options!L68)&gt;0,Options!L68,Settings!$B$20)</f>
        <v>8</v>
      </c>
      <c r="U68" s="9" t="n">
        <f aca="false">COUNTIFS('SKU Data'!$B$6:$B$505,$A68,'SKU Data'!$D$6:$D$505,"Y")</f>
        <v>0</v>
      </c>
      <c r="V68" s="9" t="n">
        <f aca="false">COUNTIFS('SKU Data'!$B$6:$B$505,$A68,'SKU Data'!$D$6:$D$505,"Y",'SKU Data'!$G$6:$G$505,"&lt;=0")</f>
        <v>0</v>
      </c>
      <c r="W68" s="28" t="str">
        <f aca="false">IF(A68="","",IF(AND(V68&gt;0,G68&gt;0),"Y",""))</f>
        <v/>
      </c>
      <c r="X68" s="9" t="str">
        <f aca="false">IF(A68="","",IF(AND(G68&gt;0,OR(Options!P68="N",Options!Q68="N")),"Y",""))</f>
        <v/>
      </c>
      <c r="Y68" s="9" t="n">
        <f aca="false">IF(AND(A68&lt;&gt;"",U68&gt;0,V68=0,G68&gt;0,Options!P68&lt;&gt;"N",Options!Q68&lt;&gt;"N"),1,0)</f>
        <v>0</v>
      </c>
      <c r="Z68" s="29" t="n">
        <f aca="false">IFERROR((K68+L68)/(I68+J68)-1,0)</f>
        <v>0</v>
      </c>
      <c r="AA68" s="9" t="str">
        <f aca="false">IF(A68="","",IF(Q68&gt;=Settings!$B$17,"High","Low"))</f>
        <v/>
      </c>
      <c r="AB68" s="9" t="str">
        <f aca="false">IF(A68="","",IF(S68&lt;IF(D68="End of life",Settings!$B$9,IF(D68="Core",T68,MIN(T68,Settings!$B$9))),"Low",IF(S68&gt;IF(D68="Core",Settings!$B$19,Settings!$B$9+Settings!$B$18),"High","Balanced")))</f>
        <v/>
      </c>
      <c r="AC68" s="28" t="str">
        <f aca="false">IF(A68="","",IF(AW68="Y","Held for a campaign",IF(AA68="High",IF(AB68="Low","Selling and short",IF(AB68="High","Selling, heavy","Selling, covered")),IF(AB68="Low","Slow and short",IF(AB68="High","Slow and heavy","Slow, covered")))))</f>
        <v/>
      </c>
      <c r="AD68" s="9" t="str">
        <f aca="false">IF(A68="","",TRIM(IF(W68="Y","Broken curve. ","")&amp;IF(X68="Y","Hidden from customers. ","")&amp;IF(Options!O68="Y","Promoted. ","")&amp;IF(Options!I68="Y","Range job. ","")&amp;IF(D68="End of life","End of life. ","")&amp;IF(H68&gt;0,"Order due in "&amp;Options!N68&amp;" weeks. ","")&amp;IF(AW68="Y","Held for "&amp;Options!T68&amp;", starts in "&amp;Options!U68&amp;" weeks. ","")&amp;IF(AX68&gt;0,"Covering for "&amp;AX68&amp;" sold-out line(s). ","")))</f>
        <v/>
      </c>
      <c r="AE68" s="9" t="str">
        <f aca="false">IF(A68="","",IF(AW68="Y",IF(AND(N(Options!V68)&gt;0,G68+H68&gt;N(Options!V68)*1.1),Settings!$A$48,Settings!$A$47),IF(X68="Y",Settings!$A$27,IF(AND(W68="Y",D68&lt;&gt;"End of life",AA68="High"),IF(H68&gt;0,Settings!$A$28,Settings!$A$29),IF(AND(W68="Y",D68="End of life"),Settings!$A$30,IF(AC68="Selling and short",IF(D68="End of life",Settings!$A$31,IF(Options!O68="Y",Settings!$A$32,IF(AX68&gt;0,Settings!$A$33,IF(H68&gt;0,IF(N(Options!N68)&lt;=S68,Settings!$A$34,Settings!$A$35),IF(AND(D68&lt;&gt;"Core",T68&gt;=Settings!$B$9),Settings!$A$36,Settings!$A$37))))),IF(AC68="Selling, heavy",IF(D68="Core",Settings!$A$38,Settings!$A$39),IF(AC68="Selling, covered",Settings!$A$40,IF(AC68="Slow and heavy",IF(Options!I68="Y",Settings!$A$41,IF(D68="End of life",Settings!$A$42,Settings!$A$43)),IF(AC68="Slow and short",IF(W68="Y",Settings!$A$44,Settings!$A$45),Settings!$A$46))))))))))</f>
        <v/>
      </c>
      <c r="AF68" s="9" t="str">
        <f aca="false">IF(A68="","",IFERROR(VLOOKUP(AM68,Settings!$A$27:$B$48,2,0),"Assign an owner"))</f>
        <v/>
      </c>
      <c r="AG68" s="14" t="n">
        <f aca="false">SUMIFS('SKU Data'!$V$6:$V$505,'SKU Data'!$B$6:$B$505,$A68)</f>
        <v>0</v>
      </c>
      <c r="AH68" s="12" t="n">
        <f aca="false">IF(A68="",0,IF(AW68="Y",IF(N(Options!V68)&gt;0,MAX(0,G68+H68-N(Options!V68)),0),MAX(0,G68+H68-N68*IF(D68="Core",Settings!$B$19,Settings!$B$9))))</f>
        <v>0</v>
      </c>
      <c r="AI68" s="14" t="n">
        <f aca="false">IF(OR(A68="",D68="Core"),0,AH68*N(Options!J68)*Settings!$B$21)</f>
        <v>0</v>
      </c>
      <c r="AJ68" s="14" t="n">
        <f aca="false">AH68*N(Options!K68)</f>
        <v>0</v>
      </c>
      <c r="AK68" s="27" t="n">
        <f aca="false">AZ68*(1-AY68)</f>
        <v>0</v>
      </c>
      <c r="AL68" s="27" t="n">
        <f aca="false">AI68+AK68</f>
        <v>0</v>
      </c>
      <c r="AM68" s="9" t="str">
        <f aca="false">IF(A68="","",IF(Options!W68&lt;&gt;"",Options!W68,AE68))</f>
        <v/>
      </c>
      <c r="AN68" s="28" t="str">
        <f aca="false">IF(A68="","",COUNTIF($AR$6:$AR$85,"&gt;"&amp;AR68)+1)</f>
        <v/>
      </c>
      <c r="AO68" s="9" t="str">
        <f aca="false">IF(A68="","",Options!D68)</f>
        <v/>
      </c>
      <c r="AP68" s="9" t="str">
        <f aca="false">IF(A68="","",Options!F68)</f>
        <v/>
      </c>
      <c r="AQ68" s="9" t="n">
        <f aca="false">IF(AND(A68&lt;&gt;"",AW68&lt;&gt;"Y",M68&gt;0,COUNTIF($M$6:$M$85,"&gt;"&amp;M68)&lt;Settings!$B$22),1,0)</f>
        <v>0</v>
      </c>
      <c r="AR68" s="28" t="n">
        <f aca="false">IF(A68="",-1,AL68+ROW()/1000000000)</f>
        <v>-1</v>
      </c>
      <c r="AS68" s="28" t="n">
        <f aca="false">IF(A68="",-1,AK68+ROW()/1000000000)</f>
        <v>-1</v>
      </c>
      <c r="AT68" s="28" t="n">
        <f aca="false">IF(A68="",-1,AI68+ROW()/1000000000)</f>
        <v>-1</v>
      </c>
      <c r="AU68" s="25" t="n">
        <f aca="false">SUMIFS('SKU Data'!$W$6:$W$505,'SKU Data'!$B$6:$B$505,$A68)</f>
        <v>0</v>
      </c>
      <c r="AV68" s="28" t="str">
        <f aca="false">IF(A68="","",COUNTIFS($C$6:$C$85,C68,$M$6:$M$85,"&gt;"&amp;M68)+1)</f>
        <v/>
      </c>
      <c r="AW68" s="9" t="str">
        <f aca="false">IF(A68="","",IF(AND(Options!T68&lt;&gt;"",N(Options!U68)&gt;0),"Y",""))</f>
        <v/>
      </c>
      <c r="AX68" s="9" t="n">
        <f aca="false">IF(A68="",0,COUNTIFS(Options!$R$6:$R$85,$A68,$V$6:$V$85,"&gt;0"))</f>
        <v>0</v>
      </c>
      <c r="AY68" s="13" t="n">
        <f aca="false">IF(Options!S68&lt;&gt;"",Options!S68,Settings!$B$23)</f>
        <v>0.3</v>
      </c>
      <c r="AZ68" s="14" t="n">
        <f aca="false">SUMIFS('SKU Data'!$U$6:$U$505,'SKU Data'!$B$6:$B$505,$A68)</f>
        <v>0</v>
      </c>
    </row>
    <row r="69" customFormat="false" ht="15" hidden="false" customHeight="false" outlineLevel="0" collapsed="false">
      <c r="A69" s="9" t="str">
        <f aca="false">IF(Options!A69="","",Options!A69)</f>
        <v/>
      </c>
      <c r="B69" s="9" t="str">
        <f aca="false">IF(A69="","",Options!B69&amp;" "&amp;Options!C69)</f>
        <v/>
      </c>
      <c r="C69" s="9" t="str">
        <f aca="false">IF(A69="","",Options!E69)</f>
        <v/>
      </c>
      <c r="D69" s="9" t="str">
        <f aca="false">IF(A69="","",Options!H69)</f>
        <v/>
      </c>
      <c r="E69" s="12" t="n">
        <f aca="false">SUMIFS('SKU Data'!$E$6:$E$505,'SKU Data'!$B$6:$B$505,$A69)</f>
        <v>0</v>
      </c>
      <c r="F69" s="12" t="n">
        <f aca="false">SUMIFS('SKU Data'!$F$6:$F$505,'SKU Data'!$B$6:$B$505,$A69)</f>
        <v>0</v>
      </c>
      <c r="G69" s="12" t="n">
        <f aca="false">SUMIFS('SKU Data'!$G$6:$G$505,'SKU Data'!$B$6:$B$505,$A69)</f>
        <v>0</v>
      </c>
      <c r="H69" s="12" t="n">
        <f aca="false">N(Options!M69)</f>
        <v>0</v>
      </c>
      <c r="I69" s="12" t="n">
        <f aca="false">SUMIFS('SKU Data'!$H$6:$H$505,'SKU Data'!$B$6:$B$505,$A69)</f>
        <v>0</v>
      </c>
      <c r="J69" s="12" t="n">
        <f aca="false">SUMIFS('SKU Data'!$I$6:$I$505,'SKU Data'!$B$6:$B$505,$A69)</f>
        <v>0</v>
      </c>
      <c r="K69" s="12" t="n">
        <f aca="false">SUMIFS('SKU Data'!$J$6:$J$505,'SKU Data'!$B$6:$B$505,$A69)</f>
        <v>0</v>
      </c>
      <c r="L69" s="12" t="n">
        <f aca="false">SUMIFS('SKU Data'!$K$6:$K$505,'SKU Data'!$B$6:$B$505,$A69)</f>
        <v>0</v>
      </c>
      <c r="M69" s="25" t="n">
        <f aca="false">L69*Settings!$B$10+K69*Settings!$B$11+J69*Settings!$B$12+I69*Settings!$B$13</f>
        <v>0</v>
      </c>
      <c r="N69" s="25" t="n">
        <f aca="false">M69*Settings!$B$15</f>
        <v>0</v>
      </c>
      <c r="O69" s="12" t="n">
        <f aca="false">SUMIFS('SKU Data'!$L$6:$L$505,'SKU Data'!$B$6:$B$505,$A69)</f>
        <v>0</v>
      </c>
      <c r="P69" s="12" t="n">
        <f aca="false">SUMIFS('SKU Data'!$M$6:$M$505,'SKU Data'!$B$6:$B$505,$A69)</f>
        <v>0</v>
      </c>
      <c r="Q69" s="21" t="n">
        <f aca="false">IFERROR(O69/(E69-F69),0)</f>
        <v>0</v>
      </c>
      <c r="R69" s="21" t="n">
        <f aca="false">IFERROR(P69/(E69-F69),0)</f>
        <v>0</v>
      </c>
      <c r="S69" s="26" t="n">
        <f aca="false">IF(N69&lt;=0,IF(G69&gt;0,999,0),G69/N69)</f>
        <v>0</v>
      </c>
      <c r="T69" s="25" t="n">
        <f aca="false">IF(N(Options!L69)&gt;0,Options!L69,Settings!$B$20)</f>
        <v>8</v>
      </c>
      <c r="U69" s="9" t="n">
        <f aca="false">COUNTIFS('SKU Data'!$B$6:$B$505,$A69,'SKU Data'!$D$6:$D$505,"Y")</f>
        <v>0</v>
      </c>
      <c r="V69" s="9" t="n">
        <f aca="false">COUNTIFS('SKU Data'!$B$6:$B$505,$A69,'SKU Data'!$D$6:$D$505,"Y",'SKU Data'!$G$6:$G$505,"&lt;=0")</f>
        <v>0</v>
      </c>
      <c r="W69" s="28" t="str">
        <f aca="false">IF(A69="","",IF(AND(V69&gt;0,G69&gt;0),"Y",""))</f>
        <v/>
      </c>
      <c r="X69" s="9" t="str">
        <f aca="false">IF(A69="","",IF(AND(G69&gt;0,OR(Options!P69="N",Options!Q69="N")),"Y",""))</f>
        <v/>
      </c>
      <c r="Y69" s="9" t="n">
        <f aca="false">IF(AND(A69&lt;&gt;"",U69&gt;0,V69=0,G69&gt;0,Options!P69&lt;&gt;"N",Options!Q69&lt;&gt;"N"),1,0)</f>
        <v>0</v>
      </c>
      <c r="Z69" s="29" t="n">
        <f aca="false">IFERROR((K69+L69)/(I69+J69)-1,0)</f>
        <v>0</v>
      </c>
      <c r="AA69" s="9" t="str">
        <f aca="false">IF(A69="","",IF(Q69&gt;=Settings!$B$17,"High","Low"))</f>
        <v/>
      </c>
      <c r="AB69" s="9" t="str">
        <f aca="false">IF(A69="","",IF(S69&lt;IF(D69="End of life",Settings!$B$9,IF(D69="Core",T69,MIN(T69,Settings!$B$9))),"Low",IF(S69&gt;IF(D69="Core",Settings!$B$19,Settings!$B$9+Settings!$B$18),"High","Balanced")))</f>
        <v/>
      </c>
      <c r="AC69" s="28" t="str">
        <f aca="false">IF(A69="","",IF(AW69="Y","Held for a campaign",IF(AA69="High",IF(AB69="Low","Selling and short",IF(AB69="High","Selling, heavy","Selling, covered")),IF(AB69="Low","Slow and short",IF(AB69="High","Slow and heavy","Slow, covered")))))</f>
        <v/>
      </c>
      <c r="AD69" s="9" t="str">
        <f aca="false">IF(A69="","",TRIM(IF(W69="Y","Broken curve. ","")&amp;IF(X69="Y","Hidden from customers. ","")&amp;IF(Options!O69="Y","Promoted. ","")&amp;IF(Options!I69="Y","Range job. ","")&amp;IF(D69="End of life","End of life. ","")&amp;IF(H69&gt;0,"Order due in "&amp;Options!N69&amp;" weeks. ","")&amp;IF(AW69="Y","Held for "&amp;Options!T69&amp;", starts in "&amp;Options!U69&amp;" weeks. ","")&amp;IF(AX69&gt;0,"Covering for "&amp;AX69&amp;" sold-out line(s). ","")))</f>
        <v/>
      </c>
      <c r="AE69" s="9" t="str">
        <f aca="false">IF(A69="","",IF(AW69="Y",IF(AND(N(Options!V69)&gt;0,G69+H69&gt;N(Options!V69)*1.1),Settings!$A$48,Settings!$A$47),IF(X69="Y",Settings!$A$27,IF(AND(W69="Y",D69&lt;&gt;"End of life",AA69="High"),IF(H69&gt;0,Settings!$A$28,Settings!$A$29),IF(AND(W69="Y",D69="End of life"),Settings!$A$30,IF(AC69="Selling and short",IF(D69="End of life",Settings!$A$31,IF(Options!O69="Y",Settings!$A$32,IF(AX69&gt;0,Settings!$A$33,IF(H69&gt;0,IF(N(Options!N69)&lt;=S69,Settings!$A$34,Settings!$A$35),IF(AND(D69&lt;&gt;"Core",T69&gt;=Settings!$B$9),Settings!$A$36,Settings!$A$37))))),IF(AC69="Selling, heavy",IF(D69="Core",Settings!$A$38,Settings!$A$39),IF(AC69="Selling, covered",Settings!$A$40,IF(AC69="Slow and heavy",IF(Options!I69="Y",Settings!$A$41,IF(D69="End of life",Settings!$A$42,Settings!$A$43)),IF(AC69="Slow and short",IF(W69="Y",Settings!$A$44,Settings!$A$45),Settings!$A$46))))))))))</f>
        <v/>
      </c>
      <c r="AF69" s="9" t="str">
        <f aca="false">IF(A69="","",IFERROR(VLOOKUP(AM69,Settings!$A$27:$B$48,2,0),"Assign an owner"))</f>
        <v/>
      </c>
      <c r="AG69" s="14" t="n">
        <f aca="false">SUMIFS('SKU Data'!$V$6:$V$505,'SKU Data'!$B$6:$B$505,$A69)</f>
        <v>0</v>
      </c>
      <c r="AH69" s="12" t="n">
        <f aca="false">IF(A69="",0,IF(AW69="Y",IF(N(Options!V69)&gt;0,MAX(0,G69+H69-N(Options!V69)),0),MAX(0,G69+H69-N69*IF(D69="Core",Settings!$B$19,Settings!$B$9))))</f>
        <v>0</v>
      </c>
      <c r="AI69" s="14" t="n">
        <f aca="false">IF(OR(A69="",D69="Core"),0,AH69*N(Options!J69)*Settings!$B$21)</f>
        <v>0</v>
      </c>
      <c r="AJ69" s="14" t="n">
        <f aca="false">AH69*N(Options!K69)</f>
        <v>0</v>
      </c>
      <c r="AK69" s="27" t="n">
        <f aca="false">AZ69*(1-AY69)</f>
        <v>0</v>
      </c>
      <c r="AL69" s="27" t="n">
        <f aca="false">AI69+AK69</f>
        <v>0</v>
      </c>
      <c r="AM69" s="9" t="str">
        <f aca="false">IF(A69="","",IF(Options!W69&lt;&gt;"",Options!W69,AE69))</f>
        <v/>
      </c>
      <c r="AN69" s="28" t="str">
        <f aca="false">IF(A69="","",COUNTIF($AR$6:$AR$85,"&gt;"&amp;AR69)+1)</f>
        <v/>
      </c>
      <c r="AO69" s="9" t="str">
        <f aca="false">IF(A69="","",Options!D69)</f>
        <v/>
      </c>
      <c r="AP69" s="9" t="str">
        <f aca="false">IF(A69="","",Options!F69)</f>
        <v/>
      </c>
      <c r="AQ69" s="9" t="n">
        <f aca="false">IF(AND(A69&lt;&gt;"",AW69&lt;&gt;"Y",M69&gt;0,COUNTIF($M$6:$M$85,"&gt;"&amp;M69)&lt;Settings!$B$22),1,0)</f>
        <v>0</v>
      </c>
      <c r="AR69" s="28" t="n">
        <f aca="false">IF(A69="",-1,AL69+ROW()/1000000000)</f>
        <v>-1</v>
      </c>
      <c r="AS69" s="28" t="n">
        <f aca="false">IF(A69="",-1,AK69+ROW()/1000000000)</f>
        <v>-1</v>
      </c>
      <c r="AT69" s="28" t="n">
        <f aca="false">IF(A69="",-1,AI69+ROW()/1000000000)</f>
        <v>-1</v>
      </c>
      <c r="AU69" s="25" t="n">
        <f aca="false">SUMIFS('SKU Data'!$W$6:$W$505,'SKU Data'!$B$6:$B$505,$A69)</f>
        <v>0</v>
      </c>
      <c r="AV69" s="28" t="str">
        <f aca="false">IF(A69="","",COUNTIFS($C$6:$C$85,C69,$M$6:$M$85,"&gt;"&amp;M69)+1)</f>
        <v/>
      </c>
      <c r="AW69" s="9" t="str">
        <f aca="false">IF(A69="","",IF(AND(Options!T69&lt;&gt;"",N(Options!U69)&gt;0),"Y",""))</f>
        <v/>
      </c>
      <c r="AX69" s="9" t="n">
        <f aca="false">IF(A69="",0,COUNTIFS(Options!$R$6:$R$85,$A69,$V$6:$V$85,"&gt;0"))</f>
        <v>0</v>
      </c>
      <c r="AY69" s="13" t="n">
        <f aca="false">IF(Options!S69&lt;&gt;"",Options!S69,Settings!$B$23)</f>
        <v>0.3</v>
      </c>
      <c r="AZ69" s="14" t="n">
        <f aca="false">SUMIFS('SKU Data'!$U$6:$U$505,'SKU Data'!$B$6:$B$505,$A69)</f>
        <v>0</v>
      </c>
    </row>
    <row r="70" customFormat="false" ht="15" hidden="false" customHeight="false" outlineLevel="0" collapsed="false">
      <c r="A70" s="9" t="str">
        <f aca="false">IF(Options!A70="","",Options!A70)</f>
        <v/>
      </c>
      <c r="B70" s="9" t="str">
        <f aca="false">IF(A70="","",Options!B70&amp;" "&amp;Options!C70)</f>
        <v/>
      </c>
      <c r="C70" s="9" t="str">
        <f aca="false">IF(A70="","",Options!E70)</f>
        <v/>
      </c>
      <c r="D70" s="9" t="str">
        <f aca="false">IF(A70="","",Options!H70)</f>
        <v/>
      </c>
      <c r="E70" s="12" t="n">
        <f aca="false">SUMIFS('SKU Data'!$E$6:$E$505,'SKU Data'!$B$6:$B$505,$A70)</f>
        <v>0</v>
      </c>
      <c r="F70" s="12" t="n">
        <f aca="false">SUMIFS('SKU Data'!$F$6:$F$505,'SKU Data'!$B$6:$B$505,$A70)</f>
        <v>0</v>
      </c>
      <c r="G70" s="12" t="n">
        <f aca="false">SUMIFS('SKU Data'!$G$6:$G$505,'SKU Data'!$B$6:$B$505,$A70)</f>
        <v>0</v>
      </c>
      <c r="H70" s="12" t="n">
        <f aca="false">N(Options!M70)</f>
        <v>0</v>
      </c>
      <c r="I70" s="12" t="n">
        <f aca="false">SUMIFS('SKU Data'!$H$6:$H$505,'SKU Data'!$B$6:$B$505,$A70)</f>
        <v>0</v>
      </c>
      <c r="J70" s="12" t="n">
        <f aca="false">SUMIFS('SKU Data'!$I$6:$I$505,'SKU Data'!$B$6:$B$505,$A70)</f>
        <v>0</v>
      </c>
      <c r="K70" s="12" t="n">
        <f aca="false">SUMIFS('SKU Data'!$J$6:$J$505,'SKU Data'!$B$6:$B$505,$A70)</f>
        <v>0</v>
      </c>
      <c r="L70" s="12" t="n">
        <f aca="false">SUMIFS('SKU Data'!$K$6:$K$505,'SKU Data'!$B$6:$B$505,$A70)</f>
        <v>0</v>
      </c>
      <c r="M70" s="25" t="n">
        <f aca="false">L70*Settings!$B$10+K70*Settings!$B$11+J70*Settings!$B$12+I70*Settings!$B$13</f>
        <v>0</v>
      </c>
      <c r="N70" s="25" t="n">
        <f aca="false">M70*Settings!$B$15</f>
        <v>0</v>
      </c>
      <c r="O70" s="12" t="n">
        <f aca="false">SUMIFS('SKU Data'!$L$6:$L$505,'SKU Data'!$B$6:$B$505,$A70)</f>
        <v>0</v>
      </c>
      <c r="P70" s="12" t="n">
        <f aca="false">SUMIFS('SKU Data'!$M$6:$M$505,'SKU Data'!$B$6:$B$505,$A70)</f>
        <v>0</v>
      </c>
      <c r="Q70" s="21" t="n">
        <f aca="false">IFERROR(O70/(E70-F70),0)</f>
        <v>0</v>
      </c>
      <c r="R70" s="21" t="n">
        <f aca="false">IFERROR(P70/(E70-F70),0)</f>
        <v>0</v>
      </c>
      <c r="S70" s="26" t="n">
        <f aca="false">IF(N70&lt;=0,IF(G70&gt;0,999,0),G70/N70)</f>
        <v>0</v>
      </c>
      <c r="T70" s="25" t="n">
        <f aca="false">IF(N(Options!L70)&gt;0,Options!L70,Settings!$B$20)</f>
        <v>8</v>
      </c>
      <c r="U70" s="9" t="n">
        <f aca="false">COUNTIFS('SKU Data'!$B$6:$B$505,$A70,'SKU Data'!$D$6:$D$505,"Y")</f>
        <v>0</v>
      </c>
      <c r="V70" s="9" t="n">
        <f aca="false">COUNTIFS('SKU Data'!$B$6:$B$505,$A70,'SKU Data'!$D$6:$D$505,"Y",'SKU Data'!$G$6:$G$505,"&lt;=0")</f>
        <v>0</v>
      </c>
      <c r="W70" s="28" t="str">
        <f aca="false">IF(A70="","",IF(AND(V70&gt;0,G70&gt;0),"Y",""))</f>
        <v/>
      </c>
      <c r="X70" s="9" t="str">
        <f aca="false">IF(A70="","",IF(AND(G70&gt;0,OR(Options!P70="N",Options!Q70="N")),"Y",""))</f>
        <v/>
      </c>
      <c r="Y70" s="9" t="n">
        <f aca="false">IF(AND(A70&lt;&gt;"",U70&gt;0,V70=0,G70&gt;0,Options!P70&lt;&gt;"N",Options!Q70&lt;&gt;"N"),1,0)</f>
        <v>0</v>
      </c>
      <c r="Z70" s="29" t="n">
        <f aca="false">IFERROR((K70+L70)/(I70+J70)-1,0)</f>
        <v>0</v>
      </c>
      <c r="AA70" s="9" t="str">
        <f aca="false">IF(A70="","",IF(Q70&gt;=Settings!$B$17,"High","Low"))</f>
        <v/>
      </c>
      <c r="AB70" s="9" t="str">
        <f aca="false">IF(A70="","",IF(S70&lt;IF(D70="End of life",Settings!$B$9,IF(D70="Core",T70,MIN(T70,Settings!$B$9))),"Low",IF(S70&gt;IF(D70="Core",Settings!$B$19,Settings!$B$9+Settings!$B$18),"High","Balanced")))</f>
        <v/>
      </c>
      <c r="AC70" s="28" t="str">
        <f aca="false">IF(A70="","",IF(AW70="Y","Held for a campaign",IF(AA70="High",IF(AB70="Low","Selling and short",IF(AB70="High","Selling, heavy","Selling, covered")),IF(AB70="Low","Slow and short",IF(AB70="High","Slow and heavy","Slow, covered")))))</f>
        <v/>
      </c>
      <c r="AD70" s="9" t="str">
        <f aca="false">IF(A70="","",TRIM(IF(W70="Y","Broken curve. ","")&amp;IF(X70="Y","Hidden from customers. ","")&amp;IF(Options!O70="Y","Promoted. ","")&amp;IF(Options!I70="Y","Range job. ","")&amp;IF(D70="End of life","End of life. ","")&amp;IF(H70&gt;0,"Order due in "&amp;Options!N70&amp;" weeks. ","")&amp;IF(AW70="Y","Held for "&amp;Options!T70&amp;", starts in "&amp;Options!U70&amp;" weeks. ","")&amp;IF(AX70&gt;0,"Covering for "&amp;AX70&amp;" sold-out line(s). ","")))</f>
        <v/>
      </c>
      <c r="AE70" s="9" t="str">
        <f aca="false">IF(A70="","",IF(AW70="Y",IF(AND(N(Options!V70)&gt;0,G70+H70&gt;N(Options!V70)*1.1),Settings!$A$48,Settings!$A$47),IF(X70="Y",Settings!$A$27,IF(AND(W70="Y",D70&lt;&gt;"End of life",AA70="High"),IF(H70&gt;0,Settings!$A$28,Settings!$A$29),IF(AND(W70="Y",D70="End of life"),Settings!$A$30,IF(AC70="Selling and short",IF(D70="End of life",Settings!$A$31,IF(Options!O70="Y",Settings!$A$32,IF(AX70&gt;0,Settings!$A$33,IF(H70&gt;0,IF(N(Options!N70)&lt;=S70,Settings!$A$34,Settings!$A$35),IF(AND(D70&lt;&gt;"Core",T70&gt;=Settings!$B$9),Settings!$A$36,Settings!$A$37))))),IF(AC70="Selling, heavy",IF(D70="Core",Settings!$A$38,Settings!$A$39),IF(AC70="Selling, covered",Settings!$A$40,IF(AC70="Slow and heavy",IF(Options!I70="Y",Settings!$A$41,IF(D70="End of life",Settings!$A$42,Settings!$A$43)),IF(AC70="Slow and short",IF(W70="Y",Settings!$A$44,Settings!$A$45),Settings!$A$46))))))))))</f>
        <v/>
      </c>
      <c r="AF70" s="9" t="str">
        <f aca="false">IF(A70="","",IFERROR(VLOOKUP(AM70,Settings!$A$27:$B$48,2,0),"Assign an owner"))</f>
        <v/>
      </c>
      <c r="AG70" s="14" t="n">
        <f aca="false">SUMIFS('SKU Data'!$V$6:$V$505,'SKU Data'!$B$6:$B$505,$A70)</f>
        <v>0</v>
      </c>
      <c r="AH70" s="12" t="n">
        <f aca="false">IF(A70="",0,IF(AW70="Y",IF(N(Options!V70)&gt;0,MAX(0,G70+H70-N(Options!V70)),0),MAX(0,G70+H70-N70*IF(D70="Core",Settings!$B$19,Settings!$B$9))))</f>
        <v>0</v>
      </c>
      <c r="AI70" s="14" t="n">
        <f aca="false">IF(OR(A70="",D70="Core"),0,AH70*N(Options!J70)*Settings!$B$21)</f>
        <v>0</v>
      </c>
      <c r="AJ70" s="14" t="n">
        <f aca="false">AH70*N(Options!K70)</f>
        <v>0</v>
      </c>
      <c r="AK70" s="27" t="n">
        <f aca="false">AZ70*(1-AY70)</f>
        <v>0</v>
      </c>
      <c r="AL70" s="27" t="n">
        <f aca="false">AI70+AK70</f>
        <v>0</v>
      </c>
      <c r="AM70" s="9" t="str">
        <f aca="false">IF(A70="","",IF(Options!W70&lt;&gt;"",Options!W70,AE70))</f>
        <v/>
      </c>
      <c r="AN70" s="28" t="str">
        <f aca="false">IF(A70="","",COUNTIF($AR$6:$AR$85,"&gt;"&amp;AR70)+1)</f>
        <v/>
      </c>
      <c r="AO70" s="9" t="str">
        <f aca="false">IF(A70="","",Options!D70)</f>
        <v/>
      </c>
      <c r="AP70" s="9" t="str">
        <f aca="false">IF(A70="","",Options!F70)</f>
        <v/>
      </c>
      <c r="AQ70" s="9" t="n">
        <f aca="false">IF(AND(A70&lt;&gt;"",AW70&lt;&gt;"Y",M70&gt;0,COUNTIF($M$6:$M$85,"&gt;"&amp;M70)&lt;Settings!$B$22),1,0)</f>
        <v>0</v>
      </c>
      <c r="AR70" s="28" t="n">
        <f aca="false">IF(A70="",-1,AL70+ROW()/1000000000)</f>
        <v>-1</v>
      </c>
      <c r="AS70" s="28" t="n">
        <f aca="false">IF(A70="",-1,AK70+ROW()/1000000000)</f>
        <v>-1</v>
      </c>
      <c r="AT70" s="28" t="n">
        <f aca="false">IF(A70="",-1,AI70+ROW()/1000000000)</f>
        <v>-1</v>
      </c>
      <c r="AU70" s="25" t="n">
        <f aca="false">SUMIFS('SKU Data'!$W$6:$W$505,'SKU Data'!$B$6:$B$505,$A70)</f>
        <v>0</v>
      </c>
      <c r="AV70" s="28" t="str">
        <f aca="false">IF(A70="","",COUNTIFS($C$6:$C$85,C70,$M$6:$M$85,"&gt;"&amp;M70)+1)</f>
        <v/>
      </c>
      <c r="AW70" s="9" t="str">
        <f aca="false">IF(A70="","",IF(AND(Options!T70&lt;&gt;"",N(Options!U70)&gt;0),"Y",""))</f>
        <v/>
      </c>
      <c r="AX70" s="9" t="n">
        <f aca="false">IF(A70="",0,COUNTIFS(Options!$R$6:$R$85,$A70,$V$6:$V$85,"&gt;0"))</f>
        <v>0</v>
      </c>
      <c r="AY70" s="13" t="n">
        <f aca="false">IF(Options!S70&lt;&gt;"",Options!S70,Settings!$B$23)</f>
        <v>0.3</v>
      </c>
      <c r="AZ70" s="14" t="n">
        <f aca="false">SUMIFS('SKU Data'!$U$6:$U$505,'SKU Data'!$B$6:$B$505,$A70)</f>
        <v>0</v>
      </c>
    </row>
    <row r="71" customFormat="false" ht="15" hidden="false" customHeight="false" outlineLevel="0" collapsed="false">
      <c r="A71" s="9" t="str">
        <f aca="false">IF(Options!A71="","",Options!A71)</f>
        <v/>
      </c>
      <c r="B71" s="9" t="str">
        <f aca="false">IF(A71="","",Options!B71&amp;" "&amp;Options!C71)</f>
        <v/>
      </c>
      <c r="C71" s="9" t="str">
        <f aca="false">IF(A71="","",Options!E71)</f>
        <v/>
      </c>
      <c r="D71" s="9" t="str">
        <f aca="false">IF(A71="","",Options!H71)</f>
        <v/>
      </c>
      <c r="E71" s="12" t="n">
        <f aca="false">SUMIFS('SKU Data'!$E$6:$E$505,'SKU Data'!$B$6:$B$505,$A71)</f>
        <v>0</v>
      </c>
      <c r="F71" s="12" t="n">
        <f aca="false">SUMIFS('SKU Data'!$F$6:$F$505,'SKU Data'!$B$6:$B$505,$A71)</f>
        <v>0</v>
      </c>
      <c r="G71" s="12" t="n">
        <f aca="false">SUMIFS('SKU Data'!$G$6:$G$505,'SKU Data'!$B$6:$B$505,$A71)</f>
        <v>0</v>
      </c>
      <c r="H71" s="12" t="n">
        <f aca="false">N(Options!M71)</f>
        <v>0</v>
      </c>
      <c r="I71" s="12" t="n">
        <f aca="false">SUMIFS('SKU Data'!$H$6:$H$505,'SKU Data'!$B$6:$B$505,$A71)</f>
        <v>0</v>
      </c>
      <c r="J71" s="12" t="n">
        <f aca="false">SUMIFS('SKU Data'!$I$6:$I$505,'SKU Data'!$B$6:$B$505,$A71)</f>
        <v>0</v>
      </c>
      <c r="K71" s="12" t="n">
        <f aca="false">SUMIFS('SKU Data'!$J$6:$J$505,'SKU Data'!$B$6:$B$505,$A71)</f>
        <v>0</v>
      </c>
      <c r="L71" s="12" t="n">
        <f aca="false">SUMIFS('SKU Data'!$K$6:$K$505,'SKU Data'!$B$6:$B$505,$A71)</f>
        <v>0</v>
      </c>
      <c r="M71" s="25" t="n">
        <f aca="false">L71*Settings!$B$10+K71*Settings!$B$11+J71*Settings!$B$12+I71*Settings!$B$13</f>
        <v>0</v>
      </c>
      <c r="N71" s="25" t="n">
        <f aca="false">M71*Settings!$B$15</f>
        <v>0</v>
      </c>
      <c r="O71" s="12" t="n">
        <f aca="false">SUMIFS('SKU Data'!$L$6:$L$505,'SKU Data'!$B$6:$B$505,$A71)</f>
        <v>0</v>
      </c>
      <c r="P71" s="12" t="n">
        <f aca="false">SUMIFS('SKU Data'!$M$6:$M$505,'SKU Data'!$B$6:$B$505,$A71)</f>
        <v>0</v>
      </c>
      <c r="Q71" s="21" t="n">
        <f aca="false">IFERROR(O71/(E71-F71),0)</f>
        <v>0</v>
      </c>
      <c r="R71" s="21" t="n">
        <f aca="false">IFERROR(P71/(E71-F71),0)</f>
        <v>0</v>
      </c>
      <c r="S71" s="26" t="n">
        <f aca="false">IF(N71&lt;=0,IF(G71&gt;0,999,0),G71/N71)</f>
        <v>0</v>
      </c>
      <c r="T71" s="25" t="n">
        <f aca="false">IF(N(Options!L71)&gt;0,Options!L71,Settings!$B$20)</f>
        <v>8</v>
      </c>
      <c r="U71" s="9" t="n">
        <f aca="false">COUNTIFS('SKU Data'!$B$6:$B$505,$A71,'SKU Data'!$D$6:$D$505,"Y")</f>
        <v>0</v>
      </c>
      <c r="V71" s="9" t="n">
        <f aca="false">COUNTIFS('SKU Data'!$B$6:$B$505,$A71,'SKU Data'!$D$6:$D$505,"Y",'SKU Data'!$G$6:$G$505,"&lt;=0")</f>
        <v>0</v>
      </c>
      <c r="W71" s="28" t="str">
        <f aca="false">IF(A71="","",IF(AND(V71&gt;0,G71&gt;0),"Y",""))</f>
        <v/>
      </c>
      <c r="X71" s="9" t="str">
        <f aca="false">IF(A71="","",IF(AND(G71&gt;0,OR(Options!P71="N",Options!Q71="N")),"Y",""))</f>
        <v/>
      </c>
      <c r="Y71" s="9" t="n">
        <f aca="false">IF(AND(A71&lt;&gt;"",U71&gt;0,V71=0,G71&gt;0,Options!P71&lt;&gt;"N",Options!Q71&lt;&gt;"N"),1,0)</f>
        <v>0</v>
      </c>
      <c r="Z71" s="29" t="n">
        <f aca="false">IFERROR((K71+L71)/(I71+J71)-1,0)</f>
        <v>0</v>
      </c>
      <c r="AA71" s="9" t="str">
        <f aca="false">IF(A71="","",IF(Q71&gt;=Settings!$B$17,"High","Low"))</f>
        <v/>
      </c>
      <c r="AB71" s="9" t="str">
        <f aca="false">IF(A71="","",IF(S71&lt;IF(D71="End of life",Settings!$B$9,IF(D71="Core",T71,MIN(T71,Settings!$B$9))),"Low",IF(S71&gt;IF(D71="Core",Settings!$B$19,Settings!$B$9+Settings!$B$18),"High","Balanced")))</f>
        <v/>
      </c>
      <c r="AC71" s="28" t="str">
        <f aca="false">IF(A71="","",IF(AW71="Y","Held for a campaign",IF(AA71="High",IF(AB71="Low","Selling and short",IF(AB71="High","Selling, heavy","Selling, covered")),IF(AB71="Low","Slow and short",IF(AB71="High","Slow and heavy","Slow, covered")))))</f>
        <v/>
      </c>
      <c r="AD71" s="9" t="str">
        <f aca="false">IF(A71="","",TRIM(IF(W71="Y","Broken curve. ","")&amp;IF(X71="Y","Hidden from customers. ","")&amp;IF(Options!O71="Y","Promoted. ","")&amp;IF(Options!I71="Y","Range job. ","")&amp;IF(D71="End of life","End of life. ","")&amp;IF(H71&gt;0,"Order due in "&amp;Options!N71&amp;" weeks. ","")&amp;IF(AW71="Y","Held for "&amp;Options!T71&amp;", starts in "&amp;Options!U71&amp;" weeks. ","")&amp;IF(AX71&gt;0,"Covering for "&amp;AX71&amp;" sold-out line(s). ","")))</f>
        <v/>
      </c>
      <c r="AE71" s="9" t="str">
        <f aca="false">IF(A71="","",IF(AW71="Y",IF(AND(N(Options!V71)&gt;0,G71+H71&gt;N(Options!V71)*1.1),Settings!$A$48,Settings!$A$47),IF(X71="Y",Settings!$A$27,IF(AND(W71="Y",D71&lt;&gt;"End of life",AA71="High"),IF(H71&gt;0,Settings!$A$28,Settings!$A$29),IF(AND(W71="Y",D71="End of life"),Settings!$A$30,IF(AC71="Selling and short",IF(D71="End of life",Settings!$A$31,IF(Options!O71="Y",Settings!$A$32,IF(AX71&gt;0,Settings!$A$33,IF(H71&gt;0,IF(N(Options!N71)&lt;=S71,Settings!$A$34,Settings!$A$35),IF(AND(D71&lt;&gt;"Core",T71&gt;=Settings!$B$9),Settings!$A$36,Settings!$A$37))))),IF(AC71="Selling, heavy",IF(D71="Core",Settings!$A$38,Settings!$A$39),IF(AC71="Selling, covered",Settings!$A$40,IF(AC71="Slow and heavy",IF(Options!I71="Y",Settings!$A$41,IF(D71="End of life",Settings!$A$42,Settings!$A$43)),IF(AC71="Slow and short",IF(W71="Y",Settings!$A$44,Settings!$A$45),Settings!$A$46))))))))))</f>
        <v/>
      </c>
      <c r="AF71" s="9" t="str">
        <f aca="false">IF(A71="","",IFERROR(VLOOKUP(AM71,Settings!$A$27:$B$48,2,0),"Assign an owner"))</f>
        <v/>
      </c>
      <c r="AG71" s="14" t="n">
        <f aca="false">SUMIFS('SKU Data'!$V$6:$V$505,'SKU Data'!$B$6:$B$505,$A71)</f>
        <v>0</v>
      </c>
      <c r="AH71" s="12" t="n">
        <f aca="false">IF(A71="",0,IF(AW71="Y",IF(N(Options!V71)&gt;0,MAX(0,G71+H71-N(Options!V71)),0),MAX(0,G71+H71-N71*IF(D71="Core",Settings!$B$19,Settings!$B$9))))</f>
        <v>0</v>
      </c>
      <c r="AI71" s="14" t="n">
        <f aca="false">IF(OR(A71="",D71="Core"),0,AH71*N(Options!J71)*Settings!$B$21)</f>
        <v>0</v>
      </c>
      <c r="AJ71" s="14" t="n">
        <f aca="false">AH71*N(Options!K71)</f>
        <v>0</v>
      </c>
      <c r="AK71" s="27" t="n">
        <f aca="false">AZ71*(1-AY71)</f>
        <v>0</v>
      </c>
      <c r="AL71" s="27" t="n">
        <f aca="false">AI71+AK71</f>
        <v>0</v>
      </c>
      <c r="AM71" s="9" t="str">
        <f aca="false">IF(A71="","",IF(Options!W71&lt;&gt;"",Options!W71,AE71))</f>
        <v/>
      </c>
      <c r="AN71" s="28" t="str">
        <f aca="false">IF(A71="","",COUNTIF($AR$6:$AR$85,"&gt;"&amp;AR71)+1)</f>
        <v/>
      </c>
      <c r="AO71" s="9" t="str">
        <f aca="false">IF(A71="","",Options!D71)</f>
        <v/>
      </c>
      <c r="AP71" s="9" t="str">
        <f aca="false">IF(A71="","",Options!F71)</f>
        <v/>
      </c>
      <c r="AQ71" s="9" t="n">
        <f aca="false">IF(AND(A71&lt;&gt;"",AW71&lt;&gt;"Y",M71&gt;0,COUNTIF($M$6:$M$85,"&gt;"&amp;M71)&lt;Settings!$B$22),1,0)</f>
        <v>0</v>
      </c>
      <c r="AR71" s="28" t="n">
        <f aca="false">IF(A71="",-1,AL71+ROW()/1000000000)</f>
        <v>-1</v>
      </c>
      <c r="AS71" s="28" t="n">
        <f aca="false">IF(A71="",-1,AK71+ROW()/1000000000)</f>
        <v>-1</v>
      </c>
      <c r="AT71" s="28" t="n">
        <f aca="false">IF(A71="",-1,AI71+ROW()/1000000000)</f>
        <v>-1</v>
      </c>
      <c r="AU71" s="25" t="n">
        <f aca="false">SUMIFS('SKU Data'!$W$6:$W$505,'SKU Data'!$B$6:$B$505,$A71)</f>
        <v>0</v>
      </c>
      <c r="AV71" s="28" t="str">
        <f aca="false">IF(A71="","",COUNTIFS($C$6:$C$85,C71,$M$6:$M$85,"&gt;"&amp;M71)+1)</f>
        <v/>
      </c>
      <c r="AW71" s="9" t="str">
        <f aca="false">IF(A71="","",IF(AND(Options!T71&lt;&gt;"",N(Options!U71)&gt;0),"Y",""))</f>
        <v/>
      </c>
      <c r="AX71" s="9" t="n">
        <f aca="false">IF(A71="",0,COUNTIFS(Options!$R$6:$R$85,$A71,$V$6:$V$85,"&gt;0"))</f>
        <v>0</v>
      </c>
      <c r="AY71" s="13" t="n">
        <f aca="false">IF(Options!S71&lt;&gt;"",Options!S71,Settings!$B$23)</f>
        <v>0.3</v>
      </c>
      <c r="AZ71" s="14" t="n">
        <f aca="false">SUMIFS('SKU Data'!$U$6:$U$505,'SKU Data'!$B$6:$B$505,$A71)</f>
        <v>0</v>
      </c>
    </row>
    <row r="72" customFormat="false" ht="15" hidden="false" customHeight="false" outlineLevel="0" collapsed="false">
      <c r="A72" s="9" t="str">
        <f aca="false">IF(Options!A72="","",Options!A72)</f>
        <v/>
      </c>
      <c r="B72" s="9" t="str">
        <f aca="false">IF(A72="","",Options!B72&amp;" "&amp;Options!C72)</f>
        <v/>
      </c>
      <c r="C72" s="9" t="str">
        <f aca="false">IF(A72="","",Options!E72)</f>
        <v/>
      </c>
      <c r="D72" s="9" t="str">
        <f aca="false">IF(A72="","",Options!H72)</f>
        <v/>
      </c>
      <c r="E72" s="12" t="n">
        <f aca="false">SUMIFS('SKU Data'!$E$6:$E$505,'SKU Data'!$B$6:$B$505,$A72)</f>
        <v>0</v>
      </c>
      <c r="F72" s="12" t="n">
        <f aca="false">SUMIFS('SKU Data'!$F$6:$F$505,'SKU Data'!$B$6:$B$505,$A72)</f>
        <v>0</v>
      </c>
      <c r="G72" s="12" t="n">
        <f aca="false">SUMIFS('SKU Data'!$G$6:$G$505,'SKU Data'!$B$6:$B$505,$A72)</f>
        <v>0</v>
      </c>
      <c r="H72" s="12" t="n">
        <f aca="false">N(Options!M72)</f>
        <v>0</v>
      </c>
      <c r="I72" s="12" t="n">
        <f aca="false">SUMIFS('SKU Data'!$H$6:$H$505,'SKU Data'!$B$6:$B$505,$A72)</f>
        <v>0</v>
      </c>
      <c r="J72" s="12" t="n">
        <f aca="false">SUMIFS('SKU Data'!$I$6:$I$505,'SKU Data'!$B$6:$B$505,$A72)</f>
        <v>0</v>
      </c>
      <c r="K72" s="12" t="n">
        <f aca="false">SUMIFS('SKU Data'!$J$6:$J$505,'SKU Data'!$B$6:$B$505,$A72)</f>
        <v>0</v>
      </c>
      <c r="L72" s="12" t="n">
        <f aca="false">SUMIFS('SKU Data'!$K$6:$K$505,'SKU Data'!$B$6:$B$505,$A72)</f>
        <v>0</v>
      </c>
      <c r="M72" s="25" t="n">
        <f aca="false">L72*Settings!$B$10+K72*Settings!$B$11+J72*Settings!$B$12+I72*Settings!$B$13</f>
        <v>0</v>
      </c>
      <c r="N72" s="25" t="n">
        <f aca="false">M72*Settings!$B$15</f>
        <v>0</v>
      </c>
      <c r="O72" s="12" t="n">
        <f aca="false">SUMIFS('SKU Data'!$L$6:$L$505,'SKU Data'!$B$6:$B$505,$A72)</f>
        <v>0</v>
      </c>
      <c r="P72" s="12" t="n">
        <f aca="false">SUMIFS('SKU Data'!$M$6:$M$505,'SKU Data'!$B$6:$B$505,$A72)</f>
        <v>0</v>
      </c>
      <c r="Q72" s="21" t="n">
        <f aca="false">IFERROR(O72/(E72-F72),0)</f>
        <v>0</v>
      </c>
      <c r="R72" s="21" t="n">
        <f aca="false">IFERROR(P72/(E72-F72),0)</f>
        <v>0</v>
      </c>
      <c r="S72" s="26" t="n">
        <f aca="false">IF(N72&lt;=0,IF(G72&gt;0,999,0),G72/N72)</f>
        <v>0</v>
      </c>
      <c r="T72" s="25" t="n">
        <f aca="false">IF(N(Options!L72)&gt;0,Options!L72,Settings!$B$20)</f>
        <v>8</v>
      </c>
      <c r="U72" s="9" t="n">
        <f aca="false">COUNTIFS('SKU Data'!$B$6:$B$505,$A72,'SKU Data'!$D$6:$D$505,"Y")</f>
        <v>0</v>
      </c>
      <c r="V72" s="9" t="n">
        <f aca="false">COUNTIFS('SKU Data'!$B$6:$B$505,$A72,'SKU Data'!$D$6:$D$505,"Y",'SKU Data'!$G$6:$G$505,"&lt;=0")</f>
        <v>0</v>
      </c>
      <c r="W72" s="28" t="str">
        <f aca="false">IF(A72="","",IF(AND(V72&gt;0,G72&gt;0),"Y",""))</f>
        <v/>
      </c>
      <c r="X72" s="9" t="str">
        <f aca="false">IF(A72="","",IF(AND(G72&gt;0,OR(Options!P72="N",Options!Q72="N")),"Y",""))</f>
        <v/>
      </c>
      <c r="Y72" s="9" t="n">
        <f aca="false">IF(AND(A72&lt;&gt;"",U72&gt;0,V72=0,G72&gt;0,Options!P72&lt;&gt;"N",Options!Q72&lt;&gt;"N"),1,0)</f>
        <v>0</v>
      </c>
      <c r="Z72" s="29" t="n">
        <f aca="false">IFERROR((K72+L72)/(I72+J72)-1,0)</f>
        <v>0</v>
      </c>
      <c r="AA72" s="9" t="str">
        <f aca="false">IF(A72="","",IF(Q72&gt;=Settings!$B$17,"High","Low"))</f>
        <v/>
      </c>
      <c r="AB72" s="9" t="str">
        <f aca="false">IF(A72="","",IF(S72&lt;IF(D72="End of life",Settings!$B$9,IF(D72="Core",T72,MIN(T72,Settings!$B$9))),"Low",IF(S72&gt;IF(D72="Core",Settings!$B$19,Settings!$B$9+Settings!$B$18),"High","Balanced")))</f>
        <v/>
      </c>
      <c r="AC72" s="28" t="str">
        <f aca="false">IF(A72="","",IF(AW72="Y","Held for a campaign",IF(AA72="High",IF(AB72="Low","Selling and short",IF(AB72="High","Selling, heavy","Selling, covered")),IF(AB72="Low","Slow and short",IF(AB72="High","Slow and heavy","Slow, covered")))))</f>
        <v/>
      </c>
      <c r="AD72" s="9" t="str">
        <f aca="false">IF(A72="","",TRIM(IF(W72="Y","Broken curve. ","")&amp;IF(X72="Y","Hidden from customers. ","")&amp;IF(Options!O72="Y","Promoted. ","")&amp;IF(Options!I72="Y","Range job. ","")&amp;IF(D72="End of life","End of life. ","")&amp;IF(H72&gt;0,"Order due in "&amp;Options!N72&amp;" weeks. ","")&amp;IF(AW72="Y","Held for "&amp;Options!T72&amp;", starts in "&amp;Options!U72&amp;" weeks. ","")&amp;IF(AX72&gt;0,"Covering for "&amp;AX72&amp;" sold-out line(s). ","")))</f>
        <v/>
      </c>
      <c r="AE72" s="9" t="str">
        <f aca="false">IF(A72="","",IF(AW72="Y",IF(AND(N(Options!V72)&gt;0,G72+H72&gt;N(Options!V72)*1.1),Settings!$A$48,Settings!$A$47),IF(X72="Y",Settings!$A$27,IF(AND(W72="Y",D72&lt;&gt;"End of life",AA72="High"),IF(H72&gt;0,Settings!$A$28,Settings!$A$29),IF(AND(W72="Y",D72="End of life"),Settings!$A$30,IF(AC72="Selling and short",IF(D72="End of life",Settings!$A$31,IF(Options!O72="Y",Settings!$A$32,IF(AX72&gt;0,Settings!$A$33,IF(H72&gt;0,IF(N(Options!N72)&lt;=S72,Settings!$A$34,Settings!$A$35),IF(AND(D72&lt;&gt;"Core",T72&gt;=Settings!$B$9),Settings!$A$36,Settings!$A$37))))),IF(AC72="Selling, heavy",IF(D72="Core",Settings!$A$38,Settings!$A$39),IF(AC72="Selling, covered",Settings!$A$40,IF(AC72="Slow and heavy",IF(Options!I72="Y",Settings!$A$41,IF(D72="End of life",Settings!$A$42,Settings!$A$43)),IF(AC72="Slow and short",IF(W72="Y",Settings!$A$44,Settings!$A$45),Settings!$A$46))))))))))</f>
        <v/>
      </c>
      <c r="AF72" s="9" t="str">
        <f aca="false">IF(A72="","",IFERROR(VLOOKUP(AM72,Settings!$A$27:$B$48,2,0),"Assign an owner"))</f>
        <v/>
      </c>
      <c r="AG72" s="14" t="n">
        <f aca="false">SUMIFS('SKU Data'!$V$6:$V$505,'SKU Data'!$B$6:$B$505,$A72)</f>
        <v>0</v>
      </c>
      <c r="AH72" s="12" t="n">
        <f aca="false">IF(A72="",0,IF(AW72="Y",IF(N(Options!V72)&gt;0,MAX(0,G72+H72-N(Options!V72)),0),MAX(0,G72+H72-N72*IF(D72="Core",Settings!$B$19,Settings!$B$9))))</f>
        <v>0</v>
      </c>
      <c r="AI72" s="14" t="n">
        <f aca="false">IF(OR(A72="",D72="Core"),0,AH72*N(Options!J72)*Settings!$B$21)</f>
        <v>0</v>
      </c>
      <c r="AJ72" s="14" t="n">
        <f aca="false">AH72*N(Options!K72)</f>
        <v>0</v>
      </c>
      <c r="AK72" s="27" t="n">
        <f aca="false">AZ72*(1-AY72)</f>
        <v>0</v>
      </c>
      <c r="AL72" s="27" t="n">
        <f aca="false">AI72+AK72</f>
        <v>0</v>
      </c>
      <c r="AM72" s="9" t="str">
        <f aca="false">IF(A72="","",IF(Options!W72&lt;&gt;"",Options!W72,AE72))</f>
        <v/>
      </c>
      <c r="AN72" s="28" t="str">
        <f aca="false">IF(A72="","",COUNTIF($AR$6:$AR$85,"&gt;"&amp;AR72)+1)</f>
        <v/>
      </c>
      <c r="AO72" s="9" t="str">
        <f aca="false">IF(A72="","",Options!D72)</f>
        <v/>
      </c>
      <c r="AP72" s="9" t="str">
        <f aca="false">IF(A72="","",Options!F72)</f>
        <v/>
      </c>
      <c r="AQ72" s="9" t="n">
        <f aca="false">IF(AND(A72&lt;&gt;"",AW72&lt;&gt;"Y",M72&gt;0,COUNTIF($M$6:$M$85,"&gt;"&amp;M72)&lt;Settings!$B$22),1,0)</f>
        <v>0</v>
      </c>
      <c r="AR72" s="28" t="n">
        <f aca="false">IF(A72="",-1,AL72+ROW()/1000000000)</f>
        <v>-1</v>
      </c>
      <c r="AS72" s="28" t="n">
        <f aca="false">IF(A72="",-1,AK72+ROW()/1000000000)</f>
        <v>-1</v>
      </c>
      <c r="AT72" s="28" t="n">
        <f aca="false">IF(A72="",-1,AI72+ROW()/1000000000)</f>
        <v>-1</v>
      </c>
      <c r="AU72" s="25" t="n">
        <f aca="false">SUMIFS('SKU Data'!$W$6:$W$505,'SKU Data'!$B$6:$B$505,$A72)</f>
        <v>0</v>
      </c>
      <c r="AV72" s="28" t="str">
        <f aca="false">IF(A72="","",COUNTIFS($C$6:$C$85,C72,$M$6:$M$85,"&gt;"&amp;M72)+1)</f>
        <v/>
      </c>
      <c r="AW72" s="9" t="str">
        <f aca="false">IF(A72="","",IF(AND(Options!T72&lt;&gt;"",N(Options!U72)&gt;0),"Y",""))</f>
        <v/>
      </c>
      <c r="AX72" s="9" t="n">
        <f aca="false">IF(A72="",0,COUNTIFS(Options!$R$6:$R$85,$A72,$V$6:$V$85,"&gt;0"))</f>
        <v>0</v>
      </c>
      <c r="AY72" s="13" t="n">
        <f aca="false">IF(Options!S72&lt;&gt;"",Options!S72,Settings!$B$23)</f>
        <v>0.3</v>
      </c>
      <c r="AZ72" s="14" t="n">
        <f aca="false">SUMIFS('SKU Data'!$U$6:$U$505,'SKU Data'!$B$6:$B$505,$A72)</f>
        <v>0</v>
      </c>
    </row>
    <row r="73" customFormat="false" ht="15" hidden="false" customHeight="false" outlineLevel="0" collapsed="false">
      <c r="A73" s="9" t="str">
        <f aca="false">IF(Options!A73="","",Options!A73)</f>
        <v/>
      </c>
      <c r="B73" s="9" t="str">
        <f aca="false">IF(A73="","",Options!B73&amp;" "&amp;Options!C73)</f>
        <v/>
      </c>
      <c r="C73" s="9" t="str">
        <f aca="false">IF(A73="","",Options!E73)</f>
        <v/>
      </c>
      <c r="D73" s="9" t="str">
        <f aca="false">IF(A73="","",Options!H73)</f>
        <v/>
      </c>
      <c r="E73" s="12" t="n">
        <f aca="false">SUMIFS('SKU Data'!$E$6:$E$505,'SKU Data'!$B$6:$B$505,$A73)</f>
        <v>0</v>
      </c>
      <c r="F73" s="12" t="n">
        <f aca="false">SUMIFS('SKU Data'!$F$6:$F$505,'SKU Data'!$B$6:$B$505,$A73)</f>
        <v>0</v>
      </c>
      <c r="G73" s="12" t="n">
        <f aca="false">SUMIFS('SKU Data'!$G$6:$G$505,'SKU Data'!$B$6:$B$505,$A73)</f>
        <v>0</v>
      </c>
      <c r="H73" s="12" t="n">
        <f aca="false">N(Options!M73)</f>
        <v>0</v>
      </c>
      <c r="I73" s="12" t="n">
        <f aca="false">SUMIFS('SKU Data'!$H$6:$H$505,'SKU Data'!$B$6:$B$505,$A73)</f>
        <v>0</v>
      </c>
      <c r="J73" s="12" t="n">
        <f aca="false">SUMIFS('SKU Data'!$I$6:$I$505,'SKU Data'!$B$6:$B$505,$A73)</f>
        <v>0</v>
      </c>
      <c r="K73" s="12" t="n">
        <f aca="false">SUMIFS('SKU Data'!$J$6:$J$505,'SKU Data'!$B$6:$B$505,$A73)</f>
        <v>0</v>
      </c>
      <c r="L73" s="12" t="n">
        <f aca="false">SUMIFS('SKU Data'!$K$6:$K$505,'SKU Data'!$B$6:$B$505,$A73)</f>
        <v>0</v>
      </c>
      <c r="M73" s="25" t="n">
        <f aca="false">L73*Settings!$B$10+K73*Settings!$B$11+J73*Settings!$B$12+I73*Settings!$B$13</f>
        <v>0</v>
      </c>
      <c r="N73" s="25" t="n">
        <f aca="false">M73*Settings!$B$15</f>
        <v>0</v>
      </c>
      <c r="O73" s="12" t="n">
        <f aca="false">SUMIFS('SKU Data'!$L$6:$L$505,'SKU Data'!$B$6:$B$505,$A73)</f>
        <v>0</v>
      </c>
      <c r="P73" s="12" t="n">
        <f aca="false">SUMIFS('SKU Data'!$M$6:$M$505,'SKU Data'!$B$6:$B$505,$A73)</f>
        <v>0</v>
      </c>
      <c r="Q73" s="21" t="n">
        <f aca="false">IFERROR(O73/(E73-F73),0)</f>
        <v>0</v>
      </c>
      <c r="R73" s="21" t="n">
        <f aca="false">IFERROR(P73/(E73-F73),0)</f>
        <v>0</v>
      </c>
      <c r="S73" s="26" t="n">
        <f aca="false">IF(N73&lt;=0,IF(G73&gt;0,999,0),G73/N73)</f>
        <v>0</v>
      </c>
      <c r="T73" s="25" t="n">
        <f aca="false">IF(N(Options!L73)&gt;0,Options!L73,Settings!$B$20)</f>
        <v>8</v>
      </c>
      <c r="U73" s="9" t="n">
        <f aca="false">COUNTIFS('SKU Data'!$B$6:$B$505,$A73,'SKU Data'!$D$6:$D$505,"Y")</f>
        <v>0</v>
      </c>
      <c r="V73" s="9" t="n">
        <f aca="false">COUNTIFS('SKU Data'!$B$6:$B$505,$A73,'SKU Data'!$D$6:$D$505,"Y",'SKU Data'!$G$6:$G$505,"&lt;=0")</f>
        <v>0</v>
      </c>
      <c r="W73" s="28" t="str">
        <f aca="false">IF(A73="","",IF(AND(V73&gt;0,G73&gt;0),"Y",""))</f>
        <v/>
      </c>
      <c r="X73" s="9" t="str">
        <f aca="false">IF(A73="","",IF(AND(G73&gt;0,OR(Options!P73="N",Options!Q73="N")),"Y",""))</f>
        <v/>
      </c>
      <c r="Y73" s="9" t="n">
        <f aca="false">IF(AND(A73&lt;&gt;"",U73&gt;0,V73=0,G73&gt;0,Options!P73&lt;&gt;"N",Options!Q73&lt;&gt;"N"),1,0)</f>
        <v>0</v>
      </c>
      <c r="Z73" s="29" t="n">
        <f aca="false">IFERROR((K73+L73)/(I73+J73)-1,0)</f>
        <v>0</v>
      </c>
      <c r="AA73" s="9" t="str">
        <f aca="false">IF(A73="","",IF(Q73&gt;=Settings!$B$17,"High","Low"))</f>
        <v/>
      </c>
      <c r="AB73" s="9" t="str">
        <f aca="false">IF(A73="","",IF(S73&lt;IF(D73="End of life",Settings!$B$9,IF(D73="Core",T73,MIN(T73,Settings!$B$9))),"Low",IF(S73&gt;IF(D73="Core",Settings!$B$19,Settings!$B$9+Settings!$B$18),"High","Balanced")))</f>
        <v/>
      </c>
      <c r="AC73" s="28" t="str">
        <f aca="false">IF(A73="","",IF(AW73="Y","Held for a campaign",IF(AA73="High",IF(AB73="Low","Selling and short",IF(AB73="High","Selling, heavy","Selling, covered")),IF(AB73="Low","Slow and short",IF(AB73="High","Slow and heavy","Slow, covered")))))</f>
        <v/>
      </c>
      <c r="AD73" s="9" t="str">
        <f aca="false">IF(A73="","",TRIM(IF(W73="Y","Broken curve. ","")&amp;IF(X73="Y","Hidden from customers. ","")&amp;IF(Options!O73="Y","Promoted. ","")&amp;IF(Options!I73="Y","Range job. ","")&amp;IF(D73="End of life","End of life. ","")&amp;IF(H73&gt;0,"Order due in "&amp;Options!N73&amp;" weeks. ","")&amp;IF(AW73="Y","Held for "&amp;Options!T73&amp;", starts in "&amp;Options!U73&amp;" weeks. ","")&amp;IF(AX73&gt;0,"Covering for "&amp;AX73&amp;" sold-out line(s). ","")))</f>
        <v/>
      </c>
      <c r="AE73" s="9" t="str">
        <f aca="false">IF(A73="","",IF(AW73="Y",IF(AND(N(Options!V73)&gt;0,G73+H73&gt;N(Options!V73)*1.1),Settings!$A$48,Settings!$A$47),IF(X73="Y",Settings!$A$27,IF(AND(W73="Y",D73&lt;&gt;"End of life",AA73="High"),IF(H73&gt;0,Settings!$A$28,Settings!$A$29),IF(AND(W73="Y",D73="End of life"),Settings!$A$30,IF(AC73="Selling and short",IF(D73="End of life",Settings!$A$31,IF(Options!O73="Y",Settings!$A$32,IF(AX73&gt;0,Settings!$A$33,IF(H73&gt;0,IF(N(Options!N73)&lt;=S73,Settings!$A$34,Settings!$A$35),IF(AND(D73&lt;&gt;"Core",T73&gt;=Settings!$B$9),Settings!$A$36,Settings!$A$37))))),IF(AC73="Selling, heavy",IF(D73="Core",Settings!$A$38,Settings!$A$39),IF(AC73="Selling, covered",Settings!$A$40,IF(AC73="Slow and heavy",IF(Options!I73="Y",Settings!$A$41,IF(D73="End of life",Settings!$A$42,Settings!$A$43)),IF(AC73="Slow and short",IF(W73="Y",Settings!$A$44,Settings!$A$45),Settings!$A$46))))))))))</f>
        <v/>
      </c>
      <c r="AF73" s="9" t="str">
        <f aca="false">IF(A73="","",IFERROR(VLOOKUP(AM73,Settings!$A$27:$B$48,2,0),"Assign an owner"))</f>
        <v/>
      </c>
      <c r="AG73" s="14" t="n">
        <f aca="false">SUMIFS('SKU Data'!$V$6:$V$505,'SKU Data'!$B$6:$B$505,$A73)</f>
        <v>0</v>
      </c>
      <c r="AH73" s="12" t="n">
        <f aca="false">IF(A73="",0,IF(AW73="Y",IF(N(Options!V73)&gt;0,MAX(0,G73+H73-N(Options!V73)),0),MAX(0,G73+H73-N73*IF(D73="Core",Settings!$B$19,Settings!$B$9))))</f>
        <v>0</v>
      </c>
      <c r="AI73" s="14" t="n">
        <f aca="false">IF(OR(A73="",D73="Core"),0,AH73*N(Options!J73)*Settings!$B$21)</f>
        <v>0</v>
      </c>
      <c r="AJ73" s="14" t="n">
        <f aca="false">AH73*N(Options!K73)</f>
        <v>0</v>
      </c>
      <c r="AK73" s="27" t="n">
        <f aca="false">AZ73*(1-AY73)</f>
        <v>0</v>
      </c>
      <c r="AL73" s="27" t="n">
        <f aca="false">AI73+AK73</f>
        <v>0</v>
      </c>
      <c r="AM73" s="9" t="str">
        <f aca="false">IF(A73="","",IF(Options!W73&lt;&gt;"",Options!W73,AE73))</f>
        <v/>
      </c>
      <c r="AN73" s="28" t="str">
        <f aca="false">IF(A73="","",COUNTIF($AR$6:$AR$85,"&gt;"&amp;AR73)+1)</f>
        <v/>
      </c>
      <c r="AO73" s="9" t="str">
        <f aca="false">IF(A73="","",Options!D73)</f>
        <v/>
      </c>
      <c r="AP73" s="9" t="str">
        <f aca="false">IF(A73="","",Options!F73)</f>
        <v/>
      </c>
      <c r="AQ73" s="9" t="n">
        <f aca="false">IF(AND(A73&lt;&gt;"",AW73&lt;&gt;"Y",M73&gt;0,COUNTIF($M$6:$M$85,"&gt;"&amp;M73)&lt;Settings!$B$22),1,0)</f>
        <v>0</v>
      </c>
      <c r="AR73" s="28" t="n">
        <f aca="false">IF(A73="",-1,AL73+ROW()/1000000000)</f>
        <v>-1</v>
      </c>
      <c r="AS73" s="28" t="n">
        <f aca="false">IF(A73="",-1,AK73+ROW()/1000000000)</f>
        <v>-1</v>
      </c>
      <c r="AT73" s="28" t="n">
        <f aca="false">IF(A73="",-1,AI73+ROW()/1000000000)</f>
        <v>-1</v>
      </c>
      <c r="AU73" s="25" t="n">
        <f aca="false">SUMIFS('SKU Data'!$W$6:$W$505,'SKU Data'!$B$6:$B$505,$A73)</f>
        <v>0</v>
      </c>
      <c r="AV73" s="28" t="str">
        <f aca="false">IF(A73="","",COUNTIFS($C$6:$C$85,C73,$M$6:$M$85,"&gt;"&amp;M73)+1)</f>
        <v/>
      </c>
      <c r="AW73" s="9" t="str">
        <f aca="false">IF(A73="","",IF(AND(Options!T73&lt;&gt;"",N(Options!U73)&gt;0),"Y",""))</f>
        <v/>
      </c>
      <c r="AX73" s="9" t="n">
        <f aca="false">IF(A73="",0,COUNTIFS(Options!$R$6:$R$85,$A73,$V$6:$V$85,"&gt;0"))</f>
        <v>0</v>
      </c>
      <c r="AY73" s="13" t="n">
        <f aca="false">IF(Options!S73&lt;&gt;"",Options!S73,Settings!$B$23)</f>
        <v>0.3</v>
      </c>
      <c r="AZ73" s="14" t="n">
        <f aca="false">SUMIFS('SKU Data'!$U$6:$U$505,'SKU Data'!$B$6:$B$505,$A73)</f>
        <v>0</v>
      </c>
    </row>
    <row r="74" customFormat="false" ht="15" hidden="false" customHeight="false" outlineLevel="0" collapsed="false">
      <c r="A74" s="9" t="str">
        <f aca="false">IF(Options!A74="","",Options!A74)</f>
        <v/>
      </c>
      <c r="B74" s="9" t="str">
        <f aca="false">IF(A74="","",Options!B74&amp;" "&amp;Options!C74)</f>
        <v/>
      </c>
      <c r="C74" s="9" t="str">
        <f aca="false">IF(A74="","",Options!E74)</f>
        <v/>
      </c>
      <c r="D74" s="9" t="str">
        <f aca="false">IF(A74="","",Options!H74)</f>
        <v/>
      </c>
      <c r="E74" s="12" t="n">
        <f aca="false">SUMIFS('SKU Data'!$E$6:$E$505,'SKU Data'!$B$6:$B$505,$A74)</f>
        <v>0</v>
      </c>
      <c r="F74" s="12" t="n">
        <f aca="false">SUMIFS('SKU Data'!$F$6:$F$505,'SKU Data'!$B$6:$B$505,$A74)</f>
        <v>0</v>
      </c>
      <c r="G74" s="12" t="n">
        <f aca="false">SUMIFS('SKU Data'!$G$6:$G$505,'SKU Data'!$B$6:$B$505,$A74)</f>
        <v>0</v>
      </c>
      <c r="H74" s="12" t="n">
        <f aca="false">N(Options!M74)</f>
        <v>0</v>
      </c>
      <c r="I74" s="12" t="n">
        <f aca="false">SUMIFS('SKU Data'!$H$6:$H$505,'SKU Data'!$B$6:$B$505,$A74)</f>
        <v>0</v>
      </c>
      <c r="J74" s="12" t="n">
        <f aca="false">SUMIFS('SKU Data'!$I$6:$I$505,'SKU Data'!$B$6:$B$505,$A74)</f>
        <v>0</v>
      </c>
      <c r="K74" s="12" t="n">
        <f aca="false">SUMIFS('SKU Data'!$J$6:$J$505,'SKU Data'!$B$6:$B$505,$A74)</f>
        <v>0</v>
      </c>
      <c r="L74" s="12" t="n">
        <f aca="false">SUMIFS('SKU Data'!$K$6:$K$505,'SKU Data'!$B$6:$B$505,$A74)</f>
        <v>0</v>
      </c>
      <c r="M74" s="25" t="n">
        <f aca="false">L74*Settings!$B$10+K74*Settings!$B$11+J74*Settings!$B$12+I74*Settings!$B$13</f>
        <v>0</v>
      </c>
      <c r="N74" s="25" t="n">
        <f aca="false">M74*Settings!$B$15</f>
        <v>0</v>
      </c>
      <c r="O74" s="12" t="n">
        <f aca="false">SUMIFS('SKU Data'!$L$6:$L$505,'SKU Data'!$B$6:$B$505,$A74)</f>
        <v>0</v>
      </c>
      <c r="P74" s="12" t="n">
        <f aca="false">SUMIFS('SKU Data'!$M$6:$M$505,'SKU Data'!$B$6:$B$505,$A74)</f>
        <v>0</v>
      </c>
      <c r="Q74" s="21" t="n">
        <f aca="false">IFERROR(O74/(E74-F74),0)</f>
        <v>0</v>
      </c>
      <c r="R74" s="21" t="n">
        <f aca="false">IFERROR(P74/(E74-F74),0)</f>
        <v>0</v>
      </c>
      <c r="S74" s="26" t="n">
        <f aca="false">IF(N74&lt;=0,IF(G74&gt;0,999,0),G74/N74)</f>
        <v>0</v>
      </c>
      <c r="T74" s="25" t="n">
        <f aca="false">IF(N(Options!L74)&gt;0,Options!L74,Settings!$B$20)</f>
        <v>8</v>
      </c>
      <c r="U74" s="9" t="n">
        <f aca="false">COUNTIFS('SKU Data'!$B$6:$B$505,$A74,'SKU Data'!$D$6:$D$505,"Y")</f>
        <v>0</v>
      </c>
      <c r="V74" s="9" t="n">
        <f aca="false">COUNTIFS('SKU Data'!$B$6:$B$505,$A74,'SKU Data'!$D$6:$D$505,"Y",'SKU Data'!$G$6:$G$505,"&lt;=0")</f>
        <v>0</v>
      </c>
      <c r="W74" s="28" t="str">
        <f aca="false">IF(A74="","",IF(AND(V74&gt;0,G74&gt;0),"Y",""))</f>
        <v/>
      </c>
      <c r="X74" s="9" t="str">
        <f aca="false">IF(A74="","",IF(AND(G74&gt;0,OR(Options!P74="N",Options!Q74="N")),"Y",""))</f>
        <v/>
      </c>
      <c r="Y74" s="9" t="n">
        <f aca="false">IF(AND(A74&lt;&gt;"",U74&gt;0,V74=0,G74&gt;0,Options!P74&lt;&gt;"N",Options!Q74&lt;&gt;"N"),1,0)</f>
        <v>0</v>
      </c>
      <c r="Z74" s="29" t="n">
        <f aca="false">IFERROR((K74+L74)/(I74+J74)-1,0)</f>
        <v>0</v>
      </c>
      <c r="AA74" s="9" t="str">
        <f aca="false">IF(A74="","",IF(Q74&gt;=Settings!$B$17,"High","Low"))</f>
        <v/>
      </c>
      <c r="AB74" s="9" t="str">
        <f aca="false">IF(A74="","",IF(S74&lt;IF(D74="End of life",Settings!$B$9,IF(D74="Core",T74,MIN(T74,Settings!$B$9))),"Low",IF(S74&gt;IF(D74="Core",Settings!$B$19,Settings!$B$9+Settings!$B$18),"High","Balanced")))</f>
        <v/>
      </c>
      <c r="AC74" s="28" t="str">
        <f aca="false">IF(A74="","",IF(AW74="Y","Held for a campaign",IF(AA74="High",IF(AB74="Low","Selling and short",IF(AB74="High","Selling, heavy","Selling, covered")),IF(AB74="Low","Slow and short",IF(AB74="High","Slow and heavy","Slow, covered")))))</f>
        <v/>
      </c>
      <c r="AD74" s="9" t="str">
        <f aca="false">IF(A74="","",TRIM(IF(W74="Y","Broken curve. ","")&amp;IF(X74="Y","Hidden from customers. ","")&amp;IF(Options!O74="Y","Promoted. ","")&amp;IF(Options!I74="Y","Range job. ","")&amp;IF(D74="End of life","End of life. ","")&amp;IF(H74&gt;0,"Order due in "&amp;Options!N74&amp;" weeks. ","")&amp;IF(AW74="Y","Held for "&amp;Options!T74&amp;", starts in "&amp;Options!U74&amp;" weeks. ","")&amp;IF(AX74&gt;0,"Covering for "&amp;AX74&amp;" sold-out line(s). ","")))</f>
        <v/>
      </c>
      <c r="AE74" s="9" t="str">
        <f aca="false">IF(A74="","",IF(AW74="Y",IF(AND(N(Options!V74)&gt;0,G74+H74&gt;N(Options!V74)*1.1),Settings!$A$48,Settings!$A$47),IF(X74="Y",Settings!$A$27,IF(AND(W74="Y",D74&lt;&gt;"End of life",AA74="High"),IF(H74&gt;0,Settings!$A$28,Settings!$A$29),IF(AND(W74="Y",D74="End of life"),Settings!$A$30,IF(AC74="Selling and short",IF(D74="End of life",Settings!$A$31,IF(Options!O74="Y",Settings!$A$32,IF(AX74&gt;0,Settings!$A$33,IF(H74&gt;0,IF(N(Options!N74)&lt;=S74,Settings!$A$34,Settings!$A$35),IF(AND(D74&lt;&gt;"Core",T74&gt;=Settings!$B$9),Settings!$A$36,Settings!$A$37))))),IF(AC74="Selling, heavy",IF(D74="Core",Settings!$A$38,Settings!$A$39),IF(AC74="Selling, covered",Settings!$A$40,IF(AC74="Slow and heavy",IF(Options!I74="Y",Settings!$A$41,IF(D74="End of life",Settings!$A$42,Settings!$A$43)),IF(AC74="Slow and short",IF(W74="Y",Settings!$A$44,Settings!$A$45),Settings!$A$46))))))))))</f>
        <v/>
      </c>
      <c r="AF74" s="9" t="str">
        <f aca="false">IF(A74="","",IFERROR(VLOOKUP(AM74,Settings!$A$27:$B$48,2,0),"Assign an owner"))</f>
        <v/>
      </c>
      <c r="AG74" s="14" t="n">
        <f aca="false">SUMIFS('SKU Data'!$V$6:$V$505,'SKU Data'!$B$6:$B$505,$A74)</f>
        <v>0</v>
      </c>
      <c r="AH74" s="12" t="n">
        <f aca="false">IF(A74="",0,IF(AW74="Y",IF(N(Options!V74)&gt;0,MAX(0,G74+H74-N(Options!V74)),0),MAX(0,G74+H74-N74*IF(D74="Core",Settings!$B$19,Settings!$B$9))))</f>
        <v>0</v>
      </c>
      <c r="AI74" s="14" t="n">
        <f aca="false">IF(OR(A74="",D74="Core"),0,AH74*N(Options!J74)*Settings!$B$21)</f>
        <v>0</v>
      </c>
      <c r="AJ74" s="14" t="n">
        <f aca="false">AH74*N(Options!K74)</f>
        <v>0</v>
      </c>
      <c r="AK74" s="27" t="n">
        <f aca="false">AZ74*(1-AY74)</f>
        <v>0</v>
      </c>
      <c r="AL74" s="27" t="n">
        <f aca="false">AI74+AK74</f>
        <v>0</v>
      </c>
      <c r="AM74" s="9" t="str">
        <f aca="false">IF(A74="","",IF(Options!W74&lt;&gt;"",Options!W74,AE74))</f>
        <v/>
      </c>
      <c r="AN74" s="28" t="str">
        <f aca="false">IF(A74="","",COUNTIF($AR$6:$AR$85,"&gt;"&amp;AR74)+1)</f>
        <v/>
      </c>
      <c r="AO74" s="9" t="str">
        <f aca="false">IF(A74="","",Options!D74)</f>
        <v/>
      </c>
      <c r="AP74" s="9" t="str">
        <f aca="false">IF(A74="","",Options!F74)</f>
        <v/>
      </c>
      <c r="AQ74" s="9" t="n">
        <f aca="false">IF(AND(A74&lt;&gt;"",AW74&lt;&gt;"Y",M74&gt;0,COUNTIF($M$6:$M$85,"&gt;"&amp;M74)&lt;Settings!$B$22),1,0)</f>
        <v>0</v>
      </c>
      <c r="AR74" s="28" t="n">
        <f aca="false">IF(A74="",-1,AL74+ROW()/1000000000)</f>
        <v>-1</v>
      </c>
      <c r="AS74" s="28" t="n">
        <f aca="false">IF(A74="",-1,AK74+ROW()/1000000000)</f>
        <v>-1</v>
      </c>
      <c r="AT74" s="28" t="n">
        <f aca="false">IF(A74="",-1,AI74+ROW()/1000000000)</f>
        <v>-1</v>
      </c>
      <c r="AU74" s="25" t="n">
        <f aca="false">SUMIFS('SKU Data'!$W$6:$W$505,'SKU Data'!$B$6:$B$505,$A74)</f>
        <v>0</v>
      </c>
      <c r="AV74" s="28" t="str">
        <f aca="false">IF(A74="","",COUNTIFS($C$6:$C$85,C74,$M$6:$M$85,"&gt;"&amp;M74)+1)</f>
        <v/>
      </c>
      <c r="AW74" s="9" t="str">
        <f aca="false">IF(A74="","",IF(AND(Options!T74&lt;&gt;"",N(Options!U74)&gt;0),"Y",""))</f>
        <v/>
      </c>
      <c r="AX74" s="9" t="n">
        <f aca="false">IF(A74="",0,COUNTIFS(Options!$R$6:$R$85,$A74,$V$6:$V$85,"&gt;0"))</f>
        <v>0</v>
      </c>
      <c r="AY74" s="13" t="n">
        <f aca="false">IF(Options!S74&lt;&gt;"",Options!S74,Settings!$B$23)</f>
        <v>0.3</v>
      </c>
      <c r="AZ74" s="14" t="n">
        <f aca="false">SUMIFS('SKU Data'!$U$6:$U$505,'SKU Data'!$B$6:$B$505,$A74)</f>
        <v>0</v>
      </c>
    </row>
    <row r="75" customFormat="false" ht="15" hidden="false" customHeight="false" outlineLevel="0" collapsed="false">
      <c r="A75" s="9" t="str">
        <f aca="false">IF(Options!A75="","",Options!A75)</f>
        <v/>
      </c>
      <c r="B75" s="9" t="str">
        <f aca="false">IF(A75="","",Options!B75&amp;" "&amp;Options!C75)</f>
        <v/>
      </c>
      <c r="C75" s="9" t="str">
        <f aca="false">IF(A75="","",Options!E75)</f>
        <v/>
      </c>
      <c r="D75" s="9" t="str">
        <f aca="false">IF(A75="","",Options!H75)</f>
        <v/>
      </c>
      <c r="E75" s="12" t="n">
        <f aca="false">SUMIFS('SKU Data'!$E$6:$E$505,'SKU Data'!$B$6:$B$505,$A75)</f>
        <v>0</v>
      </c>
      <c r="F75" s="12" t="n">
        <f aca="false">SUMIFS('SKU Data'!$F$6:$F$505,'SKU Data'!$B$6:$B$505,$A75)</f>
        <v>0</v>
      </c>
      <c r="G75" s="12" t="n">
        <f aca="false">SUMIFS('SKU Data'!$G$6:$G$505,'SKU Data'!$B$6:$B$505,$A75)</f>
        <v>0</v>
      </c>
      <c r="H75" s="12" t="n">
        <f aca="false">N(Options!M75)</f>
        <v>0</v>
      </c>
      <c r="I75" s="12" t="n">
        <f aca="false">SUMIFS('SKU Data'!$H$6:$H$505,'SKU Data'!$B$6:$B$505,$A75)</f>
        <v>0</v>
      </c>
      <c r="J75" s="12" t="n">
        <f aca="false">SUMIFS('SKU Data'!$I$6:$I$505,'SKU Data'!$B$6:$B$505,$A75)</f>
        <v>0</v>
      </c>
      <c r="K75" s="12" t="n">
        <f aca="false">SUMIFS('SKU Data'!$J$6:$J$505,'SKU Data'!$B$6:$B$505,$A75)</f>
        <v>0</v>
      </c>
      <c r="L75" s="12" t="n">
        <f aca="false">SUMIFS('SKU Data'!$K$6:$K$505,'SKU Data'!$B$6:$B$505,$A75)</f>
        <v>0</v>
      </c>
      <c r="M75" s="25" t="n">
        <f aca="false">L75*Settings!$B$10+K75*Settings!$B$11+J75*Settings!$B$12+I75*Settings!$B$13</f>
        <v>0</v>
      </c>
      <c r="N75" s="25" t="n">
        <f aca="false">M75*Settings!$B$15</f>
        <v>0</v>
      </c>
      <c r="O75" s="12" t="n">
        <f aca="false">SUMIFS('SKU Data'!$L$6:$L$505,'SKU Data'!$B$6:$B$505,$A75)</f>
        <v>0</v>
      </c>
      <c r="P75" s="12" t="n">
        <f aca="false">SUMIFS('SKU Data'!$M$6:$M$505,'SKU Data'!$B$6:$B$505,$A75)</f>
        <v>0</v>
      </c>
      <c r="Q75" s="21" t="n">
        <f aca="false">IFERROR(O75/(E75-F75),0)</f>
        <v>0</v>
      </c>
      <c r="R75" s="21" t="n">
        <f aca="false">IFERROR(P75/(E75-F75),0)</f>
        <v>0</v>
      </c>
      <c r="S75" s="26" t="n">
        <f aca="false">IF(N75&lt;=0,IF(G75&gt;0,999,0),G75/N75)</f>
        <v>0</v>
      </c>
      <c r="T75" s="25" t="n">
        <f aca="false">IF(N(Options!L75)&gt;0,Options!L75,Settings!$B$20)</f>
        <v>8</v>
      </c>
      <c r="U75" s="9" t="n">
        <f aca="false">COUNTIFS('SKU Data'!$B$6:$B$505,$A75,'SKU Data'!$D$6:$D$505,"Y")</f>
        <v>0</v>
      </c>
      <c r="V75" s="9" t="n">
        <f aca="false">COUNTIFS('SKU Data'!$B$6:$B$505,$A75,'SKU Data'!$D$6:$D$505,"Y",'SKU Data'!$G$6:$G$505,"&lt;=0")</f>
        <v>0</v>
      </c>
      <c r="W75" s="28" t="str">
        <f aca="false">IF(A75="","",IF(AND(V75&gt;0,G75&gt;0),"Y",""))</f>
        <v/>
      </c>
      <c r="X75" s="9" t="str">
        <f aca="false">IF(A75="","",IF(AND(G75&gt;0,OR(Options!P75="N",Options!Q75="N")),"Y",""))</f>
        <v/>
      </c>
      <c r="Y75" s="9" t="n">
        <f aca="false">IF(AND(A75&lt;&gt;"",U75&gt;0,V75=0,G75&gt;0,Options!P75&lt;&gt;"N",Options!Q75&lt;&gt;"N"),1,0)</f>
        <v>0</v>
      </c>
      <c r="Z75" s="29" t="n">
        <f aca="false">IFERROR((K75+L75)/(I75+J75)-1,0)</f>
        <v>0</v>
      </c>
      <c r="AA75" s="9" t="str">
        <f aca="false">IF(A75="","",IF(Q75&gt;=Settings!$B$17,"High","Low"))</f>
        <v/>
      </c>
      <c r="AB75" s="9" t="str">
        <f aca="false">IF(A75="","",IF(S75&lt;IF(D75="End of life",Settings!$B$9,IF(D75="Core",T75,MIN(T75,Settings!$B$9))),"Low",IF(S75&gt;IF(D75="Core",Settings!$B$19,Settings!$B$9+Settings!$B$18),"High","Balanced")))</f>
        <v/>
      </c>
      <c r="AC75" s="28" t="str">
        <f aca="false">IF(A75="","",IF(AW75="Y","Held for a campaign",IF(AA75="High",IF(AB75="Low","Selling and short",IF(AB75="High","Selling, heavy","Selling, covered")),IF(AB75="Low","Slow and short",IF(AB75="High","Slow and heavy","Slow, covered")))))</f>
        <v/>
      </c>
      <c r="AD75" s="9" t="str">
        <f aca="false">IF(A75="","",TRIM(IF(W75="Y","Broken curve. ","")&amp;IF(X75="Y","Hidden from customers. ","")&amp;IF(Options!O75="Y","Promoted. ","")&amp;IF(Options!I75="Y","Range job. ","")&amp;IF(D75="End of life","End of life. ","")&amp;IF(H75&gt;0,"Order due in "&amp;Options!N75&amp;" weeks. ","")&amp;IF(AW75="Y","Held for "&amp;Options!T75&amp;", starts in "&amp;Options!U75&amp;" weeks. ","")&amp;IF(AX75&gt;0,"Covering for "&amp;AX75&amp;" sold-out line(s). ","")))</f>
        <v/>
      </c>
      <c r="AE75" s="9" t="str">
        <f aca="false">IF(A75="","",IF(AW75="Y",IF(AND(N(Options!V75)&gt;0,G75+H75&gt;N(Options!V75)*1.1),Settings!$A$48,Settings!$A$47),IF(X75="Y",Settings!$A$27,IF(AND(W75="Y",D75&lt;&gt;"End of life",AA75="High"),IF(H75&gt;0,Settings!$A$28,Settings!$A$29),IF(AND(W75="Y",D75="End of life"),Settings!$A$30,IF(AC75="Selling and short",IF(D75="End of life",Settings!$A$31,IF(Options!O75="Y",Settings!$A$32,IF(AX75&gt;0,Settings!$A$33,IF(H75&gt;0,IF(N(Options!N75)&lt;=S75,Settings!$A$34,Settings!$A$35),IF(AND(D75&lt;&gt;"Core",T75&gt;=Settings!$B$9),Settings!$A$36,Settings!$A$37))))),IF(AC75="Selling, heavy",IF(D75="Core",Settings!$A$38,Settings!$A$39),IF(AC75="Selling, covered",Settings!$A$40,IF(AC75="Slow and heavy",IF(Options!I75="Y",Settings!$A$41,IF(D75="End of life",Settings!$A$42,Settings!$A$43)),IF(AC75="Slow and short",IF(W75="Y",Settings!$A$44,Settings!$A$45),Settings!$A$46))))))))))</f>
        <v/>
      </c>
      <c r="AF75" s="9" t="str">
        <f aca="false">IF(A75="","",IFERROR(VLOOKUP(AM75,Settings!$A$27:$B$48,2,0),"Assign an owner"))</f>
        <v/>
      </c>
      <c r="AG75" s="14" t="n">
        <f aca="false">SUMIFS('SKU Data'!$V$6:$V$505,'SKU Data'!$B$6:$B$505,$A75)</f>
        <v>0</v>
      </c>
      <c r="AH75" s="12" t="n">
        <f aca="false">IF(A75="",0,IF(AW75="Y",IF(N(Options!V75)&gt;0,MAX(0,G75+H75-N(Options!V75)),0),MAX(0,G75+H75-N75*IF(D75="Core",Settings!$B$19,Settings!$B$9))))</f>
        <v>0</v>
      </c>
      <c r="AI75" s="14" t="n">
        <f aca="false">IF(OR(A75="",D75="Core"),0,AH75*N(Options!J75)*Settings!$B$21)</f>
        <v>0</v>
      </c>
      <c r="AJ75" s="14" t="n">
        <f aca="false">AH75*N(Options!K75)</f>
        <v>0</v>
      </c>
      <c r="AK75" s="27" t="n">
        <f aca="false">AZ75*(1-AY75)</f>
        <v>0</v>
      </c>
      <c r="AL75" s="27" t="n">
        <f aca="false">AI75+AK75</f>
        <v>0</v>
      </c>
      <c r="AM75" s="9" t="str">
        <f aca="false">IF(A75="","",IF(Options!W75&lt;&gt;"",Options!W75,AE75))</f>
        <v/>
      </c>
      <c r="AN75" s="28" t="str">
        <f aca="false">IF(A75="","",COUNTIF($AR$6:$AR$85,"&gt;"&amp;AR75)+1)</f>
        <v/>
      </c>
      <c r="AO75" s="9" t="str">
        <f aca="false">IF(A75="","",Options!D75)</f>
        <v/>
      </c>
      <c r="AP75" s="9" t="str">
        <f aca="false">IF(A75="","",Options!F75)</f>
        <v/>
      </c>
      <c r="AQ75" s="9" t="n">
        <f aca="false">IF(AND(A75&lt;&gt;"",AW75&lt;&gt;"Y",M75&gt;0,COUNTIF($M$6:$M$85,"&gt;"&amp;M75)&lt;Settings!$B$22),1,0)</f>
        <v>0</v>
      </c>
      <c r="AR75" s="28" t="n">
        <f aca="false">IF(A75="",-1,AL75+ROW()/1000000000)</f>
        <v>-1</v>
      </c>
      <c r="AS75" s="28" t="n">
        <f aca="false">IF(A75="",-1,AK75+ROW()/1000000000)</f>
        <v>-1</v>
      </c>
      <c r="AT75" s="28" t="n">
        <f aca="false">IF(A75="",-1,AI75+ROW()/1000000000)</f>
        <v>-1</v>
      </c>
      <c r="AU75" s="25" t="n">
        <f aca="false">SUMIFS('SKU Data'!$W$6:$W$505,'SKU Data'!$B$6:$B$505,$A75)</f>
        <v>0</v>
      </c>
      <c r="AV75" s="28" t="str">
        <f aca="false">IF(A75="","",COUNTIFS($C$6:$C$85,C75,$M$6:$M$85,"&gt;"&amp;M75)+1)</f>
        <v/>
      </c>
      <c r="AW75" s="9" t="str">
        <f aca="false">IF(A75="","",IF(AND(Options!T75&lt;&gt;"",N(Options!U75)&gt;0),"Y",""))</f>
        <v/>
      </c>
      <c r="AX75" s="9" t="n">
        <f aca="false">IF(A75="",0,COUNTIFS(Options!$R$6:$R$85,$A75,$V$6:$V$85,"&gt;0"))</f>
        <v>0</v>
      </c>
      <c r="AY75" s="13" t="n">
        <f aca="false">IF(Options!S75&lt;&gt;"",Options!S75,Settings!$B$23)</f>
        <v>0.3</v>
      </c>
      <c r="AZ75" s="14" t="n">
        <f aca="false">SUMIFS('SKU Data'!$U$6:$U$505,'SKU Data'!$B$6:$B$505,$A75)</f>
        <v>0</v>
      </c>
    </row>
    <row r="76" customFormat="false" ht="15" hidden="false" customHeight="false" outlineLevel="0" collapsed="false">
      <c r="A76" s="9" t="str">
        <f aca="false">IF(Options!A76="","",Options!A76)</f>
        <v/>
      </c>
      <c r="B76" s="9" t="str">
        <f aca="false">IF(A76="","",Options!B76&amp;" "&amp;Options!C76)</f>
        <v/>
      </c>
      <c r="C76" s="9" t="str">
        <f aca="false">IF(A76="","",Options!E76)</f>
        <v/>
      </c>
      <c r="D76" s="9" t="str">
        <f aca="false">IF(A76="","",Options!H76)</f>
        <v/>
      </c>
      <c r="E76" s="12" t="n">
        <f aca="false">SUMIFS('SKU Data'!$E$6:$E$505,'SKU Data'!$B$6:$B$505,$A76)</f>
        <v>0</v>
      </c>
      <c r="F76" s="12" t="n">
        <f aca="false">SUMIFS('SKU Data'!$F$6:$F$505,'SKU Data'!$B$6:$B$505,$A76)</f>
        <v>0</v>
      </c>
      <c r="G76" s="12" t="n">
        <f aca="false">SUMIFS('SKU Data'!$G$6:$G$505,'SKU Data'!$B$6:$B$505,$A76)</f>
        <v>0</v>
      </c>
      <c r="H76" s="12" t="n">
        <f aca="false">N(Options!M76)</f>
        <v>0</v>
      </c>
      <c r="I76" s="12" t="n">
        <f aca="false">SUMIFS('SKU Data'!$H$6:$H$505,'SKU Data'!$B$6:$B$505,$A76)</f>
        <v>0</v>
      </c>
      <c r="J76" s="12" t="n">
        <f aca="false">SUMIFS('SKU Data'!$I$6:$I$505,'SKU Data'!$B$6:$B$505,$A76)</f>
        <v>0</v>
      </c>
      <c r="K76" s="12" t="n">
        <f aca="false">SUMIFS('SKU Data'!$J$6:$J$505,'SKU Data'!$B$6:$B$505,$A76)</f>
        <v>0</v>
      </c>
      <c r="L76" s="12" t="n">
        <f aca="false">SUMIFS('SKU Data'!$K$6:$K$505,'SKU Data'!$B$6:$B$505,$A76)</f>
        <v>0</v>
      </c>
      <c r="M76" s="25" t="n">
        <f aca="false">L76*Settings!$B$10+K76*Settings!$B$11+J76*Settings!$B$12+I76*Settings!$B$13</f>
        <v>0</v>
      </c>
      <c r="N76" s="25" t="n">
        <f aca="false">M76*Settings!$B$15</f>
        <v>0</v>
      </c>
      <c r="O76" s="12" t="n">
        <f aca="false">SUMIFS('SKU Data'!$L$6:$L$505,'SKU Data'!$B$6:$B$505,$A76)</f>
        <v>0</v>
      </c>
      <c r="P76" s="12" t="n">
        <f aca="false">SUMIFS('SKU Data'!$M$6:$M$505,'SKU Data'!$B$6:$B$505,$A76)</f>
        <v>0</v>
      </c>
      <c r="Q76" s="21" t="n">
        <f aca="false">IFERROR(O76/(E76-F76),0)</f>
        <v>0</v>
      </c>
      <c r="R76" s="21" t="n">
        <f aca="false">IFERROR(P76/(E76-F76),0)</f>
        <v>0</v>
      </c>
      <c r="S76" s="26" t="n">
        <f aca="false">IF(N76&lt;=0,IF(G76&gt;0,999,0),G76/N76)</f>
        <v>0</v>
      </c>
      <c r="T76" s="25" t="n">
        <f aca="false">IF(N(Options!L76)&gt;0,Options!L76,Settings!$B$20)</f>
        <v>8</v>
      </c>
      <c r="U76" s="9" t="n">
        <f aca="false">COUNTIFS('SKU Data'!$B$6:$B$505,$A76,'SKU Data'!$D$6:$D$505,"Y")</f>
        <v>0</v>
      </c>
      <c r="V76" s="9" t="n">
        <f aca="false">COUNTIFS('SKU Data'!$B$6:$B$505,$A76,'SKU Data'!$D$6:$D$505,"Y",'SKU Data'!$G$6:$G$505,"&lt;=0")</f>
        <v>0</v>
      </c>
      <c r="W76" s="28" t="str">
        <f aca="false">IF(A76="","",IF(AND(V76&gt;0,G76&gt;0),"Y",""))</f>
        <v/>
      </c>
      <c r="X76" s="9" t="str">
        <f aca="false">IF(A76="","",IF(AND(G76&gt;0,OR(Options!P76="N",Options!Q76="N")),"Y",""))</f>
        <v/>
      </c>
      <c r="Y76" s="9" t="n">
        <f aca="false">IF(AND(A76&lt;&gt;"",U76&gt;0,V76=0,G76&gt;0,Options!P76&lt;&gt;"N",Options!Q76&lt;&gt;"N"),1,0)</f>
        <v>0</v>
      </c>
      <c r="Z76" s="29" t="n">
        <f aca="false">IFERROR((K76+L76)/(I76+J76)-1,0)</f>
        <v>0</v>
      </c>
      <c r="AA76" s="9" t="str">
        <f aca="false">IF(A76="","",IF(Q76&gt;=Settings!$B$17,"High","Low"))</f>
        <v/>
      </c>
      <c r="AB76" s="9" t="str">
        <f aca="false">IF(A76="","",IF(S76&lt;IF(D76="End of life",Settings!$B$9,IF(D76="Core",T76,MIN(T76,Settings!$B$9))),"Low",IF(S76&gt;IF(D76="Core",Settings!$B$19,Settings!$B$9+Settings!$B$18),"High","Balanced")))</f>
        <v/>
      </c>
      <c r="AC76" s="28" t="str">
        <f aca="false">IF(A76="","",IF(AW76="Y","Held for a campaign",IF(AA76="High",IF(AB76="Low","Selling and short",IF(AB76="High","Selling, heavy","Selling, covered")),IF(AB76="Low","Slow and short",IF(AB76="High","Slow and heavy","Slow, covered")))))</f>
        <v/>
      </c>
      <c r="AD76" s="9" t="str">
        <f aca="false">IF(A76="","",TRIM(IF(W76="Y","Broken curve. ","")&amp;IF(X76="Y","Hidden from customers. ","")&amp;IF(Options!O76="Y","Promoted. ","")&amp;IF(Options!I76="Y","Range job. ","")&amp;IF(D76="End of life","End of life. ","")&amp;IF(H76&gt;0,"Order due in "&amp;Options!N76&amp;" weeks. ","")&amp;IF(AW76="Y","Held for "&amp;Options!T76&amp;", starts in "&amp;Options!U76&amp;" weeks. ","")&amp;IF(AX76&gt;0,"Covering for "&amp;AX76&amp;" sold-out line(s). ","")))</f>
        <v/>
      </c>
      <c r="AE76" s="9" t="str">
        <f aca="false">IF(A76="","",IF(AW76="Y",IF(AND(N(Options!V76)&gt;0,G76+H76&gt;N(Options!V76)*1.1),Settings!$A$48,Settings!$A$47),IF(X76="Y",Settings!$A$27,IF(AND(W76="Y",D76&lt;&gt;"End of life",AA76="High"),IF(H76&gt;0,Settings!$A$28,Settings!$A$29),IF(AND(W76="Y",D76="End of life"),Settings!$A$30,IF(AC76="Selling and short",IF(D76="End of life",Settings!$A$31,IF(Options!O76="Y",Settings!$A$32,IF(AX76&gt;0,Settings!$A$33,IF(H76&gt;0,IF(N(Options!N76)&lt;=S76,Settings!$A$34,Settings!$A$35),IF(AND(D76&lt;&gt;"Core",T76&gt;=Settings!$B$9),Settings!$A$36,Settings!$A$37))))),IF(AC76="Selling, heavy",IF(D76="Core",Settings!$A$38,Settings!$A$39),IF(AC76="Selling, covered",Settings!$A$40,IF(AC76="Slow and heavy",IF(Options!I76="Y",Settings!$A$41,IF(D76="End of life",Settings!$A$42,Settings!$A$43)),IF(AC76="Slow and short",IF(W76="Y",Settings!$A$44,Settings!$A$45),Settings!$A$46))))))))))</f>
        <v/>
      </c>
      <c r="AF76" s="9" t="str">
        <f aca="false">IF(A76="","",IFERROR(VLOOKUP(AM76,Settings!$A$27:$B$48,2,0),"Assign an owner"))</f>
        <v/>
      </c>
      <c r="AG76" s="14" t="n">
        <f aca="false">SUMIFS('SKU Data'!$V$6:$V$505,'SKU Data'!$B$6:$B$505,$A76)</f>
        <v>0</v>
      </c>
      <c r="AH76" s="12" t="n">
        <f aca="false">IF(A76="",0,IF(AW76="Y",IF(N(Options!V76)&gt;0,MAX(0,G76+H76-N(Options!V76)),0),MAX(0,G76+H76-N76*IF(D76="Core",Settings!$B$19,Settings!$B$9))))</f>
        <v>0</v>
      </c>
      <c r="AI76" s="14" t="n">
        <f aca="false">IF(OR(A76="",D76="Core"),0,AH76*N(Options!J76)*Settings!$B$21)</f>
        <v>0</v>
      </c>
      <c r="AJ76" s="14" t="n">
        <f aca="false">AH76*N(Options!K76)</f>
        <v>0</v>
      </c>
      <c r="AK76" s="27" t="n">
        <f aca="false">AZ76*(1-AY76)</f>
        <v>0</v>
      </c>
      <c r="AL76" s="27" t="n">
        <f aca="false">AI76+AK76</f>
        <v>0</v>
      </c>
      <c r="AM76" s="9" t="str">
        <f aca="false">IF(A76="","",IF(Options!W76&lt;&gt;"",Options!W76,AE76))</f>
        <v/>
      </c>
      <c r="AN76" s="28" t="str">
        <f aca="false">IF(A76="","",COUNTIF($AR$6:$AR$85,"&gt;"&amp;AR76)+1)</f>
        <v/>
      </c>
      <c r="AO76" s="9" t="str">
        <f aca="false">IF(A76="","",Options!D76)</f>
        <v/>
      </c>
      <c r="AP76" s="9" t="str">
        <f aca="false">IF(A76="","",Options!F76)</f>
        <v/>
      </c>
      <c r="AQ76" s="9" t="n">
        <f aca="false">IF(AND(A76&lt;&gt;"",AW76&lt;&gt;"Y",M76&gt;0,COUNTIF($M$6:$M$85,"&gt;"&amp;M76)&lt;Settings!$B$22),1,0)</f>
        <v>0</v>
      </c>
      <c r="AR76" s="28" t="n">
        <f aca="false">IF(A76="",-1,AL76+ROW()/1000000000)</f>
        <v>-1</v>
      </c>
      <c r="AS76" s="28" t="n">
        <f aca="false">IF(A76="",-1,AK76+ROW()/1000000000)</f>
        <v>-1</v>
      </c>
      <c r="AT76" s="28" t="n">
        <f aca="false">IF(A76="",-1,AI76+ROW()/1000000000)</f>
        <v>-1</v>
      </c>
      <c r="AU76" s="25" t="n">
        <f aca="false">SUMIFS('SKU Data'!$W$6:$W$505,'SKU Data'!$B$6:$B$505,$A76)</f>
        <v>0</v>
      </c>
      <c r="AV76" s="28" t="str">
        <f aca="false">IF(A76="","",COUNTIFS($C$6:$C$85,C76,$M$6:$M$85,"&gt;"&amp;M76)+1)</f>
        <v/>
      </c>
      <c r="AW76" s="9" t="str">
        <f aca="false">IF(A76="","",IF(AND(Options!T76&lt;&gt;"",N(Options!U76)&gt;0),"Y",""))</f>
        <v/>
      </c>
      <c r="AX76" s="9" t="n">
        <f aca="false">IF(A76="",0,COUNTIFS(Options!$R$6:$R$85,$A76,$V$6:$V$85,"&gt;0"))</f>
        <v>0</v>
      </c>
      <c r="AY76" s="13" t="n">
        <f aca="false">IF(Options!S76&lt;&gt;"",Options!S76,Settings!$B$23)</f>
        <v>0.3</v>
      </c>
      <c r="AZ76" s="14" t="n">
        <f aca="false">SUMIFS('SKU Data'!$U$6:$U$505,'SKU Data'!$B$6:$B$505,$A76)</f>
        <v>0</v>
      </c>
    </row>
    <row r="77" customFormat="false" ht="15" hidden="false" customHeight="false" outlineLevel="0" collapsed="false">
      <c r="A77" s="9" t="str">
        <f aca="false">IF(Options!A77="","",Options!A77)</f>
        <v/>
      </c>
      <c r="B77" s="9" t="str">
        <f aca="false">IF(A77="","",Options!B77&amp;" "&amp;Options!C77)</f>
        <v/>
      </c>
      <c r="C77" s="9" t="str">
        <f aca="false">IF(A77="","",Options!E77)</f>
        <v/>
      </c>
      <c r="D77" s="9" t="str">
        <f aca="false">IF(A77="","",Options!H77)</f>
        <v/>
      </c>
      <c r="E77" s="12" t="n">
        <f aca="false">SUMIFS('SKU Data'!$E$6:$E$505,'SKU Data'!$B$6:$B$505,$A77)</f>
        <v>0</v>
      </c>
      <c r="F77" s="12" t="n">
        <f aca="false">SUMIFS('SKU Data'!$F$6:$F$505,'SKU Data'!$B$6:$B$505,$A77)</f>
        <v>0</v>
      </c>
      <c r="G77" s="12" t="n">
        <f aca="false">SUMIFS('SKU Data'!$G$6:$G$505,'SKU Data'!$B$6:$B$505,$A77)</f>
        <v>0</v>
      </c>
      <c r="H77" s="12" t="n">
        <f aca="false">N(Options!M77)</f>
        <v>0</v>
      </c>
      <c r="I77" s="12" t="n">
        <f aca="false">SUMIFS('SKU Data'!$H$6:$H$505,'SKU Data'!$B$6:$B$505,$A77)</f>
        <v>0</v>
      </c>
      <c r="J77" s="12" t="n">
        <f aca="false">SUMIFS('SKU Data'!$I$6:$I$505,'SKU Data'!$B$6:$B$505,$A77)</f>
        <v>0</v>
      </c>
      <c r="K77" s="12" t="n">
        <f aca="false">SUMIFS('SKU Data'!$J$6:$J$505,'SKU Data'!$B$6:$B$505,$A77)</f>
        <v>0</v>
      </c>
      <c r="L77" s="12" t="n">
        <f aca="false">SUMIFS('SKU Data'!$K$6:$K$505,'SKU Data'!$B$6:$B$505,$A77)</f>
        <v>0</v>
      </c>
      <c r="M77" s="25" t="n">
        <f aca="false">L77*Settings!$B$10+K77*Settings!$B$11+J77*Settings!$B$12+I77*Settings!$B$13</f>
        <v>0</v>
      </c>
      <c r="N77" s="25" t="n">
        <f aca="false">M77*Settings!$B$15</f>
        <v>0</v>
      </c>
      <c r="O77" s="12" t="n">
        <f aca="false">SUMIFS('SKU Data'!$L$6:$L$505,'SKU Data'!$B$6:$B$505,$A77)</f>
        <v>0</v>
      </c>
      <c r="P77" s="12" t="n">
        <f aca="false">SUMIFS('SKU Data'!$M$6:$M$505,'SKU Data'!$B$6:$B$505,$A77)</f>
        <v>0</v>
      </c>
      <c r="Q77" s="21" t="n">
        <f aca="false">IFERROR(O77/(E77-F77),0)</f>
        <v>0</v>
      </c>
      <c r="R77" s="21" t="n">
        <f aca="false">IFERROR(P77/(E77-F77),0)</f>
        <v>0</v>
      </c>
      <c r="S77" s="26" t="n">
        <f aca="false">IF(N77&lt;=0,IF(G77&gt;0,999,0),G77/N77)</f>
        <v>0</v>
      </c>
      <c r="T77" s="25" t="n">
        <f aca="false">IF(N(Options!L77)&gt;0,Options!L77,Settings!$B$20)</f>
        <v>8</v>
      </c>
      <c r="U77" s="9" t="n">
        <f aca="false">COUNTIFS('SKU Data'!$B$6:$B$505,$A77,'SKU Data'!$D$6:$D$505,"Y")</f>
        <v>0</v>
      </c>
      <c r="V77" s="9" t="n">
        <f aca="false">COUNTIFS('SKU Data'!$B$6:$B$505,$A77,'SKU Data'!$D$6:$D$505,"Y",'SKU Data'!$G$6:$G$505,"&lt;=0")</f>
        <v>0</v>
      </c>
      <c r="W77" s="28" t="str">
        <f aca="false">IF(A77="","",IF(AND(V77&gt;0,G77&gt;0),"Y",""))</f>
        <v/>
      </c>
      <c r="X77" s="9" t="str">
        <f aca="false">IF(A77="","",IF(AND(G77&gt;0,OR(Options!P77="N",Options!Q77="N")),"Y",""))</f>
        <v/>
      </c>
      <c r="Y77" s="9" t="n">
        <f aca="false">IF(AND(A77&lt;&gt;"",U77&gt;0,V77=0,G77&gt;0,Options!P77&lt;&gt;"N",Options!Q77&lt;&gt;"N"),1,0)</f>
        <v>0</v>
      </c>
      <c r="Z77" s="29" t="n">
        <f aca="false">IFERROR((K77+L77)/(I77+J77)-1,0)</f>
        <v>0</v>
      </c>
      <c r="AA77" s="9" t="str">
        <f aca="false">IF(A77="","",IF(Q77&gt;=Settings!$B$17,"High","Low"))</f>
        <v/>
      </c>
      <c r="AB77" s="9" t="str">
        <f aca="false">IF(A77="","",IF(S77&lt;IF(D77="End of life",Settings!$B$9,IF(D77="Core",T77,MIN(T77,Settings!$B$9))),"Low",IF(S77&gt;IF(D77="Core",Settings!$B$19,Settings!$B$9+Settings!$B$18),"High","Balanced")))</f>
        <v/>
      </c>
      <c r="AC77" s="28" t="str">
        <f aca="false">IF(A77="","",IF(AW77="Y","Held for a campaign",IF(AA77="High",IF(AB77="Low","Selling and short",IF(AB77="High","Selling, heavy","Selling, covered")),IF(AB77="Low","Slow and short",IF(AB77="High","Slow and heavy","Slow, covered")))))</f>
        <v/>
      </c>
      <c r="AD77" s="9" t="str">
        <f aca="false">IF(A77="","",TRIM(IF(W77="Y","Broken curve. ","")&amp;IF(X77="Y","Hidden from customers. ","")&amp;IF(Options!O77="Y","Promoted. ","")&amp;IF(Options!I77="Y","Range job. ","")&amp;IF(D77="End of life","End of life. ","")&amp;IF(H77&gt;0,"Order due in "&amp;Options!N77&amp;" weeks. ","")&amp;IF(AW77="Y","Held for "&amp;Options!T77&amp;", starts in "&amp;Options!U77&amp;" weeks. ","")&amp;IF(AX77&gt;0,"Covering for "&amp;AX77&amp;" sold-out line(s). ","")))</f>
        <v/>
      </c>
      <c r="AE77" s="9" t="str">
        <f aca="false">IF(A77="","",IF(AW77="Y",IF(AND(N(Options!V77)&gt;0,G77+H77&gt;N(Options!V77)*1.1),Settings!$A$48,Settings!$A$47),IF(X77="Y",Settings!$A$27,IF(AND(W77="Y",D77&lt;&gt;"End of life",AA77="High"),IF(H77&gt;0,Settings!$A$28,Settings!$A$29),IF(AND(W77="Y",D77="End of life"),Settings!$A$30,IF(AC77="Selling and short",IF(D77="End of life",Settings!$A$31,IF(Options!O77="Y",Settings!$A$32,IF(AX77&gt;0,Settings!$A$33,IF(H77&gt;0,IF(N(Options!N77)&lt;=S77,Settings!$A$34,Settings!$A$35),IF(AND(D77&lt;&gt;"Core",T77&gt;=Settings!$B$9),Settings!$A$36,Settings!$A$37))))),IF(AC77="Selling, heavy",IF(D77="Core",Settings!$A$38,Settings!$A$39),IF(AC77="Selling, covered",Settings!$A$40,IF(AC77="Slow and heavy",IF(Options!I77="Y",Settings!$A$41,IF(D77="End of life",Settings!$A$42,Settings!$A$43)),IF(AC77="Slow and short",IF(W77="Y",Settings!$A$44,Settings!$A$45),Settings!$A$46))))))))))</f>
        <v/>
      </c>
      <c r="AF77" s="9" t="str">
        <f aca="false">IF(A77="","",IFERROR(VLOOKUP(AM77,Settings!$A$27:$B$48,2,0),"Assign an owner"))</f>
        <v/>
      </c>
      <c r="AG77" s="14" t="n">
        <f aca="false">SUMIFS('SKU Data'!$V$6:$V$505,'SKU Data'!$B$6:$B$505,$A77)</f>
        <v>0</v>
      </c>
      <c r="AH77" s="12" t="n">
        <f aca="false">IF(A77="",0,IF(AW77="Y",IF(N(Options!V77)&gt;0,MAX(0,G77+H77-N(Options!V77)),0),MAX(0,G77+H77-N77*IF(D77="Core",Settings!$B$19,Settings!$B$9))))</f>
        <v>0</v>
      </c>
      <c r="AI77" s="14" t="n">
        <f aca="false">IF(OR(A77="",D77="Core"),0,AH77*N(Options!J77)*Settings!$B$21)</f>
        <v>0</v>
      </c>
      <c r="AJ77" s="14" t="n">
        <f aca="false">AH77*N(Options!K77)</f>
        <v>0</v>
      </c>
      <c r="AK77" s="27" t="n">
        <f aca="false">AZ77*(1-AY77)</f>
        <v>0</v>
      </c>
      <c r="AL77" s="27" t="n">
        <f aca="false">AI77+AK77</f>
        <v>0</v>
      </c>
      <c r="AM77" s="9" t="str">
        <f aca="false">IF(A77="","",IF(Options!W77&lt;&gt;"",Options!W77,AE77))</f>
        <v/>
      </c>
      <c r="AN77" s="28" t="str">
        <f aca="false">IF(A77="","",COUNTIF($AR$6:$AR$85,"&gt;"&amp;AR77)+1)</f>
        <v/>
      </c>
      <c r="AO77" s="9" t="str">
        <f aca="false">IF(A77="","",Options!D77)</f>
        <v/>
      </c>
      <c r="AP77" s="9" t="str">
        <f aca="false">IF(A77="","",Options!F77)</f>
        <v/>
      </c>
      <c r="AQ77" s="9" t="n">
        <f aca="false">IF(AND(A77&lt;&gt;"",AW77&lt;&gt;"Y",M77&gt;0,COUNTIF($M$6:$M$85,"&gt;"&amp;M77)&lt;Settings!$B$22),1,0)</f>
        <v>0</v>
      </c>
      <c r="AR77" s="28" t="n">
        <f aca="false">IF(A77="",-1,AL77+ROW()/1000000000)</f>
        <v>-1</v>
      </c>
      <c r="AS77" s="28" t="n">
        <f aca="false">IF(A77="",-1,AK77+ROW()/1000000000)</f>
        <v>-1</v>
      </c>
      <c r="AT77" s="28" t="n">
        <f aca="false">IF(A77="",-1,AI77+ROW()/1000000000)</f>
        <v>-1</v>
      </c>
      <c r="AU77" s="25" t="n">
        <f aca="false">SUMIFS('SKU Data'!$W$6:$W$505,'SKU Data'!$B$6:$B$505,$A77)</f>
        <v>0</v>
      </c>
      <c r="AV77" s="28" t="str">
        <f aca="false">IF(A77="","",COUNTIFS($C$6:$C$85,C77,$M$6:$M$85,"&gt;"&amp;M77)+1)</f>
        <v/>
      </c>
      <c r="AW77" s="9" t="str">
        <f aca="false">IF(A77="","",IF(AND(Options!T77&lt;&gt;"",N(Options!U77)&gt;0),"Y",""))</f>
        <v/>
      </c>
      <c r="AX77" s="9" t="n">
        <f aca="false">IF(A77="",0,COUNTIFS(Options!$R$6:$R$85,$A77,$V$6:$V$85,"&gt;0"))</f>
        <v>0</v>
      </c>
      <c r="AY77" s="13" t="n">
        <f aca="false">IF(Options!S77&lt;&gt;"",Options!S77,Settings!$B$23)</f>
        <v>0.3</v>
      </c>
      <c r="AZ77" s="14" t="n">
        <f aca="false">SUMIFS('SKU Data'!$U$6:$U$505,'SKU Data'!$B$6:$B$505,$A77)</f>
        <v>0</v>
      </c>
    </row>
    <row r="78" customFormat="false" ht="15" hidden="false" customHeight="false" outlineLevel="0" collapsed="false">
      <c r="A78" s="9" t="str">
        <f aca="false">IF(Options!A78="","",Options!A78)</f>
        <v/>
      </c>
      <c r="B78" s="9" t="str">
        <f aca="false">IF(A78="","",Options!B78&amp;" "&amp;Options!C78)</f>
        <v/>
      </c>
      <c r="C78" s="9" t="str">
        <f aca="false">IF(A78="","",Options!E78)</f>
        <v/>
      </c>
      <c r="D78" s="9" t="str">
        <f aca="false">IF(A78="","",Options!H78)</f>
        <v/>
      </c>
      <c r="E78" s="12" t="n">
        <f aca="false">SUMIFS('SKU Data'!$E$6:$E$505,'SKU Data'!$B$6:$B$505,$A78)</f>
        <v>0</v>
      </c>
      <c r="F78" s="12" t="n">
        <f aca="false">SUMIFS('SKU Data'!$F$6:$F$505,'SKU Data'!$B$6:$B$505,$A78)</f>
        <v>0</v>
      </c>
      <c r="G78" s="12" t="n">
        <f aca="false">SUMIFS('SKU Data'!$G$6:$G$505,'SKU Data'!$B$6:$B$505,$A78)</f>
        <v>0</v>
      </c>
      <c r="H78" s="12" t="n">
        <f aca="false">N(Options!M78)</f>
        <v>0</v>
      </c>
      <c r="I78" s="12" t="n">
        <f aca="false">SUMIFS('SKU Data'!$H$6:$H$505,'SKU Data'!$B$6:$B$505,$A78)</f>
        <v>0</v>
      </c>
      <c r="J78" s="12" t="n">
        <f aca="false">SUMIFS('SKU Data'!$I$6:$I$505,'SKU Data'!$B$6:$B$505,$A78)</f>
        <v>0</v>
      </c>
      <c r="K78" s="12" t="n">
        <f aca="false">SUMIFS('SKU Data'!$J$6:$J$505,'SKU Data'!$B$6:$B$505,$A78)</f>
        <v>0</v>
      </c>
      <c r="L78" s="12" t="n">
        <f aca="false">SUMIFS('SKU Data'!$K$6:$K$505,'SKU Data'!$B$6:$B$505,$A78)</f>
        <v>0</v>
      </c>
      <c r="M78" s="25" t="n">
        <f aca="false">L78*Settings!$B$10+K78*Settings!$B$11+J78*Settings!$B$12+I78*Settings!$B$13</f>
        <v>0</v>
      </c>
      <c r="N78" s="25" t="n">
        <f aca="false">M78*Settings!$B$15</f>
        <v>0</v>
      </c>
      <c r="O78" s="12" t="n">
        <f aca="false">SUMIFS('SKU Data'!$L$6:$L$505,'SKU Data'!$B$6:$B$505,$A78)</f>
        <v>0</v>
      </c>
      <c r="P78" s="12" t="n">
        <f aca="false">SUMIFS('SKU Data'!$M$6:$M$505,'SKU Data'!$B$6:$B$505,$A78)</f>
        <v>0</v>
      </c>
      <c r="Q78" s="21" t="n">
        <f aca="false">IFERROR(O78/(E78-F78),0)</f>
        <v>0</v>
      </c>
      <c r="R78" s="21" t="n">
        <f aca="false">IFERROR(P78/(E78-F78),0)</f>
        <v>0</v>
      </c>
      <c r="S78" s="26" t="n">
        <f aca="false">IF(N78&lt;=0,IF(G78&gt;0,999,0),G78/N78)</f>
        <v>0</v>
      </c>
      <c r="T78" s="25" t="n">
        <f aca="false">IF(N(Options!L78)&gt;0,Options!L78,Settings!$B$20)</f>
        <v>8</v>
      </c>
      <c r="U78" s="9" t="n">
        <f aca="false">COUNTIFS('SKU Data'!$B$6:$B$505,$A78,'SKU Data'!$D$6:$D$505,"Y")</f>
        <v>0</v>
      </c>
      <c r="V78" s="9" t="n">
        <f aca="false">COUNTIFS('SKU Data'!$B$6:$B$505,$A78,'SKU Data'!$D$6:$D$505,"Y",'SKU Data'!$G$6:$G$505,"&lt;=0")</f>
        <v>0</v>
      </c>
      <c r="W78" s="28" t="str">
        <f aca="false">IF(A78="","",IF(AND(V78&gt;0,G78&gt;0),"Y",""))</f>
        <v/>
      </c>
      <c r="X78" s="9" t="str">
        <f aca="false">IF(A78="","",IF(AND(G78&gt;0,OR(Options!P78="N",Options!Q78="N")),"Y",""))</f>
        <v/>
      </c>
      <c r="Y78" s="9" t="n">
        <f aca="false">IF(AND(A78&lt;&gt;"",U78&gt;0,V78=0,G78&gt;0,Options!P78&lt;&gt;"N",Options!Q78&lt;&gt;"N"),1,0)</f>
        <v>0</v>
      </c>
      <c r="Z78" s="29" t="n">
        <f aca="false">IFERROR((K78+L78)/(I78+J78)-1,0)</f>
        <v>0</v>
      </c>
      <c r="AA78" s="9" t="str">
        <f aca="false">IF(A78="","",IF(Q78&gt;=Settings!$B$17,"High","Low"))</f>
        <v/>
      </c>
      <c r="AB78" s="9" t="str">
        <f aca="false">IF(A78="","",IF(S78&lt;IF(D78="End of life",Settings!$B$9,IF(D78="Core",T78,MIN(T78,Settings!$B$9))),"Low",IF(S78&gt;IF(D78="Core",Settings!$B$19,Settings!$B$9+Settings!$B$18),"High","Balanced")))</f>
        <v/>
      </c>
      <c r="AC78" s="28" t="str">
        <f aca="false">IF(A78="","",IF(AW78="Y","Held for a campaign",IF(AA78="High",IF(AB78="Low","Selling and short",IF(AB78="High","Selling, heavy","Selling, covered")),IF(AB78="Low","Slow and short",IF(AB78="High","Slow and heavy","Slow, covered")))))</f>
        <v/>
      </c>
      <c r="AD78" s="9" t="str">
        <f aca="false">IF(A78="","",TRIM(IF(W78="Y","Broken curve. ","")&amp;IF(X78="Y","Hidden from customers. ","")&amp;IF(Options!O78="Y","Promoted. ","")&amp;IF(Options!I78="Y","Range job. ","")&amp;IF(D78="End of life","End of life. ","")&amp;IF(H78&gt;0,"Order due in "&amp;Options!N78&amp;" weeks. ","")&amp;IF(AW78="Y","Held for "&amp;Options!T78&amp;", starts in "&amp;Options!U78&amp;" weeks. ","")&amp;IF(AX78&gt;0,"Covering for "&amp;AX78&amp;" sold-out line(s). ","")))</f>
        <v/>
      </c>
      <c r="AE78" s="9" t="str">
        <f aca="false">IF(A78="","",IF(AW78="Y",IF(AND(N(Options!V78)&gt;0,G78+H78&gt;N(Options!V78)*1.1),Settings!$A$48,Settings!$A$47),IF(X78="Y",Settings!$A$27,IF(AND(W78="Y",D78&lt;&gt;"End of life",AA78="High"),IF(H78&gt;0,Settings!$A$28,Settings!$A$29),IF(AND(W78="Y",D78="End of life"),Settings!$A$30,IF(AC78="Selling and short",IF(D78="End of life",Settings!$A$31,IF(Options!O78="Y",Settings!$A$32,IF(AX78&gt;0,Settings!$A$33,IF(H78&gt;0,IF(N(Options!N78)&lt;=S78,Settings!$A$34,Settings!$A$35),IF(AND(D78&lt;&gt;"Core",T78&gt;=Settings!$B$9),Settings!$A$36,Settings!$A$37))))),IF(AC78="Selling, heavy",IF(D78="Core",Settings!$A$38,Settings!$A$39),IF(AC78="Selling, covered",Settings!$A$40,IF(AC78="Slow and heavy",IF(Options!I78="Y",Settings!$A$41,IF(D78="End of life",Settings!$A$42,Settings!$A$43)),IF(AC78="Slow and short",IF(W78="Y",Settings!$A$44,Settings!$A$45),Settings!$A$46))))))))))</f>
        <v/>
      </c>
      <c r="AF78" s="9" t="str">
        <f aca="false">IF(A78="","",IFERROR(VLOOKUP(AM78,Settings!$A$27:$B$48,2,0),"Assign an owner"))</f>
        <v/>
      </c>
      <c r="AG78" s="14" t="n">
        <f aca="false">SUMIFS('SKU Data'!$V$6:$V$505,'SKU Data'!$B$6:$B$505,$A78)</f>
        <v>0</v>
      </c>
      <c r="AH78" s="12" t="n">
        <f aca="false">IF(A78="",0,IF(AW78="Y",IF(N(Options!V78)&gt;0,MAX(0,G78+H78-N(Options!V78)),0),MAX(0,G78+H78-N78*IF(D78="Core",Settings!$B$19,Settings!$B$9))))</f>
        <v>0</v>
      </c>
      <c r="AI78" s="14" t="n">
        <f aca="false">IF(OR(A78="",D78="Core"),0,AH78*N(Options!J78)*Settings!$B$21)</f>
        <v>0</v>
      </c>
      <c r="AJ78" s="14" t="n">
        <f aca="false">AH78*N(Options!K78)</f>
        <v>0</v>
      </c>
      <c r="AK78" s="27" t="n">
        <f aca="false">AZ78*(1-AY78)</f>
        <v>0</v>
      </c>
      <c r="AL78" s="27" t="n">
        <f aca="false">AI78+AK78</f>
        <v>0</v>
      </c>
      <c r="AM78" s="9" t="str">
        <f aca="false">IF(A78="","",IF(Options!W78&lt;&gt;"",Options!W78,AE78))</f>
        <v/>
      </c>
      <c r="AN78" s="28" t="str">
        <f aca="false">IF(A78="","",COUNTIF($AR$6:$AR$85,"&gt;"&amp;AR78)+1)</f>
        <v/>
      </c>
      <c r="AO78" s="9" t="str">
        <f aca="false">IF(A78="","",Options!D78)</f>
        <v/>
      </c>
      <c r="AP78" s="9" t="str">
        <f aca="false">IF(A78="","",Options!F78)</f>
        <v/>
      </c>
      <c r="AQ78" s="9" t="n">
        <f aca="false">IF(AND(A78&lt;&gt;"",AW78&lt;&gt;"Y",M78&gt;0,COUNTIF($M$6:$M$85,"&gt;"&amp;M78)&lt;Settings!$B$22),1,0)</f>
        <v>0</v>
      </c>
      <c r="AR78" s="28" t="n">
        <f aca="false">IF(A78="",-1,AL78+ROW()/1000000000)</f>
        <v>-1</v>
      </c>
      <c r="AS78" s="28" t="n">
        <f aca="false">IF(A78="",-1,AK78+ROW()/1000000000)</f>
        <v>-1</v>
      </c>
      <c r="AT78" s="28" t="n">
        <f aca="false">IF(A78="",-1,AI78+ROW()/1000000000)</f>
        <v>-1</v>
      </c>
      <c r="AU78" s="25" t="n">
        <f aca="false">SUMIFS('SKU Data'!$W$6:$W$505,'SKU Data'!$B$6:$B$505,$A78)</f>
        <v>0</v>
      </c>
      <c r="AV78" s="28" t="str">
        <f aca="false">IF(A78="","",COUNTIFS($C$6:$C$85,C78,$M$6:$M$85,"&gt;"&amp;M78)+1)</f>
        <v/>
      </c>
      <c r="AW78" s="9" t="str">
        <f aca="false">IF(A78="","",IF(AND(Options!T78&lt;&gt;"",N(Options!U78)&gt;0),"Y",""))</f>
        <v/>
      </c>
      <c r="AX78" s="9" t="n">
        <f aca="false">IF(A78="",0,COUNTIFS(Options!$R$6:$R$85,$A78,$V$6:$V$85,"&gt;0"))</f>
        <v>0</v>
      </c>
      <c r="AY78" s="13" t="n">
        <f aca="false">IF(Options!S78&lt;&gt;"",Options!S78,Settings!$B$23)</f>
        <v>0.3</v>
      </c>
      <c r="AZ78" s="14" t="n">
        <f aca="false">SUMIFS('SKU Data'!$U$6:$U$505,'SKU Data'!$B$6:$B$505,$A78)</f>
        <v>0</v>
      </c>
    </row>
    <row r="79" customFormat="false" ht="15" hidden="false" customHeight="false" outlineLevel="0" collapsed="false">
      <c r="A79" s="9" t="str">
        <f aca="false">IF(Options!A79="","",Options!A79)</f>
        <v/>
      </c>
      <c r="B79" s="9" t="str">
        <f aca="false">IF(A79="","",Options!B79&amp;" "&amp;Options!C79)</f>
        <v/>
      </c>
      <c r="C79" s="9" t="str">
        <f aca="false">IF(A79="","",Options!E79)</f>
        <v/>
      </c>
      <c r="D79" s="9" t="str">
        <f aca="false">IF(A79="","",Options!H79)</f>
        <v/>
      </c>
      <c r="E79" s="12" t="n">
        <f aca="false">SUMIFS('SKU Data'!$E$6:$E$505,'SKU Data'!$B$6:$B$505,$A79)</f>
        <v>0</v>
      </c>
      <c r="F79" s="12" t="n">
        <f aca="false">SUMIFS('SKU Data'!$F$6:$F$505,'SKU Data'!$B$6:$B$505,$A79)</f>
        <v>0</v>
      </c>
      <c r="G79" s="12" t="n">
        <f aca="false">SUMIFS('SKU Data'!$G$6:$G$505,'SKU Data'!$B$6:$B$505,$A79)</f>
        <v>0</v>
      </c>
      <c r="H79" s="12" t="n">
        <f aca="false">N(Options!M79)</f>
        <v>0</v>
      </c>
      <c r="I79" s="12" t="n">
        <f aca="false">SUMIFS('SKU Data'!$H$6:$H$505,'SKU Data'!$B$6:$B$505,$A79)</f>
        <v>0</v>
      </c>
      <c r="J79" s="12" t="n">
        <f aca="false">SUMIFS('SKU Data'!$I$6:$I$505,'SKU Data'!$B$6:$B$505,$A79)</f>
        <v>0</v>
      </c>
      <c r="K79" s="12" t="n">
        <f aca="false">SUMIFS('SKU Data'!$J$6:$J$505,'SKU Data'!$B$6:$B$505,$A79)</f>
        <v>0</v>
      </c>
      <c r="L79" s="12" t="n">
        <f aca="false">SUMIFS('SKU Data'!$K$6:$K$505,'SKU Data'!$B$6:$B$505,$A79)</f>
        <v>0</v>
      </c>
      <c r="M79" s="25" t="n">
        <f aca="false">L79*Settings!$B$10+K79*Settings!$B$11+J79*Settings!$B$12+I79*Settings!$B$13</f>
        <v>0</v>
      </c>
      <c r="N79" s="25" t="n">
        <f aca="false">M79*Settings!$B$15</f>
        <v>0</v>
      </c>
      <c r="O79" s="12" t="n">
        <f aca="false">SUMIFS('SKU Data'!$L$6:$L$505,'SKU Data'!$B$6:$B$505,$A79)</f>
        <v>0</v>
      </c>
      <c r="P79" s="12" t="n">
        <f aca="false">SUMIFS('SKU Data'!$M$6:$M$505,'SKU Data'!$B$6:$B$505,$A79)</f>
        <v>0</v>
      </c>
      <c r="Q79" s="21" t="n">
        <f aca="false">IFERROR(O79/(E79-F79),0)</f>
        <v>0</v>
      </c>
      <c r="R79" s="21" t="n">
        <f aca="false">IFERROR(P79/(E79-F79),0)</f>
        <v>0</v>
      </c>
      <c r="S79" s="26" t="n">
        <f aca="false">IF(N79&lt;=0,IF(G79&gt;0,999,0),G79/N79)</f>
        <v>0</v>
      </c>
      <c r="T79" s="25" t="n">
        <f aca="false">IF(N(Options!L79)&gt;0,Options!L79,Settings!$B$20)</f>
        <v>8</v>
      </c>
      <c r="U79" s="9" t="n">
        <f aca="false">COUNTIFS('SKU Data'!$B$6:$B$505,$A79,'SKU Data'!$D$6:$D$505,"Y")</f>
        <v>0</v>
      </c>
      <c r="V79" s="9" t="n">
        <f aca="false">COUNTIFS('SKU Data'!$B$6:$B$505,$A79,'SKU Data'!$D$6:$D$505,"Y",'SKU Data'!$G$6:$G$505,"&lt;=0")</f>
        <v>0</v>
      </c>
      <c r="W79" s="28" t="str">
        <f aca="false">IF(A79="","",IF(AND(V79&gt;0,G79&gt;0),"Y",""))</f>
        <v/>
      </c>
      <c r="X79" s="9" t="str">
        <f aca="false">IF(A79="","",IF(AND(G79&gt;0,OR(Options!P79="N",Options!Q79="N")),"Y",""))</f>
        <v/>
      </c>
      <c r="Y79" s="9" t="n">
        <f aca="false">IF(AND(A79&lt;&gt;"",U79&gt;0,V79=0,G79&gt;0,Options!P79&lt;&gt;"N",Options!Q79&lt;&gt;"N"),1,0)</f>
        <v>0</v>
      </c>
      <c r="Z79" s="29" t="n">
        <f aca="false">IFERROR((K79+L79)/(I79+J79)-1,0)</f>
        <v>0</v>
      </c>
      <c r="AA79" s="9" t="str">
        <f aca="false">IF(A79="","",IF(Q79&gt;=Settings!$B$17,"High","Low"))</f>
        <v/>
      </c>
      <c r="AB79" s="9" t="str">
        <f aca="false">IF(A79="","",IF(S79&lt;IF(D79="End of life",Settings!$B$9,IF(D79="Core",T79,MIN(T79,Settings!$B$9))),"Low",IF(S79&gt;IF(D79="Core",Settings!$B$19,Settings!$B$9+Settings!$B$18),"High","Balanced")))</f>
        <v/>
      </c>
      <c r="AC79" s="28" t="str">
        <f aca="false">IF(A79="","",IF(AW79="Y","Held for a campaign",IF(AA79="High",IF(AB79="Low","Selling and short",IF(AB79="High","Selling, heavy","Selling, covered")),IF(AB79="Low","Slow and short",IF(AB79="High","Slow and heavy","Slow, covered")))))</f>
        <v/>
      </c>
      <c r="AD79" s="9" t="str">
        <f aca="false">IF(A79="","",TRIM(IF(W79="Y","Broken curve. ","")&amp;IF(X79="Y","Hidden from customers. ","")&amp;IF(Options!O79="Y","Promoted. ","")&amp;IF(Options!I79="Y","Range job. ","")&amp;IF(D79="End of life","End of life. ","")&amp;IF(H79&gt;0,"Order due in "&amp;Options!N79&amp;" weeks. ","")&amp;IF(AW79="Y","Held for "&amp;Options!T79&amp;", starts in "&amp;Options!U79&amp;" weeks. ","")&amp;IF(AX79&gt;0,"Covering for "&amp;AX79&amp;" sold-out line(s). ","")))</f>
        <v/>
      </c>
      <c r="AE79" s="9" t="str">
        <f aca="false">IF(A79="","",IF(AW79="Y",IF(AND(N(Options!V79)&gt;0,G79+H79&gt;N(Options!V79)*1.1),Settings!$A$48,Settings!$A$47),IF(X79="Y",Settings!$A$27,IF(AND(W79="Y",D79&lt;&gt;"End of life",AA79="High"),IF(H79&gt;0,Settings!$A$28,Settings!$A$29),IF(AND(W79="Y",D79="End of life"),Settings!$A$30,IF(AC79="Selling and short",IF(D79="End of life",Settings!$A$31,IF(Options!O79="Y",Settings!$A$32,IF(AX79&gt;0,Settings!$A$33,IF(H79&gt;0,IF(N(Options!N79)&lt;=S79,Settings!$A$34,Settings!$A$35),IF(AND(D79&lt;&gt;"Core",T79&gt;=Settings!$B$9),Settings!$A$36,Settings!$A$37))))),IF(AC79="Selling, heavy",IF(D79="Core",Settings!$A$38,Settings!$A$39),IF(AC79="Selling, covered",Settings!$A$40,IF(AC79="Slow and heavy",IF(Options!I79="Y",Settings!$A$41,IF(D79="End of life",Settings!$A$42,Settings!$A$43)),IF(AC79="Slow and short",IF(W79="Y",Settings!$A$44,Settings!$A$45),Settings!$A$46))))))))))</f>
        <v/>
      </c>
      <c r="AF79" s="9" t="str">
        <f aca="false">IF(A79="","",IFERROR(VLOOKUP(AM79,Settings!$A$27:$B$48,2,0),"Assign an owner"))</f>
        <v/>
      </c>
      <c r="AG79" s="14" t="n">
        <f aca="false">SUMIFS('SKU Data'!$V$6:$V$505,'SKU Data'!$B$6:$B$505,$A79)</f>
        <v>0</v>
      </c>
      <c r="AH79" s="12" t="n">
        <f aca="false">IF(A79="",0,IF(AW79="Y",IF(N(Options!V79)&gt;0,MAX(0,G79+H79-N(Options!V79)),0),MAX(0,G79+H79-N79*IF(D79="Core",Settings!$B$19,Settings!$B$9))))</f>
        <v>0</v>
      </c>
      <c r="AI79" s="14" t="n">
        <f aca="false">IF(OR(A79="",D79="Core"),0,AH79*N(Options!J79)*Settings!$B$21)</f>
        <v>0</v>
      </c>
      <c r="AJ79" s="14" t="n">
        <f aca="false">AH79*N(Options!K79)</f>
        <v>0</v>
      </c>
      <c r="AK79" s="27" t="n">
        <f aca="false">AZ79*(1-AY79)</f>
        <v>0</v>
      </c>
      <c r="AL79" s="27" t="n">
        <f aca="false">AI79+AK79</f>
        <v>0</v>
      </c>
      <c r="AM79" s="9" t="str">
        <f aca="false">IF(A79="","",IF(Options!W79&lt;&gt;"",Options!W79,AE79))</f>
        <v/>
      </c>
      <c r="AN79" s="28" t="str">
        <f aca="false">IF(A79="","",COUNTIF($AR$6:$AR$85,"&gt;"&amp;AR79)+1)</f>
        <v/>
      </c>
      <c r="AO79" s="9" t="str">
        <f aca="false">IF(A79="","",Options!D79)</f>
        <v/>
      </c>
      <c r="AP79" s="9" t="str">
        <f aca="false">IF(A79="","",Options!F79)</f>
        <v/>
      </c>
      <c r="AQ79" s="9" t="n">
        <f aca="false">IF(AND(A79&lt;&gt;"",AW79&lt;&gt;"Y",M79&gt;0,COUNTIF($M$6:$M$85,"&gt;"&amp;M79)&lt;Settings!$B$22),1,0)</f>
        <v>0</v>
      </c>
      <c r="AR79" s="28" t="n">
        <f aca="false">IF(A79="",-1,AL79+ROW()/1000000000)</f>
        <v>-1</v>
      </c>
      <c r="AS79" s="28" t="n">
        <f aca="false">IF(A79="",-1,AK79+ROW()/1000000000)</f>
        <v>-1</v>
      </c>
      <c r="AT79" s="28" t="n">
        <f aca="false">IF(A79="",-1,AI79+ROW()/1000000000)</f>
        <v>-1</v>
      </c>
      <c r="AU79" s="25" t="n">
        <f aca="false">SUMIFS('SKU Data'!$W$6:$W$505,'SKU Data'!$B$6:$B$505,$A79)</f>
        <v>0</v>
      </c>
      <c r="AV79" s="28" t="str">
        <f aca="false">IF(A79="","",COUNTIFS($C$6:$C$85,C79,$M$6:$M$85,"&gt;"&amp;M79)+1)</f>
        <v/>
      </c>
      <c r="AW79" s="9" t="str">
        <f aca="false">IF(A79="","",IF(AND(Options!T79&lt;&gt;"",N(Options!U79)&gt;0),"Y",""))</f>
        <v/>
      </c>
      <c r="AX79" s="9" t="n">
        <f aca="false">IF(A79="",0,COUNTIFS(Options!$R$6:$R$85,$A79,$V$6:$V$85,"&gt;0"))</f>
        <v>0</v>
      </c>
      <c r="AY79" s="13" t="n">
        <f aca="false">IF(Options!S79&lt;&gt;"",Options!S79,Settings!$B$23)</f>
        <v>0.3</v>
      </c>
      <c r="AZ79" s="14" t="n">
        <f aca="false">SUMIFS('SKU Data'!$U$6:$U$505,'SKU Data'!$B$6:$B$505,$A79)</f>
        <v>0</v>
      </c>
    </row>
    <row r="80" customFormat="false" ht="15" hidden="false" customHeight="false" outlineLevel="0" collapsed="false">
      <c r="A80" s="9" t="str">
        <f aca="false">IF(Options!A80="","",Options!A80)</f>
        <v/>
      </c>
      <c r="B80" s="9" t="str">
        <f aca="false">IF(A80="","",Options!B80&amp;" "&amp;Options!C80)</f>
        <v/>
      </c>
      <c r="C80" s="9" t="str">
        <f aca="false">IF(A80="","",Options!E80)</f>
        <v/>
      </c>
      <c r="D80" s="9" t="str">
        <f aca="false">IF(A80="","",Options!H80)</f>
        <v/>
      </c>
      <c r="E80" s="12" t="n">
        <f aca="false">SUMIFS('SKU Data'!$E$6:$E$505,'SKU Data'!$B$6:$B$505,$A80)</f>
        <v>0</v>
      </c>
      <c r="F80" s="12" t="n">
        <f aca="false">SUMIFS('SKU Data'!$F$6:$F$505,'SKU Data'!$B$6:$B$505,$A80)</f>
        <v>0</v>
      </c>
      <c r="G80" s="12" t="n">
        <f aca="false">SUMIFS('SKU Data'!$G$6:$G$505,'SKU Data'!$B$6:$B$505,$A80)</f>
        <v>0</v>
      </c>
      <c r="H80" s="12" t="n">
        <f aca="false">N(Options!M80)</f>
        <v>0</v>
      </c>
      <c r="I80" s="12" t="n">
        <f aca="false">SUMIFS('SKU Data'!$H$6:$H$505,'SKU Data'!$B$6:$B$505,$A80)</f>
        <v>0</v>
      </c>
      <c r="J80" s="12" t="n">
        <f aca="false">SUMIFS('SKU Data'!$I$6:$I$505,'SKU Data'!$B$6:$B$505,$A80)</f>
        <v>0</v>
      </c>
      <c r="K80" s="12" t="n">
        <f aca="false">SUMIFS('SKU Data'!$J$6:$J$505,'SKU Data'!$B$6:$B$505,$A80)</f>
        <v>0</v>
      </c>
      <c r="L80" s="12" t="n">
        <f aca="false">SUMIFS('SKU Data'!$K$6:$K$505,'SKU Data'!$B$6:$B$505,$A80)</f>
        <v>0</v>
      </c>
      <c r="M80" s="25" t="n">
        <f aca="false">L80*Settings!$B$10+K80*Settings!$B$11+J80*Settings!$B$12+I80*Settings!$B$13</f>
        <v>0</v>
      </c>
      <c r="N80" s="25" t="n">
        <f aca="false">M80*Settings!$B$15</f>
        <v>0</v>
      </c>
      <c r="O80" s="12" t="n">
        <f aca="false">SUMIFS('SKU Data'!$L$6:$L$505,'SKU Data'!$B$6:$B$505,$A80)</f>
        <v>0</v>
      </c>
      <c r="P80" s="12" t="n">
        <f aca="false">SUMIFS('SKU Data'!$M$6:$M$505,'SKU Data'!$B$6:$B$505,$A80)</f>
        <v>0</v>
      </c>
      <c r="Q80" s="21" t="n">
        <f aca="false">IFERROR(O80/(E80-F80),0)</f>
        <v>0</v>
      </c>
      <c r="R80" s="21" t="n">
        <f aca="false">IFERROR(P80/(E80-F80),0)</f>
        <v>0</v>
      </c>
      <c r="S80" s="26" t="n">
        <f aca="false">IF(N80&lt;=0,IF(G80&gt;0,999,0),G80/N80)</f>
        <v>0</v>
      </c>
      <c r="T80" s="25" t="n">
        <f aca="false">IF(N(Options!L80)&gt;0,Options!L80,Settings!$B$20)</f>
        <v>8</v>
      </c>
      <c r="U80" s="9" t="n">
        <f aca="false">COUNTIFS('SKU Data'!$B$6:$B$505,$A80,'SKU Data'!$D$6:$D$505,"Y")</f>
        <v>0</v>
      </c>
      <c r="V80" s="9" t="n">
        <f aca="false">COUNTIFS('SKU Data'!$B$6:$B$505,$A80,'SKU Data'!$D$6:$D$505,"Y",'SKU Data'!$G$6:$G$505,"&lt;=0")</f>
        <v>0</v>
      </c>
      <c r="W80" s="28" t="str">
        <f aca="false">IF(A80="","",IF(AND(V80&gt;0,G80&gt;0),"Y",""))</f>
        <v/>
      </c>
      <c r="X80" s="9" t="str">
        <f aca="false">IF(A80="","",IF(AND(G80&gt;0,OR(Options!P80="N",Options!Q80="N")),"Y",""))</f>
        <v/>
      </c>
      <c r="Y80" s="9" t="n">
        <f aca="false">IF(AND(A80&lt;&gt;"",U80&gt;0,V80=0,G80&gt;0,Options!P80&lt;&gt;"N",Options!Q80&lt;&gt;"N"),1,0)</f>
        <v>0</v>
      </c>
      <c r="Z80" s="29" t="n">
        <f aca="false">IFERROR((K80+L80)/(I80+J80)-1,0)</f>
        <v>0</v>
      </c>
      <c r="AA80" s="9" t="str">
        <f aca="false">IF(A80="","",IF(Q80&gt;=Settings!$B$17,"High","Low"))</f>
        <v/>
      </c>
      <c r="AB80" s="9" t="str">
        <f aca="false">IF(A80="","",IF(S80&lt;IF(D80="End of life",Settings!$B$9,IF(D80="Core",T80,MIN(T80,Settings!$B$9))),"Low",IF(S80&gt;IF(D80="Core",Settings!$B$19,Settings!$B$9+Settings!$B$18),"High","Balanced")))</f>
        <v/>
      </c>
      <c r="AC80" s="28" t="str">
        <f aca="false">IF(A80="","",IF(AW80="Y","Held for a campaign",IF(AA80="High",IF(AB80="Low","Selling and short",IF(AB80="High","Selling, heavy","Selling, covered")),IF(AB80="Low","Slow and short",IF(AB80="High","Slow and heavy","Slow, covered")))))</f>
        <v/>
      </c>
      <c r="AD80" s="9" t="str">
        <f aca="false">IF(A80="","",TRIM(IF(W80="Y","Broken curve. ","")&amp;IF(X80="Y","Hidden from customers. ","")&amp;IF(Options!O80="Y","Promoted. ","")&amp;IF(Options!I80="Y","Range job. ","")&amp;IF(D80="End of life","End of life. ","")&amp;IF(H80&gt;0,"Order due in "&amp;Options!N80&amp;" weeks. ","")&amp;IF(AW80="Y","Held for "&amp;Options!T80&amp;", starts in "&amp;Options!U80&amp;" weeks. ","")&amp;IF(AX80&gt;0,"Covering for "&amp;AX80&amp;" sold-out line(s). ","")))</f>
        <v/>
      </c>
      <c r="AE80" s="9" t="str">
        <f aca="false">IF(A80="","",IF(AW80="Y",IF(AND(N(Options!V80)&gt;0,G80+H80&gt;N(Options!V80)*1.1),Settings!$A$48,Settings!$A$47),IF(X80="Y",Settings!$A$27,IF(AND(W80="Y",D80&lt;&gt;"End of life",AA80="High"),IF(H80&gt;0,Settings!$A$28,Settings!$A$29),IF(AND(W80="Y",D80="End of life"),Settings!$A$30,IF(AC80="Selling and short",IF(D80="End of life",Settings!$A$31,IF(Options!O80="Y",Settings!$A$32,IF(AX80&gt;0,Settings!$A$33,IF(H80&gt;0,IF(N(Options!N80)&lt;=S80,Settings!$A$34,Settings!$A$35),IF(AND(D80&lt;&gt;"Core",T80&gt;=Settings!$B$9),Settings!$A$36,Settings!$A$37))))),IF(AC80="Selling, heavy",IF(D80="Core",Settings!$A$38,Settings!$A$39),IF(AC80="Selling, covered",Settings!$A$40,IF(AC80="Slow and heavy",IF(Options!I80="Y",Settings!$A$41,IF(D80="End of life",Settings!$A$42,Settings!$A$43)),IF(AC80="Slow and short",IF(W80="Y",Settings!$A$44,Settings!$A$45),Settings!$A$46))))))))))</f>
        <v/>
      </c>
      <c r="AF80" s="9" t="str">
        <f aca="false">IF(A80="","",IFERROR(VLOOKUP(AM80,Settings!$A$27:$B$48,2,0),"Assign an owner"))</f>
        <v/>
      </c>
      <c r="AG80" s="14" t="n">
        <f aca="false">SUMIFS('SKU Data'!$V$6:$V$505,'SKU Data'!$B$6:$B$505,$A80)</f>
        <v>0</v>
      </c>
      <c r="AH80" s="12" t="n">
        <f aca="false">IF(A80="",0,IF(AW80="Y",IF(N(Options!V80)&gt;0,MAX(0,G80+H80-N(Options!V80)),0),MAX(0,G80+H80-N80*IF(D80="Core",Settings!$B$19,Settings!$B$9))))</f>
        <v>0</v>
      </c>
      <c r="AI80" s="14" t="n">
        <f aca="false">IF(OR(A80="",D80="Core"),0,AH80*N(Options!J80)*Settings!$B$21)</f>
        <v>0</v>
      </c>
      <c r="AJ80" s="14" t="n">
        <f aca="false">AH80*N(Options!K80)</f>
        <v>0</v>
      </c>
      <c r="AK80" s="27" t="n">
        <f aca="false">AZ80*(1-AY80)</f>
        <v>0</v>
      </c>
      <c r="AL80" s="27" t="n">
        <f aca="false">AI80+AK80</f>
        <v>0</v>
      </c>
      <c r="AM80" s="9" t="str">
        <f aca="false">IF(A80="","",IF(Options!W80&lt;&gt;"",Options!W80,AE80))</f>
        <v/>
      </c>
      <c r="AN80" s="28" t="str">
        <f aca="false">IF(A80="","",COUNTIF($AR$6:$AR$85,"&gt;"&amp;AR80)+1)</f>
        <v/>
      </c>
      <c r="AO80" s="9" t="str">
        <f aca="false">IF(A80="","",Options!D80)</f>
        <v/>
      </c>
      <c r="AP80" s="9" t="str">
        <f aca="false">IF(A80="","",Options!F80)</f>
        <v/>
      </c>
      <c r="AQ80" s="9" t="n">
        <f aca="false">IF(AND(A80&lt;&gt;"",AW80&lt;&gt;"Y",M80&gt;0,COUNTIF($M$6:$M$85,"&gt;"&amp;M80)&lt;Settings!$B$22),1,0)</f>
        <v>0</v>
      </c>
      <c r="AR80" s="28" t="n">
        <f aca="false">IF(A80="",-1,AL80+ROW()/1000000000)</f>
        <v>-1</v>
      </c>
      <c r="AS80" s="28" t="n">
        <f aca="false">IF(A80="",-1,AK80+ROW()/1000000000)</f>
        <v>-1</v>
      </c>
      <c r="AT80" s="28" t="n">
        <f aca="false">IF(A80="",-1,AI80+ROW()/1000000000)</f>
        <v>-1</v>
      </c>
      <c r="AU80" s="25" t="n">
        <f aca="false">SUMIFS('SKU Data'!$W$6:$W$505,'SKU Data'!$B$6:$B$505,$A80)</f>
        <v>0</v>
      </c>
      <c r="AV80" s="28" t="str">
        <f aca="false">IF(A80="","",COUNTIFS($C$6:$C$85,C80,$M$6:$M$85,"&gt;"&amp;M80)+1)</f>
        <v/>
      </c>
      <c r="AW80" s="9" t="str">
        <f aca="false">IF(A80="","",IF(AND(Options!T80&lt;&gt;"",N(Options!U80)&gt;0),"Y",""))</f>
        <v/>
      </c>
      <c r="AX80" s="9" t="n">
        <f aca="false">IF(A80="",0,COUNTIFS(Options!$R$6:$R$85,$A80,$V$6:$V$85,"&gt;0"))</f>
        <v>0</v>
      </c>
      <c r="AY80" s="13" t="n">
        <f aca="false">IF(Options!S80&lt;&gt;"",Options!S80,Settings!$B$23)</f>
        <v>0.3</v>
      </c>
      <c r="AZ80" s="14" t="n">
        <f aca="false">SUMIFS('SKU Data'!$U$6:$U$505,'SKU Data'!$B$6:$B$505,$A80)</f>
        <v>0</v>
      </c>
    </row>
    <row r="81" customFormat="false" ht="15" hidden="false" customHeight="false" outlineLevel="0" collapsed="false">
      <c r="A81" s="9" t="str">
        <f aca="false">IF(Options!A81="","",Options!A81)</f>
        <v/>
      </c>
      <c r="B81" s="9" t="str">
        <f aca="false">IF(A81="","",Options!B81&amp;" "&amp;Options!C81)</f>
        <v/>
      </c>
      <c r="C81" s="9" t="str">
        <f aca="false">IF(A81="","",Options!E81)</f>
        <v/>
      </c>
      <c r="D81" s="9" t="str">
        <f aca="false">IF(A81="","",Options!H81)</f>
        <v/>
      </c>
      <c r="E81" s="12" t="n">
        <f aca="false">SUMIFS('SKU Data'!$E$6:$E$505,'SKU Data'!$B$6:$B$505,$A81)</f>
        <v>0</v>
      </c>
      <c r="F81" s="12" t="n">
        <f aca="false">SUMIFS('SKU Data'!$F$6:$F$505,'SKU Data'!$B$6:$B$505,$A81)</f>
        <v>0</v>
      </c>
      <c r="G81" s="12" t="n">
        <f aca="false">SUMIFS('SKU Data'!$G$6:$G$505,'SKU Data'!$B$6:$B$505,$A81)</f>
        <v>0</v>
      </c>
      <c r="H81" s="12" t="n">
        <f aca="false">N(Options!M81)</f>
        <v>0</v>
      </c>
      <c r="I81" s="12" t="n">
        <f aca="false">SUMIFS('SKU Data'!$H$6:$H$505,'SKU Data'!$B$6:$B$505,$A81)</f>
        <v>0</v>
      </c>
      <c r="J81" s="12" t="n">
        <f aca="false">SUMIFS('SKU Data'!$I$6:$I$505,'SKU Data'!$B$6:$B$505,$A81)</f>
        <v>0</v>
      </c>
      <c r="K81" s="12" t="n">
        <f aca="false">SUMIFS('SKU Data'!$J$6:$J$505,'SKU Data'!$B$6:$B$505,$A81)</f>
        <v>0</v>
      </c>
      <c r="L81" s="12" t="n">
        <f aca="false">SUMIFS('SKU Data'!$K$6:$K$505,'SKU Data'!$B$6:$B$505,$A81)</f>
        <v>0</v>
      </c>
      <c r="M81" s="25" t="n">
        <f aca="false">L81*Settings!$B$10+K81*Settings!$B$11+J81*Settings!$B$12+I81*Settings!$B$13</f>
        <v>0</v>
      </c>
      <c r="N81" s="25" t="n">
        <f aca="false">M81*Settings!$B$15</f>
        <v>0</v>
      </c>
      <c r="O81" s="12" t="n">
        <f aca="false">SUMIFS('SKU Data'!$L$6:$L$505,'SKU Data'!$B$6:$B$505,$A81)</f>
        <v>0</v>
      </c>
      <c r="P81" s="12" t="n">
        <f aca="false">SUMIFS('SKU Data'!$M$6:$M$505,'SKU Data'!$B$6:$B$505,$A81)</f>
        <v>0</v>
      </c>
      <c r="Q81" s="21" t="n">
        <f aca="false">IFERROR(O81/(E81-F81),0)</f>
        <v>0</v>
      </c>
      <c r="R81" s="21" t="n">
        <f aca="false">IFERROR(P81/(E81-F81),0)</f>
        <v>0</v>
      </c>
      <c r="S81" s="26" t="n">
        <f aca="false">IF(N81&lt;=0,IF(G81&gt;0,999,0),G81/N81)</f>
        <v>0</v>
      </c>
      <c r="T81" s="25" t="n">
        <f aca="false">IF(N(Options!L81)&gt;0,Options!L81,Settings!$B$20)</f>
        <v>8</v>
      </c>
      <c r="U81" s="9" t="n">
        <f aca="false">COUNTIFS('SKU Data'!$B$6:$B$505,$A81,'SKU Data'!$D$6:$D$505,"Y")</f>
        <v>0</v>
      </c>
      <c r="V81" s="9" t="n">
        <f aca="false">COUNTIFS('SKU Data'!$B$6:$B$505,$A81,'SKU Data'!$D$6:$D$505,"Y",'SKU Data'!$G$6:$G$505,"&lt;=0")</f>
        <v>0</v>
      </c>
      <c r="W81" s="28" t="str">
        <f aca="false">IF(A81="","",IF(AND(V81&gt;0,G81&gt;0),"Y",""))</f>
        <v/>
      </c>
      <c r="X81" s="9" t="str">
        <f aca="false">IF(A81="","",IF(AND(G81&gt;0,OR(Options!P81="N",Options!Q81="N")),"Y",""))</f>
        <v/>
      </c>
      <c r="Y81" s="9" t="n">
        <f aca="false">IF(AND(A81&lt;&gt;"",U81&gt;0,V81=0,G81&gt;0,Options!P81&lt;&gt;"N",Options!Q81&lt;&gt;"N"),1,0)</f>
        <v>0</v>
      </c>
      <c r="Z81" s="29" t="n">
        <f aca="false">IFERROR((K81+L81)/(I81+J81)-1,0)</f>
        <v>0</v>
      </c>
      <c r="AA81" s="9" t="str">
        <f aca="false">IF(A81="","",IF(Q81&gt;=Settings!$B$17,"High","Low"))</f>
        <v/>
      </c>
      <c r="AB81" s="9" t="str">
        <f aca="false">IF(A81="","",IF(S81&lt;IF(D81="End of life",Settings!$B$9,IF(D81="Core",T81,MIN(T81,Settings!$B$9))),"Low",IF(S81&gt;IF(D81="Core",Settings!$B$19,Settings!$B$9+Settings!$B$18),"High","Balanced")))</f>
        <v/>
      </c>
      <c r="AC81" s="28" t="str">
        <f aca="false">IF(A81="","",IF(AW81="Y","Held for a campaign",IF(AA81="High",IF(AB81="Low","Selling and short",IF(AB81="High","Selling, heavy","Selling, covered")),IF(AB81="Low","Slow and short",IF(AB81="High","Slow and heavy","Slow, covered")))))</f>
        <v/>
      </c>
      <c r="AD81" s="9" t="str">
        <f aca="false">IF(A81="","",TRIM(IF(W81="Y","Broken curve. ","")&amp;IF(X81="Y","Hidden from customers. ","")&amp;IF(Options!O81="Y","Promoted. ","")&amp;IF(Options!I81="Y","Range job. ","")&amp;IF(D81="End of life","End of life. ","")&amp;IF(H81&gt;0,"Order due in "&amp;Options!N81&amp;" weeks. ","")&amp;IF(AW81="Y","Held for "&amp;Options!T81&amp;", starts in "&amp;Options!U81&amp;" weeks. ","")&amp;IF(AX81&gt;0,"Covering for "&amp;AX81&amp;" sold-out line(s). ","")))</f>
        <v/>
      </c>
      <c r="AE81" s="9" t="str">
        <f aca="false">IF(A81="","",IF(AW81="Y",IF(AND(N(Options!V81)&gt;0,G81+H81&gt;N(Options!V81)*1.1),Settings!$A$48,Settings!$A$47),IF(X81="Y",Settings!$A$27,IF(AND(W81="Y",D81&lt;&gt;"End of life",AA81="High"),IF(H81&gt;0,Settings!$A$28,Settings!$A$29),IF(AND(W81="Y",D81="End of life"),Settings!$A$30,IF(AC81="Selling and short",IF(D81="End of life",Settings!$A$31,IF(Options!O81="Y",Settings!$A$32,IF(AX81&gt;0,Settings!$A$33,IF(H81&gt;0,IF(N(Options!N81)&lt;=S81,Settings!$A$34,Settings!$A$35),IF(AND(D81&lt;&gt;"Core",T81&gt;=Settings!$B$9),Settings!$A$36,Settings!$A$37))))),IF(AC81="Selling, heavy",IF(D81="Core",Settings!$A$38,Settings!$A$39),IF(AC81="Selling, covered",Settings!$A$40,IF(AC81="Slow and heavy",IF(Options!I81="Y",Settings!$A$41,IF(D81="End of life",Settings!$A$42,Settings!$A$43)),IF(AC81="Slow and short",IF(W81="Y",Settings!$A$44,Settings!$A$45),Settings!$A$46))))))))))</f>
        <v/>
      </c>
      <c r="AF81" s="9" t="str">
        <f aca="false">IF(A81="","",IFERROR(VLOOKUP(AM81,Settings!$A$27:$B$48,2,0),"Assign an owner"))</f>
        <v/>
      </c>
      <c r="AG81" s="14" t="n">
        <f aca="false">SUMIFS('SKU Data'!$V$6:$V$505,'SKU Data'!$B$6:$B$505,$A81)</f>
        <v>0</v>
      </c>
      <c r="AH81" s="12" t="n">
        <f aca="false">IF(A81="",0,IF(AW81="Y",IF(N(Options!V81)&gt;0,MAX(0,G81+H81-N(Options!V81)),0),MAX(0,G81+H81-N81*IF(D81="Core",Settings!$B$19,Settings!$B$9))))</f>
        <v>0</v>
      </c>
      <c r="AI81" s="14" t="n">
        <f aca="false">IF(OR(A81="",D81="Core"),0,AH81*N(Options!J81)*Settings!$B$21)</f>
        <v>0</v>
      </c>
      <c r="AJ81" s="14" t="n">
        <f aca="false">AH81*N(Options!K81)</f>
        <v>0</v>
      </c>
      <c r="AK81" s="27" t="n">
        <f aca="false">AZ81*(1-AY81)</f>
        <v>0</v>
      </c>
      <c r="AL81" s="27" t="n">
        <f aca="false">AI81+AK81</f>
        <v>0</v>
      </c>
      <c r="AM81" s="9" t="str">
        <f aca="false">IF(A81="","",IF(Options!W81&lt;&gt;"",Options!W81,AE81))</f>
        <v/>
      </c>
      <c r="AN81" s="28" t="str">
        <f aca="false">IF(A81="","",COUNTIF($AR$6:$AR$85,"&gt;"&amp;AR81)+1)</f>
        <v/>
      </c>
      <c r="AO81" s="9" t="str">
        <f aca="false">IF(A81="","",Options!D81)</f>
        <v/>
      </c>
      <c r="AP81" s="9" t="str">
        <f aca="false">IF(A81="","",Options!F81)</f>
        <v/>
      </c>
      <c r="AQ81" s="9" t="n">
        <f aca="false">IF(AND(A81&lt;&gt;"",AW81&lt;&gt;"Y",M81&gt;0,COUNTIF($M$6:$M$85,"&gt;"&amp;M81)&lt;Settings!$B$22),1,0)</f>
        <v>0</v>
      </c>
      <c r="AR81" s="28" t="n">
        <f aca="false">IF(A81="",-1,AL81+ROW()/1000000000)</f>
        <v>-1</v>
      </c>
      <c r="AS81" s="28" t="n">
        <f aca="false">IF(A81="",-1,AK81+ROW()/1000000000)</f>
        <v>-1</v>
      </c>
      <c r="AT81" s="28" t="n">
        <f aca="false">IF(A81="",-1,AI81+ROW()/1000000000)</f>
        <v>-1</v>
      </c>
      <c r="AU81" s="25" t="n">
        <f aca="false">SUMIFS('SKU Data'!$W$6:$W$505,'SKU Data'!$B$6:$B$505,$A81)</f>
        <v>0</v>
      </c>
      <c r="AV81" s="28" t="str">
        <f aca="false">IF(A81="","",COUNTIFS($C$6:$C$85,C81,$M$6:$M$85,"&gt;"&amp;M81)+1)</f>
        <v/>
      </c>
      <c r="AW81" s="9" t="str">
        <f aca="false">IF(A81="","",IF(AND(Options!T81&lt;&gt;"",N(Options!U81)&gt;0),"Y",""))</f>
        <v/>
      </c>
      <c r="AX81" s="9" t="n">
        <f aca="false">IF(A81="",0,COUNTIFS(Options!$R$6:$R$85,$A81,$V$6:$V$85,"&gt;0"))</f>
        <v>0</v>
      </c>
      <c r="AY81" s="13" t="n">
        <f aca="false">IF(Options!S81&lt;&gt;"",Options!S81,Settings!$B$23)</f>
        <v>0.3</v>
      </c>
      <c r="AZ81" s="14" t="n">
        <f aca="false">SUMIFS('SKU Data'!$U$6:$U$505,'SKU Data'!$B$6:$B$505,$A81)</f>
        <v>0</v>
      </c>
    </row>
    <row r="82" customFormat="false" ht="15" hidden="false" customHeight="false" outlineLevel="0" collapsed="false">
      <c r="A82" s="9" t="str">
        <f aca="false">IF(Options!A82="","",Options!A82)</f>
        <v/>
      </c>
      <c r="B82" s="9" t="str">
        <f aca="false">IF(A82="","",Options!B82&amp;" "&amp;Options!C82)</f>
        <v/>
      </c>
      <c r="C82" s="9" t="str">
        <f aca="false">IF(A82="","",Options!E82)</f>
        <v/>
      </c>
      <c r="D82" s="9" t="str">
        <f aca="false">IF(A82="","",Options!H82)</f>
        <v/>
      </c>
      <c r="E82" s="12" t="n">
        <f aca="false">SUMIFS('SKU Data'!$E$6:$E$505,'SKU Data'!$B$6:$B$505,$A82)</f>
        <v>0</v>
      </c>
      <c r="F82" s="12" t="n">
        <f aca="false">SUMIFS('SKU Data'!$F$6:$F$505,'SKU Data'!$B$6:$B$505,$A82)</f>
        <v>0</v>
      </c>
      <c r="G82" s="12" t="n">
        <f aca="false">SUMIFS('SKU Data'!$G$6:$G$505,'SKU Data'!$B$6:$B$505,$A82)</f>
        <v>0</v>
      </c>
      <c r="H82" s="12" t="n">
        <f aca="false">N(Options!M82)</f>
        <v>0</v>
      </c>
      <c r="I82" s="12" t="n">
        <f aca="false">SUMIFS('SKU Data'!$H$6:$H$505,'SKU Data'!$B$6:$B$505,$A82)</f>
        <v>0</v>
      </c>
      <c r="J82" s="12" t="n">
        <f aca="false">SUMIFS('SKU Data'!$I$6:$I$505,'SKU Data'!$B$6:$B$505,$A82)</f>
        <v>0</v>
      </c>
      <c r="K82" s="12" t="n">
        <f aca="false">SUMIFS('SKU Data'!$J$6:$J$505,'SKU Data'!$B$6:$B$505,$A82)</f>
        <v>0</v>
      </c>
      <c r="L82" s="12" t="n">
        <f aca="false">SUMIFS('SKU Data'!$K$6:$K$505,'SKU Data'!$B$6:$B$505,$A82)</f>
        <v>0</v>
      </c>
      <c r="M82" s="25" t="n">
        <f aca="false">L82*Settings!$B$10+K82*Settings!$B$11+J82*Settings!$B$12+I82*Settings!$B$13</f>
        <v>0</v>
      </c>
      <c r="N82" s="25" t="n">
        <f aca="false">M82*Settings!$B$15</f>
        <v>0</v>
      </c>
      <c r="O82" s="12" t="n">
        <f aca="false">SUMIFS('SKU Data'!$L$6:$L$505,'SKU Data'!$B$6:$B$505,$A82)</f>
        <v>0</v>
      </c>
      <c r="P82" s="12" t="n">
        <f aca="false">SUMIFS('SKU Data'!$M$6:$M$505,'SKU Data'!$B$6:$B$505,$A82)</f>
        <v>0</v>
      </c>
      <c r="Q82" s="21" t="n">
        <f aca="false">IFERROR(O82/(E82-F82),0)</f>
        <v>0</v>
      </c>
      <c r="R82" s="21" t="n">
        <f aca="false">IFERROR(P82/(E82-F82),0)</f>
        <v>0</v>
      </c>
      <c r="S82" s="26" t="n">
        <f aca="false">IF(N82&lt;=0,IF(G82&gt;0,999,0),G82/N82)</f>
        <v>0</v>
      </c>
      <c r="T82" s="25" t="n">
        <f aca="false">IF(N(Options!L82)&gt;0,Options!L82,Settings!$B$20)</f>
        <v>8</v>
      </c>
      <c r="U82" s="9" t="n">
        <f aca="false">COUNTIFS('SKU Data'!$B$6:$B$505,$A82,'SKU Data'!$D$6:$D$505,"Y")</f>
        <v>0</v>
      </c>
      <c r="V82" s="9" t="n">
        <f aca="false">COUNTIFS('SKU Data'!$B$6:$B$505,$A82,'SKU Data'!$D$6:$D$505,"Y",'SKU Data'!$G$6:$G$505,"&lt;=0")</f>
        <v>0</v>
      </c>
      <c r="W82" s="28" t="str">
        <f aca="false">IF(A82="","",IF(AND(V82&gt;0,G82&gt;0),"Y",""))</f>
        <v/>
      </c>
      <c r="X82" s="9" t="str">
        <f aca="false">IF(A82="","",IF(AND(G82&gt;0,OR(Options!P82="N",Options!Q82="N")),"Y",""))</f>
        <v/>
      </c>
      <c r="Y82" s="9" t="n">
        <f aca="false">IF(AND(A82&lt;&gt;"",U82&gt;0,V82=0,G82&gt;0,Options!P82&lt;&gt;"N",Options!Q82&lt;&gt;"N"),1,0)</f>
        <v>0</v>
      </c>
      <c r="Z82" s="29" t="n">
        <f aca="false">IFERROR((K82+L82)/(I82+J82)-1,0)</f>
        <v>0</v>
      </c>
      <c r="AA82" s="9" t="str">
        <f aca="false">IF(A82="","",IF(Q82&gt;=Settings!$B$17,"High","Low"))</f>
        <v/>
      </c>
      <c r="AB82" s="9" t="str">
        <f aca="false">IF(A82="","",IF(S82&lt;IF(D82="End of life",Settings!$B$9,IF(D82="Core",T82,MIN(T82,Settings!$B$9))),"Low",IF(S82&gt;IF(D82="Core",Settings!$B$19,Settings!$B$9+Settings!$B$18),"High","Balanced")))</f>
        <v/>
      </c>
      <c r="AC82" s="28" t="str">
        <f aca="false">IF(A82="","",IF(AW82="Y","Held for a campaign",IF(AA82="High",IF(AB82="Low","Selling and short",IF(AB82="High","Selling, heavy","Selling, covered")),IF(AB82="Low","Slow and short",IF(AB82="High","Slow and heavy","Slow, covered")))))</f>
        <v/>
      </c>
      <c r="AD82" s="9" t="str">
        <f aca="false">IF(A82="","",TRIM(IF(W82="Y","Broken curve. ","")&amp;IF(X82="Y","Hidden from customers. ","")&amp;IF(Options!O82="Y","Promoted. ","")&amp;IF(Options!I82="Y","Range job. ","")&amp;IF(D82="End of life","End of life. ","")&amp;IF(H82&gt;0,"Order due in "&amp;Options!N82&amp;" weeks. ","")&amp;IF(AW82="Y","Held for "&amp;Options!T82&amp;", starts in "&amp;Options!U82&amp;" weeks. ","")&amp;IF(AX82&gt;0,"Covering for "&amp;AX82&amp;" sold-out line(s). ","")))</f>
        <v/>
      </c>
      <c r="AE82" s="9" t="str">
        <f aca="false">IF(A82="","",IF(AW82="Y",IF(AND(N(Options!V82)&gt;0,G82+H82&gt;N(Options!V82)*1.1),Settings!$A$48,Settings!$A$47),IF(X82="Y",Settings!$A$27,IF(AND(W82="Y",D82&lt;&gt;"End of life",AA82="High"),IF(H82&gt;0,Settings!$A$28,Settings!$A$29),IF(AND(W82="Y",D82="End of life"),Settings!$A$30,IF(AC82="Selling and short",IF(D82="End of life",Settings!$A$31,IF(Options!O82="Y",Settings!$A$32,IF(AX82&gt;0,Settings!$A$33,IF(H82&gt;0,IF(N(Options!N82)&lt;=S82,Settings!$A$34,Settings!$A$35),IF(AND(D82&lt;&gt;"Core",T82&gt;=Settings!$B$9),Settings!$A$36,Settings!$A$37))))),IF(AC82="Selling, heavy",IF(D82="Core",Settings!$A$38,Settings!$A$39),IF(AC82="Selling, covered",Settings!$A$40,IF(AC82="Slow and heavy",IF(Options!I82="Y",Settings!$A$41,IF(D82="End of life",Settings!$A$42,Settings!$A$43)),IF(AC82="Slow and short",IF(W82="Y",Settings!$A$44,Settings!$A$45),Settings!$A$46))))))))))</f>
        <v/>
      </c>
      <c r="AF82" s="9" t="str">
        <f aca="false">IF(A82="","",IFERROR(VLOOKUP(AM82,Settings!$A$27:$B$48,2,0),"Assign an owner"))</f>
        <v/>
      </c>
      <c r="AG82" s="14" t="n">
        <f aca="false">SUMIFS('SKU Data'!$V$6:$V$505,'SKU Data'!$B$6:$B$505,$A82)</f>
        <v>0</v>
      </c>
      <c r="AH82" s="12" t="n">
        <f aca="false">IF(A82="",0,IF(AW82="Y",IF(N(Options!V82)&gt;0,MAX(0,G82+H82-N(Options!V82)),0),MAX(0,G82+H82-N82*IF(D82="Core",Settings!$B$19,Settings!$B$9))))</f>
        <v>0</v>
      </c>
      <c r="AI82" s="14" t="n">
        <f aca="false">IF(OR(A82="",D82="Core"),0,AH82*N(Options!J82)*Settings!$B$21)</f>
        <v>0</v>
      </c>
      <c r="AJ82" s="14" t="n">
        <f aca="false">AH82*N(Options!K82)</f>
        <v>0</v>
      </c>
      <c r="AK82" s="27" t="n">
        <f aca="false">AZ82*(1-AY82)</f>
        <v>0</v>
      </c>
      <c r="AL82" s="27" t="n">
        <f aca="false">AI82+AK82</f>
        <v>0</v>
      </c>
      <c r="AM82" s="9" t="str">
        <f aca="false">IF(A82="","",IF(Options!W82&lt;&gt;"",Options!W82,AE82))</f>
        <v/>
      </c>
      <c r="AN82" s="28" t="str">
        <f aca="false">IF(A82="","",COUNTIF($AR$6:$AR$85,"&gt;"&amp;AR82)+1)</f>
        <v/>
      </c>
      <c r="AO82" s="9" t="str">
        <f aca="false">IF(A82="","",Options!D82)</f>
        <v/>
      </c>
      <c r="AP82" s="9" t="str">
        <f aca="false">IF(A82="","",Options!F82)</f>
        <v/>
      </c>
      <c r="AQ82" s="9" t="n">
        <f aca="false">IF(AND(A82&lt;&gt;"",AW82&lt;&gt;"Y",M82&gt;0,COUNTIF($M$6:$M$85,"&gt;"&amp;M82)&lt;Settings!$B$22),1,0)</f>
        <v>0</v>
      </c>
      <c r="AR82" s="28" t="n">
        <f aca="false">IF(A82="",-1,AL82+ROW()/1000000000)</f>
        <v>-1</v>
      </c>
      <c r="AS82" s="28" t="n">
        <f aca="false">IF(A82="",-1,AK82+ROW()/1000000000)</f>
        <v>-1</v>
      </c>
      <c r="AT82" s="28" t="n">
        <f aca="false">IF(A82="",-1,AI82+ROW()/1000000000)</f>
        <v>-1</v>
      </c>
      <c r="AU82" s="25" t="n">
        <f aca="false">SUMIFS('SKU Data'!$W$6:$W$505,'SKU Data'!$B$6:$B$505,$A82)</f>
        <v>0</v>
      </c>
      <c r="AV82" s="28" t="str">
        <f aca="false">IF(A82="","",COUNTIFS($C$6:$C$85,C82,$M$6:$M$85,"&gt;"&amp;M82)+1)</f>
        <v/>
      </c>
      <c r="AW82" s="9" t="str">
        <f aca="false">IF(A82="","",IF(AND(Options!T82&lt;&gt;"",N(Options!U82)&gt;0),"Y",""))</f>
        <v/>
      </c>
      <c r="AX82" s="9" t="n">
        <f aca="false">IF(A82="",0,COUNTIFS(Options!$R$6:$R$85,$A82,$V$6:$V$85,"&gt;0"))</f>
        <v>0</v>
      </c>
      <c r="AY82" s="13" t="n">
        <f aca="false">IF(Options!S82&lt;&gt;"",Options!S82,Settings!$B$23)</f>
        <v>0.3</v>
      </c>
      <c r="AZ82" s="14" t="n">
        <f aca="false">SUMIFS('SKU Data'!$U$6:$U$505,'SKU Data'!$B$6:$B$505,$A82)</f>
        <v>0</v>
      </c>
    </row>
    <row r="83" customFormat="false" ht="15" hidden="false" customHeight="false" outlineLevel="0" collapsed="false">
      <c r="A83" s="9" t="str">
        <f aca="false">IF(Options!A83="","",Options!A83)</f>
        <v/>
      </c>
      <c r="B83" s="9" t="str">
        <f aca="false">IF(A83="","",Options!B83&amp;" "&amp;Options!C83)</f>
        <v/>
      </c>
      <c r="C83" s="9" t="str">
        <f aca="false">IF(A83="","",Options!E83)</f>
        <v/>
      </c>
      <c r="D83" s="9" t="str">
        <f aca="false">IF(A83="","",Options!H83)</f>
        <v/>
      </c>
      <c r="E83" s="12" t="n">
        <f aca="false">SUMIFS('SKU Data'!$E$6:$E$505,'SKU Data'!$B$6:$B$505,$A83)</f>
        <v>0</v>
      </c>
      <c r="F83" s="12" t="n">
        <f aca="false">SUMIFS('SKU Data'!$F$6:$F$505,'SKU Data'!$B$6:$B$505,$A83)</f>
        <v>0</v>
      </c>
      <c r="G83" s="12" t="n">
        <f aca="false">SUMIFS('SKU Data'!$G$6:$G$505,'SKU Data'!$B$6:$B$505,$A83)</f>
        <v>0</v>
      </c>
      <c r="H83" s="12" t="n">
        <f aca="false">N(Options!M83)</f>
        <v>0</v>
      </c>
      <c r="I83" s="12" t="n">
        <f aca="false">SUMIFS('SKU Data'!$H$6:$H$505,'SKU Data'!$B$6:$B$505,$A83)</f>
        <v>0</v>
      </c>
      <c r="J83" s="12" t="n">
        <f aca="false">SUMIFS('SKU Data'!$I$6:$I$505,'SKU Data'!$B$6:$B$505,$A83)</f>
        <v>0</v>
      </c>
      <c r="K83" s="12" t="n">
        <f aca="false">SUMIFS('SKU Data'!$J$6:$J$505,'SKU Data'!$B$6:$B$505,$A83)</f>
        <v>0</v>
      </c>
      <c r="L83" s="12" t="n">
        <f aca="false">SUMIFS('SKU Data'!$K$6:$K$505,'SKU Data'!$B$6:$B$505,$A83)</f>
        <v>0</v>
      </c>
      <c r="M83" s="25" t="n">
        <f aca="false">L83*Settings!$B$10+K83*Settings!$B$11+J83*Settings!$B$12+I83*Settings!$B$13</f>
        <v>0</v>
      </c>
      <c r="N83" s="25" t="n">
        <f aca="false">M83*Settings!$B$15</f>
        <v>0</v>
      </c>
      <c r="O83" s="12" t="n">
        <f aca="false">SUMIFS('SKU Data'!$L$6:$L$505,'SKU Data'!$B$6:$B$505,$A83)</f>
        <v>0</v>
      </c>
      <c r="P83" s="12" t="n">
        <f aca="false">SUMIFS('SKU Data'!$M$6:$M$505,'SKU Data'!$B$6:$B$505,$A83)</f>
        <v>0</v>
      </c>
      <c r="Q83" s="21" t="n">
        <f aca="false">IFERROR(O83/(E83-F83),0)</f>
        <v>0</v>
      </c>
      <c r="R83" s="21" t="n">
        <f aca="false">IFERROR(P83/(E83-F83),0)</f>
        <v>0</v>
      </c>
      <c r="S83" s="26" t="n">
        <f aca="false">IF(N83&lt;=0,IF(G83&gt;0,999,0),G83/N83)</f>
        <v>0</v>
      </c>
      <c r="T83" s="25" t="n">
        <f aca="false">IF(N(Options!L83)&gt;0,Options!L83,Settings!$B$20)</f>
        <v>8</v>
      </c>
      <c r="U83" s="9" t="n">
        <f aca="false">COUNTIFS('SKU Data'!$B$6:$B$505,$A83,'SKU Data'!$D$6:$D$505,"Y")</f>
        <v>0</v>
      </c>
      <c r="V83" s="9" t="n">
        <f aca="false">COUNTIFS('SKU Data'!$B$6:$B$505,$A83,'SKU Data'!$D$6:$D$505,"Y",'SKU Data'!$G$6:$G$505,"&lt;=0")</f>
        <v>0</v>
      </c>
      <c r="W83" s="28" t="str">
        <f aca="false">IF(A83="","",IF(AND(V83&gt;0,G83&gt;0),"Y",""))</f>
        <v/>
      </c>
      <c r="X83" s="9" t="str">
        <f aca="false">IF(A83="","",IF(AND(G83&gt;0,OR(Options!P83="N",Options!Q83="N")),"Y",""))</f>
        <v/>
      </c>
      <c r="Y83" s="9" t="n">
        <f aca="false">IF(AND(A83&lt;&gt;"",U83&gt;0,V83=0,G83&gt;0,Options!P83&lt;&gt;"N",Options!Q83&lt;&gt;"N"),1,0)</f>
        <v>0</v>
      </c>
      <c r="Z83" s="29" t="n">
        <f aca="false">IFERROR((K83+L83)/(I83+J83)-1,0)</f>
        <v>0</v>
      </c>
      <c r="AA83" s="9" t="str">
        <f aca="false">IF(A83="","",IF(Q83&gt;=Settings!$B$17,"High","Low"))</f>
        <v/>
      </c>
      <c r="AB83" s="9" t="str">
        <f aca="false">IF(A83="","",IF(S83&lt;IF(D83="End of life",Settings!$B$9,IF(D83="Core",T83,MIN(T83,Settings!$B$9))),"Low",IF(S83&gt;IF(D83="Core",Settings!$B$19,Settings!$B$9+Settings!$B$18),"High","Balanced")))</f>
        <v/>
      </c>
      <c r="AC83" s="28" t="str">
        <f aca="false">IF(A83="","",IF(AW83="Y","Held for a campaign",IF(AA83="High",IF(AB83="Low","Selling and short",IF(AB83="High","Selling, heavy","Selling, covered")),IF(AB83="Low","Slow and short",IF(AB83="High","Slow and heavy","Slow, covered")))))</f>
        <v/>
      </c>
      <c r="AD83" s="9" t="str">
        <f aca="false">IF(A83="","",TRIM(IF(W83="Y","Broken curve. ","")&amp;IF(X83="Y","Hidden from customers. ","")&amp;IF(Options!O83="Y","Promoted. ","")&amp;IF(Options!I83="Y","Range job. ","")&amp;IF(D83="End of life","End of life. ","")&amp;IF(H83&gt;0,"Order due in "&amp;Options!N83&amp;" weeks. ","")&amp;IF(AW83="Y","Held for "&amp;Options!T83&amp;", starts in "&amp;Options!U83&amp;" weeks. ","")&amp;IF(AX83&gt;0,"Covering for "&amp;AX83&amp;" sold-out line(s). ","")))</f>
        <v/>
      </c>
      <c r="AE83" s="9" t="str">
        <f aca="false">IF(A83="","",IF(AW83="Y",IF(AND(N(Options!V83)&gt;0,G83+H83&gt;N(Options!V83)*1.1),Settings!$A$48,Settings!$A$47),IF(X83="Y",Settings!$A$27,IF(AND(W83="Y",D83&lt;&gt;"End of life",AA83="High"),IF(H83&gt;0,Settings!$A$28,Settings!$A$29),IF(AND(W83="Y",D83="End of life"),Settings!$A$30,IF(AC83="Selling and short",IF(D83="End of life",Settings!$A$31,IF(Options!O83="Y",Settings!$A$32,IF(AX83&gt;0,Settings!$A$33,IF(H83&gt;0,IF(N(Options!N83)&lt;=S83,Settings!$A$34,Settings!$A$35),IF(AND(D83&lt;&gt;"Core",T83&gt;=Settings!$B$9),Settings!$A$36,Settings!$A$37))))),IF(AC83="Selling, heavy",IF(D83="Core",Settings!$A$38,Settings!$A$39),IF(AC83="Selling, covered",Settings!$A$40,IF(AC83="Slow and heavy",IF(Options!I83="Y",Settings!$A$41,IF(D83="End of life",Settings!$A$42,Settings!$A$43)),IF(AC83="Slow and short",IF(W83="Y",Settings!$A$44,Settings!$A$45),Settings!$A$46))))))))))</f>
        <v/>
      </c>
      <c r="AF83" s="9" t="str">
        <f aca="false">IF(A83="","",IFERROR(VLOOKUP(AM83,Settings!$A$27:$B$48,2,0),"Assign an owner"))</f>
        <v/>
      </c>
      <c r="AG83" s="14" t="n">
        <f aca="false">SUMIFS('SKU Data'!$V$6:$V$505,'SKU Data'!$B$6:$B$505,$A83)</f>
        <v>0</v>
      </c>
      <c r="AH83" s="12" t="n">
        <f aca="false">IF(A83="",0,IF(AW83="Y",IF(N(Options!V83)&gt;0,MAX(0,G83+H83-N(Options!V83)),0),MAX(0,G83+H83-N83*IF(D83="Core",Settings!$B$19,Settings!$B$9))))</f>
        <v>0</v>
      </c>
      <c r="AI83" s="14" t="n">
        <f aca="false">IF(OR(A83="",D83="Core"),0,AH83*N(Options!J83)*Settings!$B$21)</f>
        <v>0</v>
      </c>
      <c r="AJ83" s="14" t="n">
        <f aca="false">AH83*N(Options!K83)</f>
        <v>0</v>
      </c>
      <c r="AK83" s="27" t="n">
        <f aca="false">AZ83*(1-AY83)</f>
        <v>0</v>
      </c>
      <c r="AL83" s="27" t="n">
        <f aca="false">AI83+AK83</f>
        <v>0</v>
      </c>
      <c r="AM83" s="9" t="str">
        <f aca="false">IF(A83="","",IF(Options!W83&lt;&gt;"",Options!W83,AE83))</f>
        <v/>
      </c>
      <c r="AN83" s="28" t="str">
        <f aca="false">IF(A83="","",COUNTIF($AR$6:$AR$85,"&gt;"&amp;AR83)+1)</f>
        <v/>
      </c>
      <c r="AO83" s="9" t="str">
        <f aca="false">IF(A83="","",Options!D83)</f>
        <v/>
      </c>
      <c r="AP83" s="9" t="str">
        <f aca="false">IF(A83="","",Options!F83)</f>
        <v/>
      </c>
      <c r="AQ83" s="9" t="n">
        <f aca="false">IF(AND(A83&lt;&gt;"",AW83&lt;&gt;"Y",M83&gt;0,COUNTIF($M$6:$M$85,"&gt;"&amp;M83)&lt;Settings!$B$22),1,0)</f>
        <v>0</v>
      </c>
      <c r="AR83" s="28" t="n">
        <f aca="false">IF(A83="",-1,AL83+ROW()/1000000000)</f>
        <v>-1</v>
      </c>
      <c r="AS83" s="28" t="n">
        <f aca="false">IF(A83="",-1,AK83+ROW()/1000000000)</f>
        <v>-1</v>
      </c>
      <c r="AT83" s="28" t="n">
        <f aca="false">IF(A83="",-1,AI83+ROW()/1000000000)</f>
        <v>-1</v>
      </c>
      <c r="AU83" s="25" t="n">
        <f aca="false">SUMIFS('SKU Data'!$W$6:$W$505,'SKU Data'!$B$6:$B$505,$A83)</f>
        <v>0</v>
      </c>
      <c r="AV83" s="28" t="str">
        <f aca="false">IF(A83="","",COUNTIFS($C$6:$C$85,C83,$M$6:$M$85,"&gt;"&amp;M83)+1)</f>
        <v/>
      </c>
      <c r="AW83" s="9" t="str">
        <f aca="false">IF(A83="","",IF(AND(Options!T83&lt;&gt;"",N(Options!U83)&gt;0),"Y",""))</f>
        <v/>
      </c>
      <c r="AX83" s="9" t="n">
        <f aca="false">IF(A83="",0,COUNTIFS(Options!$R$6:$R$85,$A83,$V$6:$V$85,"&gt;0"))</f>
        <v>0</v>
      </c>
      <c r="AY83" s="13" t="n">
        <f aca="false">IF(Options!S83&lt;&gt;"",Options!S83,Settings!$B$23)</f>
        <v>0.3</v>
      </c>
      <c r="AZ83" s="14" t="n">
        <f aca="false">SUMIFS('SKU Data'!$U$6:$U$505,'SKU Data'!$B$6:$B$505,$A83)</f>
        <v>0</v>
      </c>
    </row>
    <row r="84" customFormat="false" ht="15" hidden="false" customHeight="false" outlineLevel="0" collapsed="false">
      <c r="A84" s="9" t="str">
        <f aca="false">IF(Options!A84="","",Options!A84)</f>
        <v/>
      </c>
      <c r="B84" s="9" t="str">
        <f aca="false">IF(A84="","",Options!B84&amp;" "&amp;Options!C84)</f>
        <v/>
      </c>
      <c r="C84" s="9" t="str">
        <f aca="false">IF(A84="","",Options!E84)</f>
        <v/>
      </c>
      <c r="D84" s="9" t="str">
        <f aca="false">IF(A84="","",Options!H84)</f>
        <v/>
      </c>
      <c r="E84" s="12" t="n">
        <f aca="false">SUMIFS('SKU Data'!$E$6:$E$505,'SKU Data'!$B$6:$B$505,$A84)</f>
        <v>0</v>
      </c>
      <c r="F84" s="12" t="n">
        <f aca="false">SUMIFS('SKU Data'!$F$6:$F$505,'SKU Data'!$B$6:$B$505,$A84)</f>
        <v>0</v>
      </c>
      <c r="G84" s="12" t="n">
        <f aca="false">SUMIFS('SKU Data'!$G$6:$G$505,'SKU Data'!$B$6:$B$505,$A84)</f>
        <v>0</v>
      </c>
      <c r="H84" s="12" t="n">
        <f aca="false">N(Options!M84)</f>
        <v>0</v>
      </c>
      <c r="I84" s="12" t="n">
        <f aca="false">SUMIFS('SKU Data'!$H$6:$H$505,'SKU Data'!$B$6:$B$505,$A84)</f>
        <v>0</v>
      </c>
      <c r="J84" s="12" t="n">
        <f aca="false">SUMIFS('SKU Data'!$I$6:$I$505,'SKU Data'!$B$6:$B$505,$A84)</f>
        <v>0</v>
      </c>
      <c r="K84" s="12" t="n">
        <f aca="false">SUMIFS('SKU Data'!$J$6:$J$505,'SKU Data'!$B$6:$B$505,$A84)</f>
        <v>0</v>
      </c>
      <c r="L84" s="12" t="n">
        <f aca="false">SUMIFS('SKU Data'!$K$6:$K$505,'SKU Data'!$B$6:$B$505,$A84)</f>
        <v>0</v>
      </c>
      <c r="M84" s="25" t="n">
        <f aca="false">L84*Settings!$B$10+K84*Settings!$B$11+J84*Settings!$B$12+I84*Settings!$B$13</f>
        <v>0</v>
      </c>
      <c r="N84" s="25" t="n">
        <f aca="false">M84*Settings!$B$15</f>
        <v>0</v>
      </c>
      <c r="O84" s="12" t="n">
        <f aca="false">SUMIFS('SKU Data'!$L$6:$L$505,'SKU Data'!$B$6:$B$505,$A84)</f>
        <v>0</v>
      </c>
      <c r="P84" s="12" t="n">
        <f aca="false">SUMIFS('SKU Data'!$M$6:$M$505,'SKU Data'!$B$6:$B$505,$A84)</f>
        <v>0</v>
      </c>
      <c r="Q84" s="21" t="n">
        <f aca="false">IFERROR(O84/(E84-F84),0)</f>
        <v>0</v>
      </c>
      <c r="R84" s="21" t="n">
        <f aca="false">IFERROR(P84/(E84-F84),0)</f>
        <v>0</v>
      </c>
      <c r="S84" s="26" t="n">
        <f aca="false">IF(N84&lt;=0,IF(G84&gt;0,999,0),G84/N84)</f>
        <v>0</v>
      </c>
      <c r="T84" s="25" t="n">
        <f aca="false">IF(N(Options!L84)&gt;0,Options!L84,Settings!$B$20)</f>
        <v>8</v>
      </c>
      <c r="U84" s="9" t="n">
        <f aca="false">COUNTIFS('SKU Data'!$B$6:$B$505,$A84,'SKU Data'!$D$6:$D$505,"Y")</f>
        <v>0</v>
      </c>
      <c r="V84" s="9" t="n">
        <f aca="false">COUNTIFS('SKU Data'!$B$6:$B$505,$A84,'SKU Data'!$D$6:$D$505,"Y",'SKU Data'!$G$6:$G$505,"&lt;=0")</f>
        <v>0</v>
      </c>
      <c r="W84" s="28" t="str">
        <f aca="false">IF(A84="","",IF(AND(V84&gt;0,G84&gt;0),"Y",""))</f>
        <v/>
      </c>
      <c r="X84" s="9" t="str">
        <f aca="false">IF(A84="","",IF(AND(G84&gt;0,OR(Options!P84="N",Options!Q84="N")),"Y",""))</f>
        <v/>
      </c>
      <c r="Y84" s="9" t="n">
        <f aca="false">IF(AND(A84&lt;&gt;"",U84&gt;0,V84=0,G84&gt;0,Options!P84&lt;&gt;"N",Options!Q84&lt;&gt;"N"),1,0)</f>
        <v>0</v>
      </c>
      <c r="Z84" s="29" t="n">
        <f aca="false">IFERROR((K84+L84)/(I84+J84)-1,0)</f>
        <v>0</v>
      </c>
      <c r="AA84" s="9" t="str">
        <f aca="false">IF(A84="","",IF(Q84&gt;=Settings!$B$17,"High","Low"))</f>
        <v/>
      </c>
      <c r="AB84" s="9" t="str">
        <f aca="false">IF(A84="","",IF(S84&lt;IF(D84="End of life",Settings!$B$9,IF(D84="Core",T84,MIN(T84,Settings!$B$9))),"Low",IF(S84&gt;IF(D84="Core",Settings!$B$19,Settings!$B$9+Settings!$B$18),"High","Balanced")))</f>
        <v/>
      </c>
      <c r="AC84" s="28" t="str">
        <f aca="false">IF(A84="","",IF(AW84="Y","Held for a campaign",IF(AA84="High",IF(AB84="Low","Selling and short",IF(AB84="High","Selling, heavy","Selling, covered")),IF(AB84="Low","Slow and short",IF(AB84="High","Slow and heavy","Slow, covered")))))</f>
        <v/>
      </c>
      <c r="AD84" s="9" t="str">
        <f aca="false">IF(A84="","",TRIM(IF(W84="Y","Broken curve. ","")&amp;IF(X84="Y","Hidden from customers. ","")&amp;IF(Options!O84="Y","Promoted. ","")&amp;IF(Options!I84="Y","Range job. ","")&amp;IF(D84="End of life","End of life. ","")&amp;IF(H84&gt;0,"Order due in "&amp;Options!N84&amp;" weeks. ","")&amp;IF(AW84="Y","Held for "&amp;Options!T84&amp;", starts in "&amp;Options!U84&amp;" weeks. ","")&amp;IF(AX84&gt;0,"Covering for "&amp;AX84&amp;" sold-out line(s). ","")))</f>
        <v/>
      </c>
      <c r="AE84" s="9" t="str">
        <f aca="false">IF(A84="","",IF(AW84="Y",IF(AND(N(Options!V84)&gt;0,G84+H84&gt;N(Options!V84)*1.1),Settings!$A$48,Settings!$A$47),IF(X84="Y",Settings!$A$27,IF(AND(W84="Y",D84&lt;&gt;"End of life",AA84="High"),IF(H84&gt;0,Settings!$A$28,Settings!$A$29),IF(AND(W84="Y",D84="End of life"),Settings!$A$30,IF(AC84="Selling and short",IF(D84="End of life",Settings!$A$31,IF(Options!O84="Y",Settings!$A$32,IF(AX84&gt;0,Settings!$A$33,IF(H84&gt;0,IF(N(Options!N84)&lt;=S84,Settings!$A$34,Settings!$A$35),IF(AND(D84&lt;&gt;"Core",T84&gt;=Settings!$B$9),Settings!$A$36,Settings!$A$37))))),IF(AC84="Selling, heavy",IF(D84="Core",Settings!$A$38,Settings!$A$39),IF(AC84="Selling, covered",Settings!$A$40,IF(AC84="Slow and heavy",IF(Options!I84="Y",Settings!$A$41,IF(D84="End of life",Settings!$A$42,Settings!$A$43)),IF(AC84="Slow and short",IF(W84="Y",Settings!$A$44,Settings!$A$45),Settings!$A$46))))))))))</f>
        <v/>
      </c>
      <c r="AF84" s="9" t="str">
        <f aca="false">IF(A84="","",IFERROR(VLOOKUP(AM84,Settings!$A$27:$B$48,2,0),"Assign an owner"))</f>
        <v/>
      </c>
      <c r="AG84" s="14" t="n">
        <f aca="false">SUMIFS('SKU Data'!$V$6:$V$505,'SKU Data'!$B$6:$B$505,$A84)</f>
        <v>0</v>
      </c>
      <c r="AH84" s="12" t="n">
        <f aca="false">IF(A84="",0,IF(AW84="Y",IF(N(Options!V84)&gt;0,MAX(0,G84+H84-N(Options!V84)),0),MAX(0,G84+H84-N84*IF(D84="Core",Settings!$B$19,Settings!$B$9))))</f>
        <v>0</v>
      </c>
      <c r="AI84" s="14" t="n">
        <f aca="false">IF(OR(A84="",D84="Core"),0,AH84*N(Options!J84)*Settings!$B$21)</f>
        <v>0</v>
      </c>
      <c r="AJ84" s="14" t="n">
        <f aca="false">AH84*N(Options!K84)</f>
        <v>0</v>
      </c>
      <c r="AK84" s="27" t="n">
        <f aca="false">AZ84*(1-AY84)</f>
        <v>0</v>
      </c>
      <c r="AL84" s="27" t="n">
        <f aca="false">AI84+AK84</f>
        <v>0</v>
      </c>
      <c r="AM84" s="9" t="str">
        <f aca="false">IF(A84="","",IF(Options!W84&lt;&gt;"",Options!W84,AE84))</f>
        <v/>
      </c>
      <c r="AN84" s="28" t="str">
        <f aca="false">IF(A84="","",COUNTIF($AR$6:$AR$85,"&gt;"&amp;AR84)+1)</f>
        <v/>
      </c>
      <c r="AO84" s="9" t="str">
        <f aca="false">IF(A84="","",Options!D84)</f>
        <v/>
      </c>
      <c r="AP84" s="9" t="str">
        <f aca="false">IF(A84="","",Options!F84)</f>
        <v/>
      </c>
      <c r="AQ84" s="9" t="n">
        <f aca="false">IF(AND(A84&lt;&gt;"",AW84&lt;&gt;"Y",M84&gt;0,COUNTIF($M$6:$M$85,"&gt;"&amp;M84)&lt;Settings!$B$22),1,0)</f>
        <v>0</v>
      </c>
      <c r="AR84" s="28" t="n">
        <f aca="false">IF(A84="",-1,AL84+ROW()/1000000000)</f>
        <v>-1</v>
      </c>
      <c r="AS84" s="28" t="n">
        <f aca="false">IF(A84="",-1,AK84+ROW()/1000000000)</f>
        <v>-1</v>
      </c>
      <c r="AT84" s="28" t="n">
        <f aca="false">IF(A84="",-1,AI84+ROW()/1000000000)</f>
        <v>-1</v>
      </c>
      <c r="AU84" s="25" t="n">
        <f aca="false">SUMIFS('SKU Data'!$W$6:$W$505,'SKU Data'!$B$6:$B$505,$A84)</f>
        <v>0</v>
      </c>
      <c r="AV84" s="28" t="str">
        <f aca="false">IF(A84="","",COUNTIFS($C$6:$C$85,C84,$M$6:$M$85,"&gt;"&amp;M84)+1)</f>
        <v/>
      </c>
      <c r="AW84" s="9" t="str">
        <f aca="false">IF(A84="","",IF(AND(Options!T84&lt;&gt;"",N(Options!U84)&gt;0),"Y",""))</f>
        <v/>
      </c>
      <c r="AX84" s="9" t="n">
        <f aca="false">IF(A84="",0,COUNTIFS(Options!$R$6:$R$85,$A84,$V$6:$V$85,"&gt;0"))</f>
        <v>0</v>
      </c>
      <c r="AY84" s="13" t="n">
        <f aca="false">IF(Options!S84&lt;&gt;"",Options!S84,Settings!$B$23)</f>
        <v>0.3</v>
      </c>
      <c r="AZ84" s="14" t="n">
        <f aca="false">SUMIFS('SKU Data'!$U$6:$U$505,'SKU Data'!$B$6:$B$505,$A84)</f>
        <v>0</v>
      </c>
    </row>
    <row r="85" customFormat="false" ht="15" hidden="false" customHeight="false" outlineLevel="0" collapsed="false">
      <c r="A85" s="9" t="str">
        <f aca="false">IF(Options!A85="","",Options!A85)</f>
        <v/>
      </c>
      <c r="B85" s="9" t="str">
        <f aca="false">IF(A85="","",Options!B85&amp;" "&amp;Options!C85)</f>
        <v/>
      </c>
      <c r="C85" s="9" t="str">
        <f aca="false">IF(A85="","",Options!E85)</f>
        <v/>
      </c>
      <c r="D85" s="9" t="str">
        <f aca="false">IF(A85="","",Options!H85)</f>
        <v/>
      </c>
      <c r="E85" s="12" t="n">
        <f aca="false">SUMIFS('SKU Data'!$E$6:$E$505,'SKU Data'!$B$6:$B$505,$A85)</f>
        <v>0</v>
      </c>
      <c r="F85" s="12" t="n">
        <f aca="false">SUMIFS('SKU Data'!$F$6:$F$505,'SKU Data'!$B$6:$B$505,$A85)</f>
        <v>0</v>
      </c>
      <c r="G85" s="12" t="n">
        <f aca="false">SUMIFS('SKU Data'!$G$6:$G$505,'SKU Data'!$B$6:$B$505,$A85)</f>
        <v>0</v>
      </c>
      <c r="H85" s="12" t="n">
        <f aca="false">N(Options!M85)</f>
        <v>0</v>
      </c>
      <c r="I85" s="12" t="n">
        <f aca="false">SUMIFS('SKU Data'!$H$6:$H$505,'SKU Data'!$B$6:$B$505,$A85)</f>
        <v>0</v>
      </c>
      <c r="J85" s="12" t="n">
        <f aca="false">SUMIFS('SKU Data'!$I$6:$I$505,'SKU Data'!$B$6:$B$505,$A85)</f>
        <v>0</v>
      </c>
      <c r="K85" s="12" t="n">
        <f aca="false">SUMIFS('SKU Data'!$J$6:$J$505,'SKU Data'!$B$6:$B$505,$A85)</f>
        <v>0</v>
      </c>
      <c r="L85" s="12" t="n">
        <f aca="false">SUMIFS('SKU Data'!$K$6:$K$505,'SKU Data'!$B$6:$B$505,$A85)</f>
        <v>0</v>
      </c>
      <c r="M85" s="25" t="n">
        <f aca="false">L85*Settings!$B$10+K85*Settings!$B$11+J85*Settings!$B$12+I85*Settings!$B$13</f>
        <v>0</v>
      </c>
      <c r="N85" s="25" t="n">
        <f aca="false">M85*Settings!$B$15</f>
        <v>0</v>
      </c>
      <c r="O85" s="12" t="n">
        <f aca="false">SUMIFS('SKU Data'!$L$6:$L$505,'SKU Data'!$B$6:$B$505,$A85)</f>
        <v>0</v>
      </c>
      <c r="P85" s="12" t="n">
        <f aca="false">SUMIFS('SKU Data'!$M$6:$M$505,'SKU Data'!$B$6:$B$505,$A85)</f>
        <v>0</v>
      </c>
      <c r="Q85" s="21" t="n">
        <f aca="false">IFERROR(O85/(E85-F85),0)</f>
        <v>0</v>
      </c>
      <c r="R85" s="21" t="n">
        <f aca="false">IFERROR(P85/(E85-F85),0)</f>
        <v>0</v>
      </c>
      <c r="S85" s="26" t="n">
        <f aca="false">IF(N85&lt;=0,IF(G85&gt;0,999,0),G85/N85)</f>
        <v>0</v>
      </c>
      <c r="T85" s="25" t="n">
        <f aca="false">IF(N(Options!L85)&gt;0,Options!L85,Settings!$B$20)</f>
        <v>8</v>
      </c>
      <c r="U85" s="9" t="n">
        <f aca="false">COUNTIFS('SKU Data'!$B$6:$B$505,$A85,'SKU Data'!$D$6:$D$505,"Y")</f>
        <v>0</v>
      </c>
      <c r="V85" s="9" t="n">
        <f aca="false">COUNTIFS('SKU Data'!$B$6:$B$505,$A85,'SKU Data'!$D$6:$D$505,"Y",'SKU Data'!$G$6:$G$505,"&lt;=0")</f>
        <v>0</v>
      </c>
      <c r="W85" s="28" t="str">
        <f aca="false">IF(A85="","",IF(AND(V85&gt;0,G85&gt;0),"Y",""))</f>
        <v/>
      </c>
      <c r="X85" s="9" t="str">
        <f aca="false">IF(A85="","",IF(AND(G85&gt;0,OR(Options!P85="N",Options!Q85="N")),"Y",""))</f>
        <v/>
      </c>
      <c r="Y85" s="9" t="n">
        <f aca="false">IF(AND(A85&lt;&gt;"",U85&gt;0,V85=0,G85&gt;0,Options!P85&lt;&gt;"N",Options!Q85&lt;&gt;"N"),1,0)</f>
        <v>0</v>
      </c>
      <c r="Z85" s="29" t="n">
        <f aca="false">IFERROR((K85+L85)/(I85+J85)-1,0)</f>
        <v>0</v>
      </c>
      <c r="AA85" s="9" t="str">
        <f aca="false">IF(A85="","",IF(Q85&gt;=Settings!$B$17,"High","Low"))</f>
        <v/>
      </c>
      <c r="AB85" s="9" t="str">
        <f aca="false">IF(A85="","",IF(S85&lt;IF(D85="End of life",Settings!$B$9,IF(D85="Core",T85,MIN(T85,Settings!$B$9))),"Low",IF(S85&gt;IF(D85="Core",Settings!$B$19,Settings!$B$9+Settings!$B$18),"High","Balanced")))</f>
        <v/>
      </c>
      <c r="AC85" s="28" t="str">
        <f aca="false">IF(A85="","",IF(AW85="Y","Held for a campaign",IF(AA85="High",IF(AB85="Low","Selling and short",IF(AB85="High","Selling, heavy","Selling, covered")),IF(AB85="Low","Slow and short",IF(AB85="High","Slow and heavy","Slow, covered")))))</f>
        <v/>
      </c>
      <c r="AD85" s="9" t="str">
        <f aca="false">IF(A85="","",TRIM(IF(W85="Y","Broken curve. ","")&amp;IF(X85="Y","Hidden from customers. ","")&amp;IF(Options!O85="Y","Promoted. ","")&amp;IF(Options!I85="Y","Range job. ","")&amp;IF(D85="End of life","End of life. ","")&amp;IF(H85&gt;0,"Order due in "&amp;Options!N85&amp;" weeks. ","")&amp;IF(AW85="Y","Held for "&amp;Options!T85&amp;", starts in "&amp;Options!U85&amp;" weeks. ","")&amp;IF(AX85&gt;0,"Covering for "&amp;AX85&amp;" sold-out line(s). ","")))</f>
        <v/>
      </c>
      <c r="AE85" s="9" t="str">
        <f aca="false">IF(A85="","",IF(AW85="Y",IF(AND(N(Options!V85)&gt;0,G85+H85&gt;N(Options!V85)*1.1),Settings!$A$48,Settings!$A$47),IF(X85="Y",Settings!$A$27,IF(AND(W85="Y",D85&lt;&gt;"End of life",AA85="High"),IF(H85&gt;0,Settings!$A$28,Settings!$A$29),IF(AND(W85="Y",D85="End of life"),Settings!$A$30,IF(AC85="Selling and short",IF(D85="End of life",Settings!$A$31,IF(Options!O85="Y",Settings!$A$32,IF(AX85&gt;0,Settings!$A$33,IF(H85&gt;0,IF(N(Options!N85)&lt;=S85,Settings!$A$34,Settings!$A$35),IF(AND(D85&lt;&gt;"Core",T85&gt;=Settings!$B$9),Settings!$A$36,Settings!$A$37))))),IF(AC85="Selling, heavy",IF(D85="Core",Settings!$A$38,Settings!$A$39),IF(AC85="Selling, covered",Settings!$A$40,IF(AC85="Slow and heavy",IF(Options!I85="Y",Settings!$A$41,IF(D85="End of life",Settings!$A$42,Settings!$A$43)),IF(AC85="Slow and short",IF(W85="Y",Settings!$A$44,Settings!$A$45),Settings!$A$46))))))))))</f>
        <v/>
      </c>
      <c r="AF85" s="9" t="str">
        <f aca="false">IF(A85="","",IFERROR(VLOOKUP(AM85,Settings!$A$27:$B$48,2,0),"Assign an owner"))</f>
        <v/>
      </c>
      <c r="AG85" s="14" t="n">
        <f aca="false">SUMIFS('SKU Data'!$V$6:$V$505,'SKU Data'!$B$6:$B$505,$A85)</f>
        <v>0</v>
      </c>
      <c r="AH85" s="12" t="n">
        <f aca="false">IF(A85="",0,IF(AW85="Y",IF(N(Options!V85)&gt;0,MAX(0,G85+H85-N(Options!V85)),0),MAX(0,G85+H85-N85*IF(D85="Core",Settings!$B$19,Settings!$B$9))))</f>
        <v>0</v>
      </c>
      <c r="AI85" s="14" t="n">
        <f aca="false">IF(OR(A85="",D85="Core"),0,AH85*N(Options!J85)*Settings!$B$21)</f>
        <v>0</v>
      </c>
      <c r="AJ85" s="14" t="n">
        <f aca="false">AH85*N(Options!K85)</f>
        <v>0</v>
      </c>
      <c r="AK85" s="27" t="n">
        <f aca="false">AZ85*(1-AY85)</f>
        <v>0</v>
      </c>
      <c r="AL85" s="27" t="n">
        <f aca="false">AI85+AK85</f>
        <v>0</v>
      </c>
      <c r="AM85" s="9" t="str">
        <f aca="false">IF(A85="","",IF(Options!W85&lt;&gt;"",Options!W85,AE85))</f>
        <v/>
      </c>
      <c r="AN85" s="28" t="str">
        <f aca="false">IF(A85="","",COUNTIF($AR$6:$AR$85,"&gt;"&amp;AR85)+1)</f>
        <v/>
      </c>
      <c r="AO85" s="9" t="str">
        <f aca="false">IF(A85="","",Options!D85)</f>
        <v/>
      </c>
      <c r="AP85" s="9" t="str">
        <f aca="false">IF(A85="","",Options!F85)</f>
        <v/>
      </c>
      <c r="AQ85" s="9" t="n">
        <f aca="false">IF(AND(A85&lt;&gt;"",AW85&lt;&gt;"Y",M85&gt;0,COUNTIF($M$6:$M$85,"&gt;"&amp;M85)&lt;Settings!$B$22),1,0)</f>
        <v>0</v>
      </c>
      <c r="AR85" s="28" t="n">
        <f aca="false">IF(A85="",-1,AL85+ROW()/1000000000)</f>
        <v>-1</v>
      </c>
      <c r="AS85" s="28" t="n">
        <f aca="false">IF(A85="",-1,AK85+ROW()/1000000000)</f>
        <v>-1</v>
      </c>
      <c r="AT85" s="28" t="n">
        <f aca="false">IF(A85="",-1,AI85+ROW()/1000000000)</f>
        <v>-1</v>
      </c>
      <c r="AU85" s="25" t="n">
        <f aca="false">SUMIFS('SKU Data'!$W$6:$W$505,'SKU Data'!$B$6:$B$505,$A85)</f>
        <v>0</v>
      </c>
      <c r="AV85" s="28" t="str">
        <f aca="false">IF(A85="","",COUNTIFS($C$6:$C$85,C85,$M$6:$M$85,"&gt;"&amp;M85)+1)</f>
        <v/>
      </c>
      <c r="AW85" s="9" t="str">
        <f aca="false">IF(A85="","",IF(AND(Options!T85&lt;&gt;"",N(Options!U85)&gt;0),"Y",""))</f>
        <v/>
      </c>
      <c r="AX85" s="9" t="n">
        <f aca="false">IF(A85="",0,COUNTIFS(Options!$R$6:$R$85,$A85,$V$6:$V$85,"&gt;0"))</f>
        <v>0</v>
      </c>
      <c r="AY85" s="13" t="n">
        <f aca="false">IF(Options!S85&lt;&gt;"",Options!S85,Settings!$B$23)</f>
        <v>0.3</v>
      </c>
      <c r="AZ85" s="14" t="n">
        <f aca="false">SUMIFS('SKU Data'!$U$6:$U$505,'SKU Data'!$B$6:$B$505,$A85)</f>
        <v>0</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
    <col collapsed="false" customWidth="true" hidden="false" outlineLevel="0" max="3" min="3" style="0" width="26"/>
    <col collapsed="false" customWidth="true" hidden="false" outlineLevel="0" max="4" min="4" style="0" width="11"/>
    <col collapsed="false" customWidth="true" hidden="false" outlineLevel="0" max="5" min="5" style="0" width="16"/>
    <col collapsed="false" customWidth="true" hidden="false" outlineLevel="0" max="6" min="6" style="0" width="30"/>
    <col collapsed="false" customWidth="true" hidden="false" outlineLevel="0" max="10" min="7" style="0" width="13"/>
    <col collapsed="false" customWidth="true" hidden="false" outlineLevel="0" max="11" min="11" style="0" width="9"/>
    <col collapsed="false" customWidth="true" hidden="false" outlineLevel="0" max="12" min="12" style="0" width="10"/>
    <col collapsed="false" customWidth="true" hidden="false" outlineLevel="0" max="13" min="13" style="0" width="46"/>
    <col collapsed="false" customWidth="true" hidden="false" outlineLevel="0" max="14" min="14" style="0" width="22"/>
    <col collapsed="false" customWidth="true" hidden="false" outlineLevel="0" max="15" min="15" style="0" width="40"/>
    <col collapsed="false" customWidth="true" hidden="false" outlineLevel="0" max="18" min="16" style="0" width="11"/>
  </cols>
  <sheetData>
    <row r="1" customFormat="false" ht="17.35" hidden="false" customHeight="false" outlineLevel="0" collapsed="false">
      <c r="A1" s="1" t="s">
        <v>745</v>
      </c>
    </row>
    <row r="2" customFormat="false" ht="15" hidden="false" customHeight="false" outlineLevel="0" collapsed="false">
      <c r="A2" s="2" t="s">
        <v>746</v>
      </c>
    </row>
    <row r="5" customFormat="false" ht="48" hidden="false" customHeight="true" outlineLevel="0" collapsed="false">
      <c r="A5" s="15" t="s">
        <v>747</v>
      </c>
      <c r="B5" s="15" t="s">
        <v>748</v>
      </c>
      <c r="C5" s="15" t="s">
        <v>705</v>
      </c>
      <c r="D5" s="15" t="s">
        <v>154</v>
      </c>
      <c r="E5" s="15" t="s">
        <v>749</v>
      </c>
      <c r="F5" s="15" t="s">
        <v>728</v>
      </c>
      <c r="G5" s="15" t="s">
        <v>750</v>
      </c>
      <c r="H5" s="15" t="s">
        <v>751</v>
      </c>
      <c r="I5" s="15" t="s">
        <v>731</v>
      </c>
      <c r="J5" s="15" t="s">
        <v>732</v>
      </c>
      <c r="K5" s="15" t="s">
        <v>718</v>
      </c>
      <c r="L5" s="15" t="s">
        <v>717</v>
      </c>
      <c r="M5" s="15" t="s">
        <v>752</v>
      </c>
      <c r="N5" s="15" t="s">
        <v>53</v>
      </c>
      <c r="O5" s="15" t="s">
        <v>753</v>
      </c>
      <c r="P5" s="15" t="s">
        <v>754</v>
      </c>
      <c r="Q5" s="15" t="s">
        <v>329</v>
      </c>
      <c r="R5" s="15" t="s">
        <v>740</v>
      </c>
    </row>
    <row r="6" customFormat="false" ht="15" hidden="false" customHeight="false" outlineLevel="0" collapsed="false">
      <c r="A6" s="9" t="n">
        <f aca="false">IF(ISNUMBER(MATCH(1,'Option Analysis'!$AN$6:$AN$85,0)),1,"")</f>
        <v>1</v>
      </c>
      <c r="B6" s="9" t="str">
        <f aca="false">IFERROR(INDEX('Option Analysis'!$A$6:$A$85,MATCH(1,'Option Analysis'!$AN$6:$AN$85,0)),"")</f>
        <v>OPT013</v>
      </c>
      <c r="C6" s="9" t="str">
        <f aca="false">IFERROR(INDEX('Option Analysis'!$B$6:$B$85,MATCH(1,'Option Analysis'!$AN$6:$AN$85,0)),"")</f>
        <v>Harrington jacket Mustard</v>
      </c>
      <c r="D6" s="9" t="str">
        <f aca="false">IFERROR(INDEX('Option Analysis'!$C$6:$C$85,MATCH(1,'Option Analysis'!$AN$6:$AN$85,0)),"")</f>
        <v>Outerwear</v>
      </c>
      <c r="E6" s="9" t="str">
        <f aca="false">IFERROR(INDEX('Option Analysis'!$AC$6:$AC$85,MATCH(1,'Option Analysis'!$AN$6:$AN$85,0)),"")</f>
        <v>Slow and heavy</v>
      </c>
      <c r="F6" s="9" t="str">
        <f aca="false">IFERROR(INDEX('Option Analysis'!$AD$6:$AD$85,MATCH(1,'Option Analysis'!$AN$6:$AN$85,0)),"")</f>
        <v>Range job.</v>
      </c>
      <c r="G6" s="14" t="n">
        <f aca="false">IFERROR(INDEX('Option Analysis'!$AL$6:$AL$85,MATCH(1,'Option Analysis'!$AN$6:$AN$85,0)),"")</f>
        <v>45020.16</v>
      </c>
      <c r="H6" s="14" t="n">
        <f aca="false">IFERROR(INDEX('Option Analysis'!$AK$6:$AK$85,MATCH(1,'Option Analysis'!$AN$6:$AN$85,0)),"")</f>
        <v>0</v>
      </c>
      <c r="I6" s="14" t="n">
        <f aca="false">IFERROR(INDEX('Option Analysis'!$AI$6:$AI$85,MATCH(1,'Option Analysis'!$AN$6:$AN$85,0)),"")</f>
        <v>45020.16</v>
      </c>
      <c r="J6" s="14" t="n">
        <f aca="false">IFERROR(INDEX('Option Analysis'!$AJ$6:$AJ$85,MATCH(1,'Option Analysis'!$AN$6:$AN$85,0)),"")</f>
        <v>42769.152</v>
      </c>
      <c r="K6" s="25" t="n">
        <f aca="false">IFERROR(INDEX('Option Analysis'!$S$6:$S$85,MATCH(1,'Option Analysis'!$AN$6:$AN$85,0)),"")</f>
        <v>72.1132897603486</v>
      </c>
      <c r="L6" s="13" t="n">
        <f aca="false">IFERROR(INDEX('Option Analysis'!$Q$6:$Q$85,MATCH(1,'Option Analysis'!$AN$6:$AN$85,0)),"")</f>
        <v>0.285868392664509</v>
      </c>
      <c r="M6" s="9" t="str">
        <f aca="false">IFERROR(INDEX('Option Analysis'!$AM$6:$AM$85,MATCH(1,'Option Analysis'!$AN$6:$AN$85,0)),"")</f>
        <v>Leave it: it is doing a range job (check the evidence)</v>
      </c>
      <c r="N6" s="9" t="str">
        <f aca="false">IFERROR(INDEX('Option Analysis'!$AF$6:$AF$85,MATCH(1,'Option Analysis'!$AN$6:$AN$85,0)),"")</f>
        <v>Merchandise Director</v>
      </c>
      <c r="O6" s="9" t="str">
        <f aca="false">IF(A6="","",IF(IFERROR(INDEX('Option Analysis'!$AM$6:$AM$85,MATCH(1,'Option Analysis'!$AN$6:$AN$85,0)),"")=IFERROR(INDEX('Option Analysis'!$AE$6:$AE$85,MATCH(1,'Option Analysis'!$AN$6:$AN$85,0)),""),"",IFERROR(INDEX('Option Analysis'!$AE$6:$AE$85,MATCH(1,'Option Analysis'!$AN$6:$AN$85,0)),"")))</f>
        <v/>
      </c>
      <c r="P6" s="25" t="n">
        <f aca="false">IFERROR(INDEX('Option Analysis'!$M$6:$M$85,MATCH(1,'Option Analysis'!$AN$6:$AN$85,0)),"")</f>
        <v>10.2</v>
      </c>
      <c r="Q6" s="25" t="n">
        <f aca="false">IFERROR(INDEX('Option Analysis'!$AU$6:$AU$85,MATCH(1,'Option Analysis'!$AN$6:$AN$85,0)),"")</f>
        <v>9.5</v>
      </c>
      <c r="R6" s="9" t="n">
        <f aca="false">IFERROR(INDEX('Option Analysis'!$AV$6:$AV$85,MATCH(1,'Option Analysis'!$AN$6:$AN$85,0)),"")</f>
        <v>12</v>
      </c>
    </row>
    <row r="7" customFormat="false" ht="15" hidden="false" customHeight="false" outlineLevel="0" collapsed="false">
      <c r="A7" s="9" t="n">
        <f aca="false">IF(ISNUMBER(MATCH(2,'Option Analysis'!$AN$6:$AN$85,0)),2,"")</f>
        <v>2</v>
      </c>
      <c r="B7" s="9" t="str">
        <f aca="false">IFERROR(INDEX('Option Analysis'!$A$6:$A$85,MATCH(2,'Option Analysis'!$AN$6:$AN$85,0)),"")</f>
        <v>OPT012</v>
      </c>
      <c r="C7" s="9" t="str">
        <f aca="false">IFERROR(INDEX('Option Analysis'!$B$6:$B$85,MATCH(2,'Option Analysis'!$AN$6:$AN$85,0)),"")</f>
        <v>Car coat Mustard</v>
      </c>
      <c r="D7" s="9" t="str">
        <f aca="false">IFERROR(INDEX('Option Analysis'!$C$6:$C$85,MATCH(2,'Option Analysis'!$AN$6:$AN$85,0)),"")</f>
        <v>Outerwear</v>
      </c>
      <c r="E7" s="9" t="str">
        <f aca="false">IFERROR(INDEX('Option Analysis'!$AC$6:$AC$85,MATCH(2,'Option Analysis'!$AN$6:$AN$85,0)),"")</f>
        <v>Slow and heavy</v>
      </c>
      <c r="F7" s="9" t="str">
        <f aca="false">IFERROR(INDEX('Option Analysis'!$AD$6:$AD$85,MATCH(2,'Option Analysis'!$AN$6:$AN$85,0)),"")</f>
        <v/>
      </c>
      <c r="G7" s="14" t="n">
        <f aca="false">IFERROR(INDEX('Option Analysis'!$AL$6:$AL$85,MATCH(2,'Option Analysis'!$AN$6:$AN$85,0)),"")</f>
        <v>42033.6</v>
      </c>
      <c r="H7" s="14" t="n">
        <f aca="false">IFERROR(INDEX('Option Analysis'!$AK$6:$AK$85,MATCH(2,'Option Analysis'!$AN$6:$AN$85,0)),"")</f>
        <v>0</v>
      </c>
      <c r="I7" s="14" t="n">
        <f aca="false">IFERROR(INDEX('Option Analysis'!$AI$6:$AI$85,MATCH(2,'Option Analysis'!$AN$6:$AN$85,0)),"")</f>
        <v>42033.6</v>
      </c>
      <c r="J7" s="14" t="n">
        <f aca="false">IFERROR(INDEX('Option Analysis'!$AJ$6:$AJ$85,MATCH(2,'Option Analysis'!$AN$6:$AN$85,0)),"")</f>
        <v>39931.92</v>
      </c>
      <c r="K7" s="25" t="n">
        <f aca="false">IFERROR(INDEX('Option Analysis'!$S$6:$S$85,MATCH(2,'Option Analysis'!$AN$6:$AN$85,0)),"")</f>
        <v>58.0555555555555</v>
      </c>
      <c r="L7" s="13" t="n">
        <f aca="false">IFERROR(INDEX('Option Analysis'!$Q$6:$Q$85,MATCH(2,'Option Analysis'!$AN$6:$AN$85,0)),"")</f>
        <v>0.361507128309572</v>
      </c>
      <c r="M7" s="9" t="str">
        <f aca="false">IFERROR(INDEX('Option Analysis'!$AM$6:$AM$85,MATCH(2,'Option Analysis'!$AN$6:$AN$85,0)),"")</f>
        <v>Mark down or re-merchandise</v>
      </c>
      <c r="N7" s="9" t="str">
        <f aca="false">IFERROR(INDEX('Option Analysis'!$AF$6:$AF$85,MATCH(2,'Option Analysis'!$AN$6:$AN$85,0)),"")</f>
        <v>Trading Manager</v>
      </c>
      <c r="O7" s="9" t="str">
        <f aca="false">IF(A7="","",IF(IFERROR(INDEX('Option Analysis'!$AM$6:$AM$85,MATCH(2,'Option Analysis'!$AN$6:$AN$85,0)),"")=IFERROR(INDEX('Option Analysis'!$AE$6:$AE$85,MATCH(2,'Option Analysis'!$AN$6:$AN$85,0)),""),"",IFERROR(INDEX('Option Analysis'!$AE$6:$AE$85,MATCH(2,'Option Analysis'!$AN$6:$AN$85,0)),"")))</f>
        <v/>
      </c>
      <c r="P7" s="25" t="n">
        <f aca="false">IFERROR(INDEX('Option Analysis'!$M$6:$M$85,MATCH(2,'Option Analysis'!$AN$6:$AN$85,0)),"")</f>
        <v>12</v>
      </c>
      <c r="Q7" s="25" t="n">
        <f aca="false">IFERROR(INDEX('Option Analysis'!$AU$6:$AU$85,MATCH(2,'Option Analysis'!$AN$6:$AN$85,0)),"")</f>
        <v>11.75</v>
      </c>
      <c r="R7" s="9" t="n">
        <f aca="false">IFERROR(INDEX('Option Analysis'!$AV$6:$AV$85,MATCH(2,'Option Analysis'!$AN$6:$AN$85,0)),"")</f>
        <v>8</v>
      </c>
    </row>
    <row r="8" customFormat="false" ht="15" hidden="false" customHeight="false" outlineLevel="0" collapsed="false">
      <c r="A8" s="9" t="n">
        <f aca="false">IF(ISNUMBER(MATCH(3,'Option Analysis'!$AN$6:$AN$85,0)),3,"")</f>
        <v>3</v>
      </c>
      <c r="B8" s="9" t="str">
        <f aca="false">IFERROR(INDEX('Option Analysis'!$A$6:$A$85,MATCH(3,'Option Analysis'!$AN$6:$AN$85,0)),"")</f>
        <v>OPT044</v>
      </c>
      <c r="C8" s="9" t="str">
        <f aca="false">IFERROR(INDEX('Option Analysis'!$B$6:$B$85,MATCH(3,'Option Analysis'!$AN$6:$AN$85,0)),"")</f>
        <v>Flannel shirt Pink</v>
      </c>
      <c r="D8" s="9" t="str">
        <f aca="false">IFERROR(INDEX('Option Analysis'!$C$6:$C$85,MATCH(3,'Option Analysis'!$AN$6:$AN$85,0)),"")</f>
        <v>Shirts</v>
      </c>
      <c r="E8" s="9" t="str">
        <f aca="false">IFERROR(INDEX('Option Analysis'!$AC$6:$AC$85,MATCH(3,'Option Analysis'!$AN$6:$AN$85,0)),"")</f>
        <v>Slow and heavy</v>
      </c>
      <c r="F8" s="9" t="str">
        <f aca="false">IFERROR(INDEX('Option Analysis'!$AD$6:$AD$85,MATCH(3,'Option Analysis'!$AN$6:$AN$85,0)),"")</f>
        <v>Range job.</v>
      </c>
      <c r="G8" s="14" t="n">
        <f aca="false">IFERROR(INDEX('Option Analysis'!$AL$6:$AL$85,MATCH(3,'Option Analysis'!$AN$6:$AN$85,0)),"")</f>
        <v>38254.08</v>
      </c>
      <c r="H8" s="14" t="n">
        <f aca="false">IFERROR(INDEX('Option Analysis'!$AK$6:$AK$85,MATCH(3,'Option Analysis'!$AN$6:$AN$85,0)),"")</f>
        <v>0</v>
      </c>
      <c r="I8" s="14" t="n">
        <f aca="false">IFERROR(INDEX('Option Analysis'!$AI$6:$AI$85,MATCH(3,'Option Analysis'!$AN$6:$AN$85,0)),"")</f>
        <v>38254.08</v>
      </c>
      <c r="J8" s="14" t="n">
        <f aca="false">IFERROR(INDEX('Option Analysis'!$AJ$6:$AJ$85,MATCH(3,'Option Analysis'!$AN$6:$AN$85,0)),"")</f>
        <v>36341.376</v>
      </c>
      <c r="K8" s="25" t="n">
        <f aca="false">IFERROR(INDEX('Option Analysis'!$S$6:$S$85,MATCH(3,'Option Analysis'!$AN$6:$AN$85,0)),"")</f>
        <v>103.495630461923</v>
      </c>
      <c r="L8" s="13" t="n">
        <f aca="false">IFERROR(INDEX('Option Analysis'!$Q$6:$Q$85,MATCH(3,'Option Analysis'!$AN$6:$AN$85,0)),"")</f>
        <v>0.228837209302326</v>
      </c>
      <c r="M8" s="9" t="str">
        <f aca="false">IFERROR(INDEX('Option Analysis'!$AM$6:$AM$85,MATCH(3,'Option Analysis'!$AN$6:$AN$85,0)),"")</f>
        <v>Leave it: it is doing a range job (check the evidence)</v>
      </c>
      <c r="N8" s="9" t="str">
        <f aca="false">IFERROR(INDEX('Option Analysis'!$AF$6:$AF$85,MATCH(3,'Option Analysis'!$AN$6:$AN$85,0)),"")</f>
        <v>Merchandise Director</v>
      </c>
      <c r="O8" s="9" t="str">
        <f aca="false">IF(A8="","",IF(IFERROR(INDEX('Option Analysis'!$AM$6:$AM$85,MATCH(3,'Option Analysis'!$AN$6:$AN$85,0)),"")=IFERROR(INDEX('Option Analysis'!$AE$6:$AE$85,MATCH(3,'Option Analysis'!$AN$6:$AN$85,0)),""),"",IFERROR(INDEX('Option Analysis'!$AE$6:$AE$85,MATCH(3,'Option Analysis'!$AN$6:$AN$85,0)),"")))</f>
        <v/>
      </c>
      <c r="P8" s="25" t="n">
        <f aca="false">IFERROR(INDEX('Option Analysis'!$M$6:$M$85,MATCH(3,'Option Analysis'!$AN$6:$AN$85,0)),"")</f>
        <v>17.8</v>
      </c>
      <c r="Q8" s="25" t="n">
        <f aca="false">IFERROR(INDEX('Option Analysis'!$AU$6:$AU$85,MATCH(3,'Option Analysis'!$AN$6:$AN$85,0)),"")</f>
        <v>17.25</v>
      </c>
      <c r="R8" s="9" t="n">
        <f aca="false">IFERROR(INDEX('Option Analysis'!$AV$6:$AV$85,MATCH(3,'Option Analysis'!$AN$6:$AN$85,0)),"")</f>
        <v>6</v>
      </c>
    </row>
    <row r="9" customFormat="false" ht="15" hidden="false" customHeight="false" outlineLevel="0" collapsed="false">
      <c r="A9" s="9" t="n">
        <f aca="false">IF(ISNUMBER(MATCH(4,'Option Analysis'!$AN$6:$AN$85,0)),4,"")</f>
        <v>4</v>
      </c>
      <c r="B9" s="9" t="str">
        <f aca="false">IFERROR(INDEX('Option Analysis'!$A$6:$A$85,MATCH(4,'Option Analysis'!$AN$6:$AN$85,0)),"")</f>
        <v>OPT001</v>
      </c>
      <c r="C9" s="9" t="str">
        <f aca="false">IFERROR(INDEX('Option Analysis'!$B$6:$B$85,MATCH(4,'Option Analysis'!$AN$6:$AN$85,0)),"")</f>
        <v>Harrington jacket Navy</v>
      </c>
      <c r="D9" s="9" t="str">
        <f aca="false">IFERROR(INDEX('Option Analysis'!$C$6:$C$85,MATCH(4,'Option Analysis'!$AN$6:$AN$85,0)),"")</f>
        <v>Outerwear</v>
      </c>
      <c r="E9" s="9" t="str">
        <f aca="false">IFERROR(INDEX('Option Analysis'!$AC$6:$AC$85,MATCH(4,'Option Analysis'!$AN$6:$AN$85,0)),"")</f>
        <v>Slow and heavy</v>
      </c>
      <c r="F9" s="9" t="str">
        <f aca="false">IFERROR(INDEX('Option Analysis'!$AD$6:$AD$85,MATCH(4,'Option Analysis'!$AN$6:$AN$85,0)),"")</f>
        <v>End of life.</v>
      </c>
      <c r="G9" s="14" t="n">
        <f aca="false">IFERROR(INDEX('Option Analysis'!$AL$6:$AL$85,MATCH(4,'Option Analysis'!$AN$6:$AN$85,0)),"")</f>
        <v>37424.64</v>
      </c>
      <c r="H9" s="14" t="n">
        <f aca="false">IFERROR(INDEX('Option Analysis'!$AK$6:$AK$85,MATCH(4,'Option Analysis'!$AN$6:$AN$85,0)),"")</f>
        <v>0</v>
      </c>
      <c r="I9" s="14" t="n">
        <f aca="false">IFERROR(INDEX('Option Analysis'!$AI$6:$AI$85,MATCH(4,'Option Analysis'!$AN$6:$AN$85,0)),"")</f>
        <v>37424.64</v>
      </c>
      <c r="J9" s="14" t="n">
        <f aca="false">IFERROR(INDEX('Option Analysis'!$AJ$6:$AJ$85,MATCH(4,'Option Analysis'!$AN$6:$AN$85,0)),"")</f>
        <v>35553.408</v>
      </c>
      <c r="K9" s="25" t="n">
        <f aca="false">IFERROR(INDEX('Option Analysis'!$S$6:$S$85,MATCH(4,'Option Analysis'!$AN$6:$AN$85,0)),"")</f>
        <v>94.8717948717949</v>
      </c>
      <c r="L9" s="13" t="n">
        <f aca="false">IFERROR(INDEX('Option Analysis'!$Q$6:$Q$85,MATCH(4,'Option Analysis'!$AN$6:$AN$85,0)),"")</f>
        <v>0.358381502890173</v>
      </c>
      <c r="M9" s="9" t="str">
        <f aca="false">IFERROR(INDEX('Option Analysis'!$AM$6:$AM$85,MATCH(4,'Option Analysis'!$AN$6:$AN$85,0)),"")</f>
        <v>Exit: mark down to clear</v>
      </c>
      <c r="N9" s="9" t="str">
        <f aca="false">IFERROR(INDEX('Option Analysis'!$AF$6:$AF$85,MATCH(4,'Option Analysis'!$AN$6:$AN$85,0)),"")</f>
        <v>Trading Manager</v>
      </c>
      <c r="O9" s="9" t="str">
        <f aca="false">IF(A9="","",IF(IFERROR(INDEX('Option Analysis'!$AM$6:$AM$85,MATCH(4,'Option Analysis'!$AN$6:$AN$85,0)),"")=IFERROR(INDEX('Option Analysis'!$AE$6:$AE$85,MATCH(4,'Option Analysis'!$AN$6:$AN$85,0)),""),"",IFERROR(INDEX('Option Analysis'!$AE$6:$AE$85,MATCH(4,'Option Analysis'!$AN$6:$AN$85,0)),"")))</f>
        <v/>
      </c>
      <c r="P9" s="25" t="n">
        <f aca="false">IFERROR(INDEX('Option Analysis'!$M$6:$M$85,MATCH(4,'Option Analysis'!$AN$6:$AN$85,0)),"")</f>
        <v>5.2</v>
      </c>
      <c r="Q9" s="25" t="n">
        <f aca="false">IFERROR(INDEX('Option Analysis'!$AU$6:$AU$85,MATCH(4,'Option Analysis'!$AN$6:$AN$85,0)),"")</f>
        <v>5.25</v>
      </c>
      <c r="R9" s="9" t="n">
        <f aca="false">IFERROR(INDEX('Option Analysis'!$AV$6:$AV$85,MATCH(4,'Option Analysis'!$AN$6:$AN$85,0)),"")</f>
        <v>13</v>
      </c>
    </row>
    <row r="10" customFormat="false" ht="15" hidden="false" customHeight="false" outlineLevel="0" collapsed="false">
      <c r="A10" s="9" t="n">
        <f aca="false">IF(ISNUMBER(MATCH(5,'Option Analysis'!$AN$6:$AN$85,0)),5,"")</f>
        <v>5</v>
      </c>
      <c r="B10" s="9" t="str">
        <f aca="false">IFERROR(INDEX('Option Analysis'!$A$6:$A$85,MATCH(5,'Option Analysis'!$AN$6:$AN$85,0)),"")</f>
        <v>OPT002</v>
      </c>
      <c r="C10" s="9" t="str">
        <f aca="false">IFERROR(INDEX('Option Analysis'!$B$6:$B$85,MATCH(5,'Option Analysis'!$AN$6:$AN$85,0)),"")</f>
        <v>Duffle coat Olive</v>
      </c>
      <c r="D10" s="9" t="str">
        <f aca="false">IFERROR(INDEX('Option Analysis'!$C$6:$C$85,MATCH(5,'Option Analysis'!$AN$6:$AN$85,0)),"")</f>
        <v>Outerwear</v>
      </c>
      <c r="E10" s="9" t="str">
        <f aca="false">IFERROR(INDEX('Option Analysis'!$AC$6:$AC$85,MATCH(5,'Option Analysis'!$AN$6:$AN$85,0)),"")</f>
        <v>Slow and heavy</v>
      </c>
      <c r="F10" s="9" t="str">
        <f aca="false">IFERROR(INDEX('Option Analysis'!$AD$6:$AD$85,MATCH(5,'Option Analysis'!$AN$6:$AN$85,0)),"")</f>
        <v>End of life.</v>
      </c>
      <c r="G10" s="14" t="n">
        <f aca="false">IFERROR(INDEX('Option Analysis'!$AL$6:$AL$85,MATCH(5,'Option Analysis'!$AN$6:$AN$85,0)),"")</f>
        <v>34300.8</v>
      </c>
      <c r="H10" s="14" t="n">
        <f aca="false">IFERROR(INDEX('Option Analysis'!$AK$6:$AK$85,MATCH(5,'Option Analysis'!$AN$6:$AN$85,0)),"")</f>
        <v>0</v>
      </c>
      <c r="I10" s="14" t="n">
        <f aca="false">IFERROR(INDEX('Option Analysis'!$AI$6:$AI$85,MATCH(5,'Option Analysis'!$AN$6:$AN$85,0)),"")</f>
        <v>34300.8</v>
      </c>
      <c r="J10" s="14" t="n">
        <f aca="false">IFERROR(INDEX('Option Analysis'!$AJ$6:$AJ$85,MATCH(5,'Option Analysis'!$AN$6:$AN$85,0)),"")</f>
        <v>32585.76</v>
      </c>
      <c r="K10" s="25" t="n">
        <f aca="false">IFERROR(INDEX('Option Analysis'!$S$6:$S$85,MATCH(5,'Option Analysis'!$AN$6:$AN$85,0)),"")</f>
        <v>52.1212121212121</v>
      </c>
      <c r="L10" s="13" t="n">
        <f aca="false">IFERROR(INDEX('Option Analysis'!$Q$6:$Q$85,MATCH(5,'Option Analysis'!$AN$6:$AN$85,0)),"")</f>
        <v>0.448128342245989</v>
      </c>
      <c r="M10" s="9" t="str">
        <f aca="false">IFERROR(INDEX('Option Analysis'!$AM$6:$AM$85,MATCH(5,'Option Analysis'!$AN$6:$AN$85,0)),"")</f>
        <v>Exit: mark down to clear</v>
      </c>
      <c r="N10" s="9" t="str">
        <f aca="false">IFERROR(INDEX('Option Analysis'!$AF$6:$AF$85,MATCH(5,'Option Analysis'!$AN$6:$AN$85,0)),"")</f>
        <v>Trading Manager</v>
      </c>
      <c r="O10" s="9" t="str">
        <f aca="false">IF(A10="","",IF(IFERROR(INDEX('Option Analysis'!$AM$6:$AM$85,MATCH(5,'Option Analysis'!$AN$6:$AN$85,0)),"")=IFERROR(INDEX('Option Analysis'!$AE$6:$AE$85,MATCH(5,'Option Analysis'!$AN$6:$AN$85,0)),""),"",IFERROR(INDEX('Option Analysis'!$AE$6:$AE$85,MATCH(5,'Option Analysis'!$AN$6:$AN$85,0)),"")))</f>
        <v/>
      </c>
      <c r="P10" s="25" t="n">
        <f aca="false">IFERROR(INDEX('Option Analysis'!$M$6:$M$85,MATCH(5,'Option Analysis'!$AN$6:$AN$85,0)),"")</f>
        <v>11</v>
      </c>
      <c r="Q10" s="25" t="n">
        <f aca="false">IFERROR(INDEX('Option Analysis'!$AU$6:$AU$85,MATCH(5,'Option Analysis'!$AN$6:$AN$85,0)),"")</f>
        <v>10.75</v>
      </c>
      <c r="R10" s="9" t="n">
        <f aca="false">IFERROR(INDEX('Option Analysis'!$AV$6:$AV$85,MATCH(5,'Option Analysis'!$AN$6:$AN$85,0)),"")</f>
        <v>10</v>
      </c>
    </row>
    <row r="11" customFormat="false" ht="15" hidden="false" customHeight="false" outlineLevel="0" collapsed="false">
      <c r="A11" s="9" t="n">
        <f aca="false">IF(ISNUMBER(MATCH(6,'Option Analysis'!$AN$6:$AN$85,0)),6,"")</f>
        <v>6</v>
      </c>
      <c r="B11" s="9" t="str">
        <f aca="false">IFERROR(INDEX('Option Analysis'!$A$6:$A$85,MATCH(6,'Option Analysis'!$AN$6:$AN$85,0)),"")</f>
        <v>OPT004</v>
      </c>
      <c r="C11" s="9" t="str">
        <f aca="false">IFERROR(INDEX('Option Analysis'!$B$6:$B$85,MATCH(6,'Option Analysis'!$AN$6:$AN$85,0)),"")</f>
        <v>Car coat Charcoal</v>
      </c>
      <c r="D11" s="9" t="str">
        <f aca="false">IFERROR(INDEX('Option Analysis'!$C$6:$C$85,MATCH(6,'Option Analysis'!$AN$6:$AN$85,0)),"")</f>
        <v>Outerwear</v>
      </c>
      <c r="E11" s="9" t="str">
        <f aca="false">IFERROR(INDEX('Option Analysis'!$AC$6:$AC$85,MATCH(6,'Option Analysis'!$AN$6:$AN$85,0)),"")</f>
        <v>Slow and heavy</v>
      </c>
      <c r="F11" s="9" t="str">
        <f aca="false">IFERROR(INDEX('Option Analysis'!$AD$6:$AD$85,MATCH(6,'Option Analysis'!$AN$6:$AN$85,0)),"")</f>
        <v>Hidden from customers.</v>
      </c>
      <c r="G11" s="14" t="n">
        <f aca="false">IFERROR(INDEX('Option Analysis'!$AL$6:$AL$85,MATCH(6,'Option Analysis'!$AN$6:$AN$85,0)),"")</f>
        <v>31682.88</v>
      </c>
      <c r="H11" s="14" t="n">
        <f aca="false">IFERROR(INDEX('Option Analysis'!$AK$6:$AK$85,MATCH(6,'Option Analysis'!$AN$6:$AN$85,0)),"")</f>
        <v>0</v>
      </c>
      <c r="I11" s="14" t="n">
        <f aca="false">IFERROR(INDEX('Option Analysis'!$AI$6:$AI$85,MATCH(6,'Option Analysis'!$AN$6:$AN$85,0)),"")</f>
        <v>31682.88</v>
      </c>
      <c r="J11" s="14" t="n">
        <f aca="false">IFERROR(INDEX('Option Analysis'!$AJ$6:$AJ$85,MATCH(6,'Option Analysis'!$AN$6:$AN$85,0)),"")</f>
        <v>30098.736</v>
      </c>
      <c r="K11" s="25" t="n">
        <f aca="false">IFERROR(INDEX('Option Analysis'!$S$6:$S$85,MATCH(6,'Option Analysis'!$AN$6:$AN$85,0)),"")</f>
        <v>139.814814814815</v>
      </c>
      <c r="L11" s="13" t="n">
        <f aca="false">IFERROR(INDEX('Option Analysis'!$Q$6:$Q$85,MATCH(6,'Option Analysis'!$AN$6:$AN$85,0)),"")</f>
        <v>0.414728682170543</v>
      </c>
      <c r="M11" s="9" t="str">
        <f aca="false">IFERROR(INDEX('Option Analysis'!$AM$6:$AM$85,MATCH(6,'Option Analysis'!$AN$6:$AN$85,0)),"")</f>
        <v>Fix findability: it is in stock but customers cannot find it</v>
      </c>
      <c r="N11" s="9" t="str">
        <f aca="false">IFERROR(INDEX('Option Analysis'!$AF$6:$AF$85,MATCH(6,'Option Analysis'!$AN$6:$AN$85,0)),"")</f>
        <v>Ecommerce Trading Manager</v>
      </c>
      <c r="O11" s="9" t="str">
        <f aca="false">IF(A11="","",IF(IFERROR(INDEX('Option Analysis'!$AM$6:$AM$85,MATCH(6,'Option Analysis'!$AN$6:$AN$85,0)),"")=IFERROR(INDEX('Option Analysis'!$AE$6:$AE$85,MATCH(6,'Option Analysis'!$AN$6:$AN$85,0)),""),"",IFERROR(INDEX('Option Analysis'!$AE$6:$AE$85,MATCH(6,'Option Analysis'!$AN$6:$AN$85,0)),"")))</f>
        <v/>
      </c>
      <c r="P11" s="25" t="n">
        <f aca="false">IFERROR(INDEX('Option Analysis'!$M$6:$M$85,MATCH(6,'Option Analysis'!$AN$6:$AN$85,0)),"")</f>
        <v>3.6</v>
      </c>
      <c r="Q11" s="25" t="n">
        <f aca="false">IFERROR(INDEX('Option Analysis'!$AU$6:$AU$85,MATCH(6,'Option Analysis'!$AN$6:$AN$85,0)),"")</f>
        <v>3.25</v>
      </c>
      <c r="R11" s="9" t="n">
        <f aca="false">IFERROR(INDEX('Option Analysis'!$AV$6:$AV$85,MATCH(6,'Option Analysis'!$AN$6:$AN$85,0)),"")</f>
        <v>14</v>
      </c>
    </row>
    <row r="12" customFormat="false" ht="15" hidden="false" customHeight="false" outlineLevel="0" collapsed="false">
      <c r="A12" s="9" t="n">
        <f aca="false">IF(ISNUMBER(MATCH(7,'Option Analysis'!$AN$6:$AN$85,0)),7,"")</f>
        <v>7</v>
      </c>
      <c r="B12" s="9" t="str">
        <f aca="false">IFERROR(INDEX('Option Analysis'!$A$6:$A$85,MATCH(7,'Option Analysis'!$AN$6:$AN$85,0)),"")</f>
        <v>OPT029</v>
      </c>
      <c r="C12" s="9" t="str">
        <f aca="false">IFERROR(INDEX('Option Analysis'!$B$6:$B$85,MATCH(7,'Option Analysis'!$AN$6:$AN$85,0)),"")</f>
        <v>Shawl cardigan Stone</v>
      </c>
      <c r="D12" s="9" t="str">
        <f aca="false">IFERROR(INDEX('Option Analysis'!$C$6:$C$85,MATCH(7,'Option Analysis'!$AN$6:$AN$85,0)),"")</f>
        <v>Knitwear</v>
      </c>
      <c r="E12" s="9" t="str">
        <f aca="false">IFERROR(INDEX('Option Analysis'!$AC$6:$AC$85,MATCH(7,'Option Analysis'!$AN$6:$AN$85,0)),"")</f>
        <v>Slow and heavy</v>
      </c>
      <c r="F12" s="9" t="str">
        <f aca="false">IFERROR(INDEX('Option Analysis'!$AD$6:$AD$85,MATCH(7,'Option Analysis'!$AN$6:$AN$85,0)),"")</f>
        <v/>
      </c>
      <c r="G12" s="14" t="n">
        <f aca="false">IFERROR(INDEX('Option Analysis'!$AL$6:$AL$85,MATCH(7,'Option Analysis'!$AN$6:$AN$85,0)),"")</f>
        <v>30911.44</v>
      </c>
      <c r="H12" s="14" t="n">
        <f aca="false">IFERROR(INDEX('Option Analysis'!$AK$6:$AK$85,MATCH(7,'Option Analysis'!$AN$6:$AN$85,0)),"")</f>
        <v>0</v>
      </c>
      <c r="I12" s="14" t="n">
        <f aca="false">IFERROR(INDEX('Option Analysis'!$AI$6:$AI$85,MATCH(7,'Option Analysis'!$AN$6:$AN$85,0)),"")</f>
        <v>30911.44</v>
      </c>
      <c r="J12" s="14" t="n">
        <f aca="false">IFERROR(INDEX('Option Analysis'!$AJ$6:$AJ$85,MATCH(7,'Option Analysis'!$AN$6:$AN$85,0)),"")</f>
        <v>29365.868</v>
      </c>
      <c r="K12" s="25" t="n">
        <f aca="false">IFERROR(INDEX('Option Analysis'!$S$6:$S$85,MATCH(7,'Option Analysis'!$AN$6:$AN$85,0)),"")</f>
        <v>74.1512345679012</v>
      </c>
      <c r="L12" s="13" t="n">
        <f aca="false">IFERROR(INDEX('Option Analysis'!$Q$6:$Q$85,MATCH(7,'Option Analysis'!$AN$6:$AN$85,0)),"")</f>
        <v>0.32036775106082</v>
      </c>
      <c r="M12" s="9" t="str">
        <f aca="false">IFERROR(INDEX('Option Analysis'!$AM$6:$AM$85,MATCH(7,'Option Analysis'!$AN$6:$AN$85,0)),"")</f>
        <v>Mark down or re-merchandise</v>
      </c>
      <c r="N12" s="9" t="str">
        <f aca="false">IFERROR(INDEX('Option Analysis'!$AF$6:$AF$85,MATCH(7,'Option Analysis'!$AN$6:$AN$85,0)),"")</f>
        <v>Trading Manager</v>
      </c>
      <c r="O12" s="9" t="str">
        <f aca="false">IF(A12="","",IF(IFERROR(INDEX('Option Analysis'!$AM$6:$AM$85,MATCH(7,'Option Analysis'!$AN$6:$AN$85,0)),"")=IFERROR(INDEX('Option Analysis'!$AE$6:$AE$85,MATCH(7,'Option Analysis'!$AN$6:$AN$85,0)),""),"",IFERROR(INDEX('Option Analysis'!$AE$6:$AE$85,MATCH(7,'Option Analysis'!$AN$6:$AN$85,0)),"")))</f>
        <v/>
      </c>
      <c r="P12" s="25" t="n">
        <f aca="false">IFERROR(INDEX('Option Analysis'!$M$6:$M$85,MATCH(7,'Option Analysis'!$AN$6:$AN$85,0)),"")</f>
        <v>14.4</v>
      </c>
      <c r="Q12" s="25" t="n">
        <f aca="false">IFERROR(INDEX('Option Analysis'!$AU$6:$AU$85,MATCH(7,'Option Analysis'!$AN$6:$AN$85,0)),"")</f>
        <v>14.25</v>
      </c>
      <c r="R12" s="9" t="n">
        <f aca="false">IFERROR(INDEX('Option Analysis'!$AV$6:$AV$85,MATCH(7,'Option Analysis'!$AN$6:$AN$85,0)),"")</f>
        <v>10</v>
      </c>
    </row>
    <row r="13" customFormat="false" ht="15" hidden="false" customHeight="false" outlineLevel="0" collapsed="false">
      <c r="A13" s="9" t="n">
        <f aca="false">IF(ISNUMBER(MATCH(8,'Option Analysis'!$AN$6:$AN$85,0)),8,"")</f>
        <v>8</v>
      </c>
      <c r="B13" s="9" t="str">
        <f aca="false">IFERROR(INDEX('Option Analysis'!$A$6:$A$85,MATCH(8,'Option Analysis'!$AN$6:$AN$85,0)),"")</f>
        <v>OPT027</v>
      </c>
      <c r="C13" s="9" t="str">
        <f aca="false">IFERROR(INDEX('Option Analysis'!$B$6:$B$85,MATCH(8,'Option Analysis'!$AN$6:$AN$85,0)),"")</f>
        <v>Shawl cardigan Navy</v>
      </c>
      <c r="D13" s="9" t="str">
        <f aca="false">IFERROR(INDEX('Option Analysis'!$C$6:$C$85,MATCH(8,'Option Analysis'!$AN$6:$AN$85,0)),"")</f>
        <v>Knitwear</v>
      </c>
      <c r="E13" s="9" t="str">
        <f aca="false">IFERROR(INDEX('Option Analysis'!$AC$6:$AC$85,MATCH(8,'Option Analysis'!$AN$6:$AN$85,0)),"")</f>
        <v>Slow and heavy</v>
      </c>
      <c r="F13" s="9" t="str">
        <f aca="false">IFERROR(INDEX('Option Analysis'!$AD$6:$AD$85,MATCH(8,'Option Analysis'!$AN$6:$AN$85,0)),"")</f>
        <v>Hidden from customers.</v>
      </c>
      <c r="G13" s="14" t="n">
        <f aca="false">IFERROR(INDEX('Option Analysis'!$AL$6:$AL$85,MATCH(8,'Option Analysis'!$AN$6:$AN$85,0)),"")</f>
        <v>25947.44</v>
      </c>
      <c r="H13" s="14" t="n">
        <f aca="false">IFERROR(INDEX('Option Analysis'!$AK$6:$AK$85,MATCH(8,'Option Analysis'!$AN$6:$AN$85,0)),"")</f>
        <v>0</v>
      </c>
      <c r="I13" s="14" t="n">
        <f aca="false">IFERROR(INDEX('Option Analysis'!$AI$6:$AI$85,MATCH(8,'Option Analysis'!$AN$6:$AN$85,0)),"")</f>
        <v>25947.44</v>
      </c>
      <c r="J13" s="14" t="n">
        <f aca="false">IFERROR(INDEX('Option Analysis'!$AJ$6:$AJ$85,MATCH(8,'Option Analysis'!$AN$6:$AN$85,0)),"")</f>
        <v>24650.068</v>
      </c>
      <c r="K13" s="25" t="n">
        <f aca="false">IFERROR(INDEX('Option Analysis'!$S$6:$S$85,MATCH(8,'Option Analysis'!$AN$6:$AN$85,0)),"")</f>
        <v>196.717171717172</v>
      </c>
      <c r="L13" s="13" t="n">
        <f aca="false">IFERROR(INDEX('Option Analysis'!$Q$6:$Q$85,MATCH(8,'Option Analysis'!$AN$6:$AN$85,0)),"")</f>
        <v>0.383214568487728</v>
      </c>
      <c r="M13" s="9" t="str">
        <f aca="false">IFERROR(INDEX('Option Analysis'!$AM$6:$AM$85,MATCH(8,'Option Analysis'!$AN$6:$AN$85,0)),"")</f>
        <v>Fix findability: it is in stock but customers cannot find it</v>
      </c>
      <c r="N13" s="9" t="str">
        <f aca="false">IFERROR(INDEX('Option Analysis'!$AF$6:$AF$85,MATCH(8,'Option Analysis'!$AN$6:$AN$85,0)),"")</f>
        <v>Ecommerce Trading Manager</v>
      </c>
      <c r="O13" s="9" t="str">
        <f aca="false">IF(A13="","",IF(IFERROR(INDEX('Option Analysis'!$AM$6:$AM$85,MATCH(8,'Option Analysis'!$AN$6:$AN$85,0)),"")=IFERROR(INDEX('Option Analysis'!$AE$6:$AE$85,MATCH(8,'Option Analysis'!$AN$6:$AN$85,0)),""),"",IFERROR(INDEX('Option Analysis'!$AE$6:$AE$85,MATCH(8,'Option Analysis'!$AN$6:$AN$85,0)),"")))</f>
        <v/>
      </c>
      <c r="P13" s="25" t="n">
        <f aca="false">IFERROR(INDEX('Option Analysis'!$M$6:$M$85,MATCH(8,'Option Analysis'!$AN$6:$AN$85,0)),"")</f>
        <v>4.4</v>
      </c>
      <c r="Q13" s="25" t="n">
        <f aca="false">IFERROR(INDEX('Option Analysis'!$AU$6:$AU$85,MATCH(8,'Option Analysis'!$AN$6:$AN$85,0)),"")</f>
        <v>4.5</v>
      </c>
      <c r="R13" s="9" t="n">
        <f aca="false">IFERROR(INDEX('Option Analysis'!$AV$6:$AV$85,MATCH(8,'Option Analysis'!$AN$6:$AN$85,0)),"")</f>
        <v>14</v>
      </c>
    </row>
    <row r="14" customFormat="false" ht="15" hidden="false" customHeight="false" outlineLevel="0" collapsed="false">
      <c r="A14" s="9" t="n">
        <f aca="false">IF(ISNUMBER(MATCH(9,'Option Analysis'!$AN$6:$AN$85,0)),9,"")</f>
        <v>9</v>
      </c>
      <c r="B14" s="9" t="str">
        <f aca="false">IFERROR(INDEX('Option Analysis'!$A$6:$A$85,MATCH(9,'Option Analysis'!$AN$6:$AN$85,0)),"")</f>
        <v>OPT007</v>
      </c>
      <c r="C14" s="9" t="str">
        <f aca="false">IFERROR(INDEX('Option Analysis'!$B$6:$B$85,MATCH(9,'Option Analysis'!$AN$6:$AN$85,0)),"")</f>
        <v>Harrington jacket Cream</v>
      </c>
      <c r="D14" s="9" t="str">
        <f aca="false">IFERROR(INDEX('Option Analysis'!$C$6:$C$85,MATCH(9,'Option Analysis'!$AN$6:$AN$85,0)),"")</f>
        <v>Outerwear</v>
      </c>
      <c r="E14" s="9" t="str">
        <f aca="false">IFERROR(INDEX('Option Analysis'!$AC$6:$AC$85,MATCH(9,'Option Analysis'!$AN$6:$AN$85,0)),"")</f>
        <v>Selling and short</v>
      </c>
      <c r="F14" s="9" t="str">
        <f aca="false">IFERROR(INDEX('Option Analysis'!$AD$6:$AD$85,MATCH(9,'Option Analysis'!$AN$6:$AN$85,0)),"")</f>
        <v>Order due in 6 weeks.</v>
      </c>
      <c r="G14" s="14" t="n">
        <f aca="false">IFERROR(INDEX('Option Analysis'!$AL$6:$AL$85,MATCH(9,'Option Analysis'!$AN$6:$AN$85,0)),"")</f>
        <v>20683.52</v>
      </c>
      <c r="H14" s="14" t="n">
        <f aca="false">IFERROR(INDEX('Option Analysis'!$AK$6:$AK$85,MATCH(9,'Option Analysis'!$AN$6:$AN$85,0)),"")</f>
        <v>0</v>
      </c>
      <c r="I14" s="14" t="n">
        <f aca="false">IFERROR(INDEX('Option Analysis'!$AI$6:$AI$85,MATCH(9,'Option Analysis'!$AN$6:$AN$85,0)),"")</f>
        <v>20683.52</v>
      </c>
      <c r="J14" s="14" t="n">
        <f aca="false">IFERROR(INDEX('Option Analysis'!$AJ$6:$AJ$85,MATCH(9,'Option Analysis'!$AN$6:$AN$85,0)),"")</f>
        <v>19649.344</v>
      </c>
      <c r="K14" s="25" t="n">
        <f aca="false">IFERROR(INDEX('Option Analysis'!$S$6:$S$85,MATCH(9,'Option Analysis'!$AN$6:$AN$85,0)),"")</f>
        <v>3.17460317460317</v>
      </c>
      <c r="L14" s="13" t="n">
        <f aca="false">IFERROR(INDEX('Option Analysis'!$Q$6:$Q$85,MATCH(9,'Option Analysis'!$AN$6:$AN$85,0)),"")</f>
        <v>0.845410628019324</v>
      </c>
      <c r="M14" s="9" t="str">
        <f aca="false">IFERROR(INDEX('Option Analysis'!$AM$6:$AM$85,MATCH(9,'Option Analysis'!$AN$6:$AN$85,0)),"")</f>
        <v>Chase the purchase order: it lands after stock runs out</v>
      </c>
      <c r="N14" s="9" t="str">
        <f aca="false">IFERROR(INDEX('Option Analysis'!$AF$6:$AF$85,MATCH(9,'Option Analysis'!$AN$6:$AN$85,0)),"")</f>
        <v>Merchandiser</v>
      </c>
      <c r="O14" s="9" t="str">
        <f aca="false">IF(A14="","",IF(IFERROR(INDEX('Option Analysis'!$AM$6:$AM$85,MATCH(9,'Option Analysis'!$AN$6:$AN$85,0)),"")=IFERROR(INDEX('Option Analysis'!$AE$6:$AE$85,MATCH(9,'Option Analysis'!$AN$6:$AN$85,0)),""),"",IFERROR(INDEX('Option Analysis'!$AE$6:$AE$85,MATCH(9,'Option Analysis'!$AN$6:$AN$85,0)),"")))</f>
        <v/>
      </c>
      <c r="P14" s="25" t="n">
        <f aca="false">IFERROR(INDEX('Option Analysis'!$M$6:$M$85,MATCH(9,'Option Analysis'!$AN$6:$AN$85,0)),"")</f>
        <v>33.6</v>
      </c>
      <c r="Q14" s="25" t="n">
        <f aca="false">IFERROR(INDEX('Option Analysis'!$AU$6:$AU$85,MATCH(9,'Option Analysis'!$AN$6:$AN$85,0)),"")</f>
        <v>32.5</v>
      </c>
      <c r="R14" s="9" t="n">
        <f aca="false">IFERROR(INDEX('Option Analysis'!$AV$6:$AV$85,MATCH(9,'Option Analysis'!$AN$6:$AN$85,0)),"")</f>
        <v>2</v>
      </c>
    </row>
    <row r="15" customFormat="false" ht="15" hidden="false" customHeight="false" outlineLevel="0" collapsed="false">
      <c r="A15" s="9" t="n">
        <f aca="false">IF(ISNUMBER(MATCH(10,'Option Analysis'!$AN$6:$AN$85,0)),10,"")</f>
        <v>10</v>
      </c>
      <c r="B15" s="9" t="str">
        <f aca="false">IFERROR(INDEX('Option Analysis'!$A$6:$A$85,MATCH(10,'Option Analysis'!$AN$6:$AN$85,0)),"")</f>
        <v>OPT050</v>
      </c>
      <c r="C15" s="9" t="str">
        <f aca="false">IFERROR(INDEX('Option Analysis'!$B$6:$B$85,MATCH(10,'Option Analysis'!$AN$6:$AN$85,0)),"")</f>
        <v>Regular chino Olive</v>
      </c>
      <c r="D15" s="9" t="str">
        <f aca="false">IFERROR(INDEX('Option Analysis'!$C$6:$C$85,MATCH(10,'Option Analysis'!$AN$6:$AN$85,0)),"")</f>
        <v>Trousers</v>
      </c>
      <c r="E15" s="9" t="str">
        <f aca="false">IFERROR(INDEX('Option Analysis'!$AC$6:$AC$85,MATCH(10,'Option Analysis'!$AN$6:$AN$85,0)),"")</f>
        <v>Slow and heavy</v>
      </c>
      <c r="F15" s="9" t="str">
        <f aca="false">IFERROR(INDEX('Option Analysis'!$AD$6:$AD$85,MATCH(10,'Option Analysis'!$AN$6:$AN$85,0)),"")</f>
        <v/>
      </c>
      <c r="G15" s="14" t="n">
        <f aca="false">IFERROR(INDEX('Option Analysis'!$AL$6:$AL$85,MATCH(10,'Option Analysis'!$AN$6:$AN$85,0)),"")</f>
        <v>19293.12</v>
      </c>
      <c r="H15" s="14" t="n">
        <f aca="false">IFERROR(INDEX('Option Analysis'!$AK$6:$AK$85,MATCH(10,'Option Analysis'!$AN$6:$AN$85,0)),"")</f>
        <v>0</v>
      </c>
      <c r="I15" s="14" t="n">
        <f aca="false">IFERROR(INDEX('Option Analysis'!$AI$6:$AI$85,MATCH(10,'Option Analysis'!$AN$6:$AN$85,0)),"")</f>
        <v>19293.12</v>
      </c>
      <c r="J15" s="14" t="n">
        <f aca="false">IFERROR(INDEX('Option Analysis'!$AJ$6:$AJ$85,MATCH(10,'Option Analysis'!$AN$6:$AN$85,0)),"")</f>
        <v>18328.464</v>
      </c>
      <c r="K15" s="25" t="n">
        <f aca="false">IFERROR(INDEX('Option Analysis'!$S$6:$S$85,MATCH(10,'Option Analysis'!$AN$6:$AN$85,0)),"")</f>
        <v>60.2941176470588</v>
      </c>
      <c r="L15" s="13" t="n">
        <f aca="false">IFERROR(INDEX('Option Analysis'!$Q$6:$Q$85,MATCH(10,'Option Analysis'!$AN$6:$AN$85,0)),"")</f>
        <v>0.348631950573698</v>
      </c>
      <c r="M15" s="9" t="str">
        <f aca="false">IFERROR(INDEX('Option Analysis'!$AM$6:$AM$85,MATCH(10,'Option Analysis'!$AN$6:$AN$85,0)),"")</f>
        <v>Mark down or re-merchandise</v>
      </c>
      <c r="N15" s="9" t="str">
        <f aca="false">IFERROR(INDEX('Option Analysis'!$AF$6:$AF$85,MATCH(10,'Option Analysis'!$AN$6:$AN$85,0)),"")</f>
        <v>Trading Manager</v>
      </c>
      <c r="O15" s="9" t="str">
        <f aca="false">IF(A15="","",IF(IFERROR(INDEX('Option Analysis'!$AM$6:$AM$85,MATCH(10,'Option Analysis'!$AN$6:$AN$85,0)),"")=IFERROR(INDEX('Option Analysis'!$AE$6:$AE$85,MATCH(10,'Option Analysis'!$AN$6:$AN$85,0)),""),"",IFERROR(INDEX('Option Analysis'!$AE$6:$AE$85,MATCH(10,'Option Analysis'!$AN$6:$AN$85,0)),"")))</f>
        <v/>
      </c>
      <c r="P15" s="25" t="n">
        <f aca="false">IFERROR(INDEX('Option Analysis'!$M$6:$M$85,MATCH(10,'Option Analysis'!$AN$6:$AN$85,0)),"")</f>
        <v>13.6</v>
      </c>
      <c r="Q15" s="25" t="n">
        <f aca="false">IFERROR(INDEX('Option Analysis'!$AU$6:$AU$85,MATCH(10,'Option Analysis'!$AN$6:$AN$85,0)),"")</f>
        <v>13</v>
      </c>
      <c r="R15" s="9" t="n">
        <f aca="false">IFERROR(INDEX('Option Analysis'!$AV$6:$AV$85,MATCH(10,'Option Analysis'!$AN$6:$AN$85,0)),"")</f>
        <v>7</v>
      </c>
    </row>
    <row r="16" customFormat="false" ht="15" hidden="false" customHeight="false" outlineLevel="0" collapsed="false">
      <c r="A16" s="9" t="n">
        <f aca="false">IF(ISNUMBER(MATCH(11,'Option Analysis'!$AN$6:$AN$85,0)),11,"")</f>
        <v>11</v>
      </c>
      <c r="B16" s="9" t="str">
        <f aca="false">IFERROR(INDEX('Option Analysis'!$A$6:$A$85,MATCH(11,'Option Analysis'!$AN$6:$AN$85,0)),"")</f>
        <v>OPT034</v>
      </c>
      <c r="C16" s="9" t="str">
        <f aca="false">IFERROR(INDEX('Option Analysis'!$B$6:$B$85,MATCH(11,'Option Analysis'!$AN$6:$AN$85,0)),"")</f>
        <v>Flannel shirt Mustard</v>
      </c>
      <c r="D16" s="9" t="str">
        <f aca="false">IFERROR(INDEX('Option Analysis'!$C$6:$C$85,MATCH(11,'Option Analysis'!$AN$6:$AN$85,0)),"")</f>
        <v>Shirts</v>
      </c>
      <c r="E16" s="9" t="str">
        <f aca="false">IFERROR(INDEX('Option Analysis'!$AC$6:$AC$85,MATCH(11,'Option Analysis'!$AN$6:$AN$85,0)),"")</f>
        <v>Slow and heavy</v>
      </c>
      <c r="F16" s="9" t="str">
        <f aca="false">IFERROR(INDEX('Option Analysis'!$AD$6:$AD$85,MATCH(11,'Option Analysis'!$AN$6:$AN$85,0)),"")</f>
        <v/>
      </c>
      <c r="G16" s="14" t="n">
        <f aca="false">IFERROR(INDEX('Option Analysis'!$AL$6:$AL$85,MATCH(11,'Option Analysis'!$AN$6:$AN$85,0)),"")</f>
        <v>16793.92</v>
      </c>
      <c r="H16" s="14" t="n">
        <f aca="false">IFERROR(INDEX('Option Analysis'!$AK$6:$AK$85,MATCH(11,'Option Analysis'!$AN$6:$AN$85,0)),"")</f>
        <v>0</v>
      </c>
      <c r="I16" s="14" t="n">
        <f aca="false">IFERROR(INDEX('Option Analysis'!$AI$6:$AI$85,MATCH(11,'Option Analysis'!$AN$6:$AN$85,0)),"")</f>
        <v>16793.92</v>
      </c>
      <c r="J16" s="14" t="n">
        <f aca="false">IFERROR(INDEX('Option Analysis'!$AJ$6:$AJ$85,MATCH(11,'Option Analysis'!$AN$6:$AN$85,0)),"")</f>
        <v>15954.224</v>
      </c>
      <c r="K16" s="25" t="n">
        <f aca="false">IFERROR(INDEX('Option Analysis'!$S$6:$S$85,MATCH(11,'Option Analysis'!$AN$6:$AN$85,0)),"")</f>
        <v>52.7458492975734</v>
      </c>
      <c r="L16" s="13" t="n">
        <f aca="false">IFERROR(INDEX('Option Analysis'!$Q$6:$Q$85,MATCH(11,'Option Analysis'!$AN$6:$AN$85,0)),"")</f>
        <v>0.384041759880686</v>
      </c>
      <c r="M16" s="9" t="str">
        <f aca="false">IFERROR(INDEX('Option Analysis'!$AM$6:$AM$85,MATCH(11,'Option Analysis'!$AN$6:$AN$85,0)),"")</f>
        <v>Mark down or re-merchandise</v>
      </c>
      <c r="N16" s="9" t="str">
        <f aca="false">IFERROR(INDEX('Option Analysis'!$AF$6:$AF$85,MATCH(11,'Option Analysis'!$AN$6:$AN$85,0)),"")</f>
        <v>Trading Manager</v>
      </c>
      <c r="O16" s="9" t="str">
        <f aca="false">IF(A16="","",IF(IFERROR(INDEX('Option Analysis'!$AM$6:$AM$85,MATCH(11,'Option Analysis'!$AN$6:$AN$85,0)),"")=IFERROR(INDEX('Option Analysis'!$AE$6:$AE$85,MATCH(11,'Option Analysis'!$AN$6:$AN$85,0)),""),"",IFERROR(INDEX('Option Analysis'!$AE$6:$AE$85,MATCH(11,'Option Analysis'!$AN$6:$AN$85,0)),"")))</f>
        <v/>
      </c>
      <c r="P16" s="25" t="n">
        <f aca="false">IFERROR(INDEX('Option Analysis'!$M$6:$M$85,MATCH(11,'Option Analysis'!$AN$6:$AN$85,0)),"")</f>
        <v>17.4</v>
      </c>
      <c r="Q16" s="25" t="n">
        <f aca="false">IFERROR(INDEX('Option Analysis'!$AU$6:$AU$85,MATCH(11,'Option Analysis'!$AN$6:$AN$85,0)),"")</f>
        <v>16.75</v>
      </c>
      <c r="R16" s="9" t="n">
        <f aca="false">IFERROR(INDEX('Option Analysis'!$AV$6:$AV$85,MATCH(11,'Option Analysis'!$AN$6:$AN$85,0)),"")</f>
        <v>7</v>
      </c>
    </row>
    <row r="17" customFormat="false" ht="15" hidden="false" customHeight="false" outlineLevel="0" collapsed="false">
      <c r="A17" s="9" t="n">
        <f aca="false">IF(ISNUMBER(MATCH(12,'Option Analysis'!$AN$6:$AN$85,0)),12,"")</f>
        <v>12</v>
      </c>
      <c r="B17" s="9" t="str">
        <f aca="false">IFERROR(INDEX('Option Analysis'!$A$6:$A$85,MATCH(12,'Option Analysis'!$AN$6:$AN$85,0)),"")</f>
        <v>OPT039</v>
      </c>
      <c r="C17" s="9" t="str">
        <f aca="false">IFERROR(INDEX('Option Analysis'!$B$6:$B$85,MATCH(12,'Option Analysis'!$AN$6:$AN$85,0)),"")</f>
        <v>Button-down shirt Olive</v>
      </c>
      <c r="D17" s="9" t="str">
        <f aca="false">IFERROR(INDEX('Option Analysis'!$C$6:$C$85,MATCH(12,'Option Analysis'!$AN$6:$AN$85,0)),"")</f>
        <v>Shirts</v>
      </c>
      <c r="E17" s="9" t="str">
        <f aca="false">IFERROR(INDEX('Option Analysis'!$AC$6:$AC$85,MATCH(12,'Option Analysis'!$AN$6:$AN$85,0)),"")</f>
        <v>Slow and heavy</v>
      </c>
      <c r="F17" s="9" t="str">
        <f aca="false">IFERROR(INDEX('Option Analysis'!$AD$6:$AD$85,MATCH(12,'Option Analysis'!$AN$6:$AN$85,0)),"")</f>
        <v>Hidden from customers.</v>
      </c>
      <c r="G17" s="14" t="n">
        <f aca="false">IFERROR(INDEX('Option Analysis'!$AL$6:$AL$85,MATCH(12,'Option Analysis'!$AN$6:$AN$85,0)),"")</f>
        <v>12266.88</v>
      </c>
      <c r="H17" s="14" t="n">
        <f aca="false">IFERROR(INDEX('Option Analysis'!$AK$6:$AK$85,MATCH(12,'Option Analysis'!$AN$6:$AN$85,0)),"")</f>
        <v>0</v>
      </c>
      <c r="I17" s="14" t="n">
        <f aca="false">IFERROR(INDEX('Option Analysis'!$AI$6:$AI$85,MATCH(12,'Option Analysis'!$AN$6:$AN$85,0)),"")</f>
        <v>12266.88</v>
      </c>
      <c r="J17" s="14" t="n">
        <f aca="false">IFERROR(INDEX('Option Analysis'!$AJ$6:$AJ$85,MATCH(12,'Option Analysis'!$AN$6:$AN$85,0)),"")</f>
        <v>11653.536</v>
      </c>
      <c r="K17" s="25" t="n">
        <f aca="false">IFERROR(INDEX('Option Analysis'!$S$6:$S$85,MATCH(12,'Option Analysis'!$AN$6:$AN$85,0)),"")</f>
        <v>176.094276094276</v>
      </c>
      <c r="L17" s="13" t="n">
        <f aca="false">IFERROR(INDEX('Option Analysis'!$Q$6:$Q$85,MATCH(12,'Option Analysis'!$AN$6:$AN$85,0)),"")</f>
        <v>0.386869871043376</v>
      </c>
      <c r="M17" s="9" t="str">
        <f aca="false">IFERROR(INDEX('Option Analysis'!$AM$6:$AM$85,MATCH(12,'Option Analysis'!$AN$6:$AN$85,0)),"")</f>
        <v>Fix findability: it is in stock but customers cannot find it</v>
      </c>
      <c r="N17" s="9" t="str">
        <f aca="false">IFERROR(INDEX('Option Analysis'!$AF$6:$AF$85,MATCH(12,'Option Analysis'!$AN$6:$AN$85,0)),"")</f>
        <v>Ecommerce Trading Manager</v>
      </c>
      <c r="O17" s="9" t="str">
        <f aca="false">IF(A17="","",IF(IFERROR(INDEX('Option Analysis'!$AM$6:$AM$85,MATCH(12,'Option Analysis'!$AN$6:$AN$85,0)),"")=IFERROR(INDEX('Option Analysis'!$AE$6:$AE$85,MATCH(12,'Option Analysis'!$AN$6:$AN$85,0)),""),"",IFERROR(INDEX('Option Analysis'!$AE$6:$AE$85,MATCH(12,'Option Analysis'!$AN$6:$AN$85,0)),"")))</f>
        <v/>
      </c>
      <c r="P17" s="25" t="n">
        <f aca="false">IFERROR(INDEX('Option Analysis'!$M$6:$M$85,MATCH(12,'Option Analysis'!$AN$6:$AN$85,0)),"")</f>
        <v>3.3</v>
      </c>
      <c r="Q17" s="25" t="n">
        <f aca="false">IFERROR(INDEX('Option Analysis'!$AU$6:$AU$85,MATCH(12,'Option Analysis'!$AN$6:$AN$85,0)),"")</f>
        <v>3.25</v>
      </c>
      <c r="R17" s="9" t="n">
        <f aca="false">IFERROR(INDEX('Option Analysis'!$AV$6:$AV$85,MATCH(12,'Option Analysis'!$AN$6:$AN$85,0)),"")</f>
        <v>14</v>
      </c>
    </row>
    <row r="18" customFormat="false" ht="15" hidden="false" customHeight="false" outlineLevel="0" collapsed="false">
      <c r="A18" s="9" t="n">
        <f aca="false">IF(ISNUMBER(MATCH(13,'Option Analysis'!$AN$6:$AN$85,0)),13,"")</f>
        <v>13</v>
      </c>
      <c r="B18" s="9" t="str">
        <f aca="false">IFERROR(INDEX('Option Analysis'!$A$6:$A$85,MATCH(13,'Option Analysis'!$AN$6:$AN$85,0)),"")</f>
        <v>OPT054</v>
      </c>
      <c r="C18" s="9" t="str">
        <f aca="false">IFERROR(INDEX('Option Analysis'!$B$6:$B$85,MATCH(13,'Option Analysis'!$AN$6:$AN$85,0)),"")</f>
        <v>Slim chino Rust</v>
      </c>
      <c r="D18" s="9" t="str">
        <f aca="false">IFERROR(INDEX('Option Analysis'!$C$6:$C$85,MATCH(13,'Option Analysis'!$AN$6:$AN$85,0)),"")</f>
        <v>Trousers</v>
      </c>
      <c r="E18" s="9" t="str">
        <f aca="false">IFERROR(INDEX('Option Analysis'!$AC$6:$AC$85,MATCH(13,'Option Analysis'!$AN$6:$AN$85,0)),"")</f>
        <v>Slow and heavy</v>
      </c>
      <c r="F18" s="9" t="str">
        <f aca="false">IFERROR(INDEX('Option Analysis'!$AD$6:$AD$85,MATCH(13,'Option Analysis'!$AN$6:$AN$85,0)),"")</f>
        <v>Broken curve. Order due in 3 weeks.</v>
      </c>
      <c r="G18" s="14" t="n">
        <f aca="false">IFERROR(INDEX('Option Analysis'!$AL$6:$AL$85,MATCH(13,'Option Analysis'!$AN$6:$AN$85,0)),"")</f>
        <v>8671.18909090909</v>
      </c>
      <c r="H18" s="14" t="n">
        <f aca="false">IFERROR(INDEX('Option Analysis'!$AK$6:$AK$85,MATCH(13,'Option Analysis'!$AN$6:$AN$85,0)),"")</f>
        <v>1331.90909090909</v>
      </c>
      <c r="I18" s="14" t="n">
        <f aca="false">IFERROR(INDEX('Option Analysis'!$AI$6:$AI$85,MATCH(13,'Option Analysis'!$AN$6:$AN$85,0)),"")</f>
        <v>7339.28</v>
      </c>
      <c r="J18" s="14" t="n">
        <f aca="false">IFERROR(INDEX('Option Analysis'!$AJ$6:$AJ$85,MATCH(13,'Option Analysis'!$AN$6:$AN$85,0)),"")</f>
        <v>6972.316</v>
      </c>
      <c r="K18" s="25" t="n">
        <f aca="false">IFERROR(INDEX('Option Analysis'!$S$6:$S$85,MATCH(13,'Option Analysis'!$AN$6:$AN$85,0)),"")</f>
        <v>38.6752136752137</v>
      </c>
      <c r="L18" s="13" t="n">
        <f aca="false">IFERROR(INDEX('Option Analysis'!$Q$6:$Q$85,MATCH(13,'Option Analysis'!$AN$6:$AN$85,0)),"")</f>
        <v>0.716744913928013</v>
      </c>
      <c r="M18" s="9" t="str">
        <f aca="false">IFERROR(INDEX('Option Analysis'!$AM$6:$AM$85,MATCH(13,'Option Analysis'!$AN$6:$AN$85,0)),"")</f>
        <v>Mark down or re-merchandise</v>
      </c>
      <c r="N18" s="9" t="str">
        <f aca="false">IFERROR(INDEX('Option Analysis'!$AF$6:$AF$85,MATCH(13,'Option Analysis'!$AN$6:$AN$85,0)),"")</f>
        <v>Trading Manager</v>
      </c>
      <c r="O18" s="9" t="str">
        <f aca="false">IF(A18="","",IF(IFERROR(INDEX('Option Analysis'!$AM$6:$AM$85,MATCH(13,'Option Analysis'!$AN$6:$AN$85,0)),"")=IFERROR(INDEX('Option Analysis'!$AE$6:$AE$85,MATCH(13,'Option Analysis'!$AN$6:$AN$85,0)),""),"",IFERROR(INDEX('Option Analysis'!$AE$6:$AE$85,MATCH(13,'Option Analysis'!$AN$6:$AN$85,0)),"")))</f>
        <v/>
      </c>
      <c r="P18" s="25" t="n">
        <f aca="false">IFERROR(INDEX('Option Analysis'!$M$6:$M$85,MATCH(13,'Option Analysis'!$AN$6:$AN$85,0)),"")</f>
        <v>5.2</v>
      </c>
      <c r="Q18" s="25" t="n">
        <f aca="false">IFERROR(INDEX('Option Analysis'!$AU$6:$AU$85,MATCH(13,'Option Analysis'!$AN$6:$AN$85,0)),"")</f>
        <v>12.8181818181818</v>
      </c>
      <c r="R18" s="9" t="n">
        <f aca="false">IFERROR(INDEX('Option Analysis'!$AV$6:$AV$85,MATCH(13,'Option Analysis'!$AN$6:$AN$85,0)),"")</f>
        <v>13</v>
      </c>
    </row>
    <row r="19" customFormat="false" ht="15" hidden="false" customHeight="false" outlineLevel="0" collapsed="false">
      <c r="A19" s="9" t="n">
        <f aca="false">IF(ISNUMBER(MATCH(14,'Option Analysis'!$AN$6:$AN$85,0)),14,"")</f>
        <v>14</v>
      </c>
      <c r="B19" s="9" t="str">
        <f aca="false">IFERROR(INDEX('Option Analysis'!$A$6:$A$85,MATCH(14,'Option Analysis'!$AN$6:$AN$85,0)),"")</f>
        <v>OPT010</v>
      </c>
      <c r="C19" s="9" t="str">
        <f aca="false">IFERROR(INDEX('Option Analysis'!$B$6:$B$85,MATCH(14,'Option Analysis'!$AN$6:$AN$85,0)),"")</f>
        <v>Overcoat Sand</v>
      </c>
      <c r="D19" s="9" t="str">
        <f aca="false">IFERROR(INDEX('Option Analysis'!$C$6:$C$85,MATCH(14,'Option Analysis'!$AN$6:$AN$85,0)),"")</f>
        <v>Outerwear</v>
      </c>
      <c r="E19" s="9" t="str">
        <f aca="false">IFERROR(INDEX('Option Analysis'!$AC$6:$AC$85,MATCH(14,'Option Analysis'!$AN$6:$AN$85,0)),"")</f>
        <v>Slow and heavy</v>
      </c>
      <c r="F19" s="9" t="str">
        <f aca="false">IFERROR(INDEX('Option Analysis'!$AD$6:$AD$85,MATCH(14,'Option Analysis'!$AN$6:$AN$85,0)),"")</f>
        <v/>
      </c>
      <c r="G19" s="14" t="n">
        <f aca="false">IFERROR(INDEX('Option Analysis'!$AL$6:$AL$85,MATCH(14,'Option Analysis'!$AN$6:$AN$85,0)),"")</f>
        <v>8029.44</v>
      </c>
      <c r="H19" s="14" t="n">
        <f aca="false">IFERROR(INDEX('Option Analysis'!$AK$6:$AK$85,MATCH(14,'Option Analysis'!$AN$6:$AN$85,0)),"")</f>
        <v>0</v>
      </c>
      <c r="I19" s="14" t="n">
        <f aca="false">IFERROR(INDEX('Option Analysis'!$AI$6:$AI$85,MATCH(14,'Option Analysis'!$AN$6:$AN$85,0)),"")</f>
        <v>8029.44</v>
      </c>
      <c r="J19" s="14" t="n">
        <f aca="false">IFERROR(INDEX('Option Analysis'!$AJ$6:$AJ$85,MATCH(14,'Option Analysis'!$AN$6:$AN$85,0)),"")</f>
        <v>7627.968</v>
      </c>
      <c r="K19" s="25" t="n">
        <f aca="false">IFERROR(INDEX('Option Analysis'!$S$6:$S$85,MATCH(14,'Option Analysis'!$AN$6:$AN$85,0)),"")</f>
        <v>9.68399592252803</v>
      </c>
      <c r="L19" s="13" t="n">
        <f aca="false">IFERROR(INDEX('Option Analysis'!$Q$6:$Q$85,MATCH(14,'Option Analysis'!$AN$6:$AN$85,0)),"")</f>
        <v>0.717261904761905</v>
      </c>
      <c r="M19" s="9" t="str">
        <f aca="false">IFERROR(INDEX('Option Analysis'!$AM$6:$AM$85,MATCH(14,'Option Analysis'!$AN$6:$AN$85,0)),"")</f>
        <v>Mark down or re-merchandise</v>
      </c>
      <c r="N19" s="9" t="str">
        <f aca="false">IFERROR(INDEX('Option Analysis'!$AF$6:$AF$85,MATCH(14,'Option Analysis'!$AN$6:$AN$85,0)),"")</f>
        <v>Trading Manager</v>
      </c>
      <c r="O19" s="9" t="str">
        <f aca="false">IF(A19="","",IF(IFERROR(INDEX('Option Analysis'!$AM$6:$AM$85,MATCH(14,'Option Analysis'!$AN$6:$AN$85,0)),"")=IFERROR(INDEX('Option Analysis'!$AE$6:$AE$85,MATCH(14,'Option Analysis'!$AN$6:$AN$85,0)),""),"",IFERROR(INDEX('Option Analysis'!$AE$6:$AE$85,MATCH(14,'Option Analysis'!$AN$6:$AN$85,0)),"")))</f>
        <v/>
      </c>
      <c r="P19" s="25" t="n">
        <f aca="false">IFERROR(INDEX('Option Analysis'!$M$6:$M$85,MATCH(14,'Option Analysis'!$AN$6:$AN$85,0)),"")</f>
        <v>21.8</v>
      </c>
      <c r="Q19" s="25" t="n">
        <f aca="false">IFERROR(INDEX('Option Analysis'!$AU$6:$AU$85,MATCH(14,'Option Analysis'!$AN$6:$AN$85,0)),"")</f>
        <v>21.25</v>
      </c>
      <c r="R19" s="9" t="n">
        <f aca="false">IFERROR(INDEX('Option Analysis'!$AV$6:$AV$85,MATCH(14,'Option Analysis'!$AN$6:$AN$85,0)),"")</f>
        <v>5</v>
      </c>
    </row>
    <row r="20" customFormat="false" ht="15" hidden="false" customHeight="false" outlineLevel="0" collapsed="false">
      <c r="A20" s="9" t="n">
        <f aca="false">IF(ISNUMBER(MATCH(15,'Option Analysis'!$AN$6:$AN$85,0)),15,"")</f>
        <v>15</v>
      </c>
      <c r="B20" s="9" t="str">
        <f aca="false">IFERROR(INDEX('Option Analysis'!$A$6:$A$85,MATCH(15,'Option Analysis'!$AN$6:$AN$85,0)),"")</f>
        <v>OPT053</v>
      </c>
      <c r="C20" s="9" t="str">
        <f aca="false">IFERROR(INDEX('Option Analysis'!$B$6:$B$85,MATCH(15,'Option Analysis'!$AN$6:$AN$85,0)),"")</f>
        <v>Cord trouser Burgundy</v>
      </c>
      <c r="D20" s="9" t="str">
        <f aca="false">IFERROR(INDEX('Option Analysis'!$C$6:$C$85,MATCH(15,'Option Analysis'!$AN$6:$AN$85,0)),"")</f>
        <v>Trousers</v>
      </c>
      <c r="E20" s="9" t="str">
        <f aca="false">IFERROR(INDEX('Option Analysis'!$AC$6:$AC$85,MATCH(15,'Option Analysis'!$AN$6:$AN$85,0)),"")</f>
        <v>Selling, heavy</v>
      </c>
      <c r="F20" s="9" t="str">
        <f aca="false">IFERROR(INDEX('Option Analysis'!$AD$6:$AD$85,MATCH(15,'Option Analysis'!$AN$6:$AN$85,0)),"")</f>
        <v>Broken curve. Order due in 3 weeks.</v>
      </c>
      <c r="G20" s="14" t="n">
        <f aca="false">IFERROR(INDEX('Option Analysis'!$AL$6:$AL$85,MATCH(15,'Option Analysis'!$AN$6:$AN$85,0)),"")</f>
        <v>8001.93333333333</v>
      </c>
      <c r="H20" s="14" t="n">
        <f aca="false">IFERROR(INDEX('Option Analysis'!$AK$6:$AK$85,MATCH(15,'Option Analysis'!$AN$6:$AN$85,0)),"")</f>
        <v>576.333333333333</v>
      </c>
      <c r="I20" s="14" t="n">
        <f aca="false">IFERROR(INDEX('Option Analysis'!$AI$6:$AI$85,MATCH(15,'Option Analysis'!$AN$6:$AN$85,0)),"")</f>
        <v>7425.6</v>
      </c>
      <c r="J20" s="14" t="n">
        <f aca="false">IFERROR(INDEX('Option Analysis'!$AJ$6:$AJ$85,MATCH(15,'Option Analysis'!$AN$6:$AN$85,0)),"")</f>
        <v>7054.32</v>
      </c>
      <c r="K20" s="25" t="n">
        <f aca="false">IFERROR(INDEX('Option Analysis'!$S$6:$S$85,MATCH(15,'Option Analysis'!$AN$6:$AN$85,0)),"")</f>
        <v>24.4444444444444</v>
      </c>
      <c r="L20" s="13" t="n">
        <f aca="false">IFERROR(INDEX('Option Analysis'!$Q$6:$Q$85,MATCH(15,'Option Analysis'!$AN$6:$AN$85,0)),"")</f>
        <v>0.727647867950481</v>
      </c>
      <c r="M20" s="9" t="str">
        <f aca="false">IFERROR(INDEX('Option Analysis'!$AM$6:$AM$85,MATCH(15,'Option Analysis'!$AN$6:$AN$85,0)),"")</f>
        <v>Chase the purchase order for core sizes</v>
      </c>
      <c r="N20" s="9" t="str">
        <f aca="false">IFERROR(INDEX('Option Analysis'!$AF$6:$AF$85,MATCH(15,'Option Analysis'!$AN$6:$AN$85,0)),"")</f>
        <v>Merchandiser</v>
      </c>
      <c r="O20" s="9" t="str">
        <f aca="false">IF(A20="","",IF(IFERROR(INDEX('Option Analysis'!$AM$6:$AM$85,MATCH(15,'Option Analysis'!$AN$6:$AN$85,0)),"")=IFERROR(INDEX('Option Analysis'!$AE$6:$AE$85,MATCH(15,'Option Analysis'!$AN$6:$AN$85,0)),""),"",IFERROR(INDEX('Option Analysis'!$AE$6:$AE$85,MATCH(15,'Option Analysis'!$AN$6:$AN$85,0)),"")))</f>
        <v/>
      </c>
      <c r="P20" s="25" t="n">
        <f aca="false">IFERROR(INDEX('Option Analysis'!$M$6:$M$85,MATCH(15,'Option Analysis'!$AN$6:$AN$85,0)),"")</f>
        <v>9</v>
      </c>
      <c r="Q20" s="25" t="n">
        <f aca="false">IFERROR(INDEX('Option Analysis'!$AU$6:$AU$85,MATCH(15,'Option Analysis'!$AN$6:$AN$85,0)),"")</f>
        <v>13.4166666666667</v>
      </c>
      <c r="R20" s="9" t="n">
        <f aca="false">IFERROR(INDEX('Option Analysis'!$AV$6:$AV$85,MATCH(15,'Option Analysis'!$AN$6:$AN$85,0)),"")</f>
        <v>12</v>
      </c>
    </row>
    <row r="21" customFormat="false" ht="15" hidden="false" customHeight="false" outlineLevel="0" collapsed="false">
      <c r="A21" s="9" t="n">
        <f aca="false">IF(ISNUMBER(MATCH(16,'Option Analysis'!$AN$6:$AN$85,0)),16,"")</f>
        <v>16</v>
      </c>
      <c r="B21" s="9" t="str">
        <f aca="false">IFERROR(INDEX('Option Analysis'!$A$6:$A$85,MATCH(16,'Option Analysis'!$AN$6:$AN$85,0)),"")</f>
        <v>OPT022</v>
      </c>
      <c r="C21" s="9" t="str">
        <f aca="false">IFERROR(INDEX('Option Analysis'!$B$6:$B$85,MATCH(16,'Option Analysis'!$AN$6:$AN$85,0)),"")</f>
        <v>Cable crew Teal</v>
      </c>
      <c r="D21" s="9" t="str">
        <f aca="false">IFERROR(INDEX('Option Analysis'!$C$6:$C$85,MATCH(16,'Option Analysis'!$AN$6:$AN$85,0)),"")</f>
        <v>Knitwear</v>
      </c>
      <c r="E21" s="9" t="str">
        <f aca="false">IFERROR(INDEX('Option Analysis'!$AC$6:$AC$85,MATCH(16,'Option Analysis'!$AN$6:$AN$85,0)),"")</f>
        <v>Selling and short</v>
      </c>
      <c r="F21" s="9" t="str">
        <f aca="false">IFERROR(INDEX('Option Analysis'!$AD$6:$AD$85,MATCH(16,'Option Analysis'!$AN$6:$AN$85,0)),"")</f>
        <v>Order due in 1 weeks.</v>
      </c>
      <c r="G21" s="14" t="n">
        <f aca="false">IFERROR(INDEX('Option Analysis'!$AL$6:$AL$85,MATCH(16,'Option Analysis'!$AN$6:$AN$85,0)),"")</f>
        <v>7516.72</v>
      </c>
      <c r="H21" s="14" t="n">
        <f aca="false">IFERROR(INDEX('Option Analysis'!$AK$6:$AK$85,MATCH(16,'Option Analysis'!$AN$6:$AN$85,0)),"")</f>
        <v>0</v>
      </c>
      <c r="I21" s="14" t="n">
        <f aca="false">IFERROR(INDEX('Option Analysis'!$AI$6:$AI$85,MATCH(16,'Option Analysis'!$AN$6:$AN$85,0)),"")</f>
        <v>7516.72</v>
      </c>
      <c r="J21" s="14" t="n">
        <f aca="false">IFERROR(INDEX('Option Analysis'!$AJ$6:$AJ$85,MATCH(16,'Option Analysis'!$AN$6:$AN$85,0)),"")</f>
        <v>7140.884</v>
      </c>
      <c r="K21" s="25" t="n">
        <f aca="false">IFERROR(INDEX('Option Analysis'!$S$6:$S$85,MATCH(16,'Option Analysis'!$AN$6:$AN$85,0)),"")</f>
        <v>2.27686703096539</v>
      </c>
      <c r="L21" s="13" t="n">
        <f aca="false">IFERROR(INDEX('Option Analysis'!$Q$6:$Q$85,MATCH(16,'Option Analysis'!$AN$6:$AN$85,0)),"")</f>
        <v>0.892241379310345</v>
      </c>
      <c r="M21" s="9" t="str">
        <f aca="false">IFERROR(INDEX('Option Analysis'!$AM$6:$AM$85,MATCH(16,'Option Analysis'!$AN$6:$AN$85,0)),"")</f>
        <v>Hold: the purchase order lands in time</v>
      </c>
      <c r="N21" s="9" t="str">
        <f aca="false">IFERROR(INDEX('Option Analysis'!$AF$6:$AF$85,MATCH(16,'Option Analysis'!$AN$6:$AN$85,0)),"")</f>
        <v>Merchandiser</v>
      </c>
      <c r="O21" s="9" t="str">
        <f aca="false">IF(A21="","",IF(IFERROR(INDEX('Option Analysis'!$AM$6:$AM$85,MATCH(16,'Option Analysis'!$AN$6:$AN$85,0)),"")=IFERROR(INDEX('Option Analysis'!$AE$6:$AE$85,MATCH(16,'Option Analysis'!$AN$6:$AN$85,0)),""),"",IFERROR(INDEX('Option Analysis'!$AE$6:$AE$85,MATCH(16,'Option Analysis'!$AN$6:$AN$85,0)),"")))</f>
        <v/>
      </c>
      <c r="P21" s="25" t="n">
        <f aca="false">IFERROR(INDEX('Option Analysis'!$M$6:$M$85,MATCH(16,'Option Analysis'!$AN$6:$AN$85,0)),"")</f>
        <v>12.2</v>
      </c>
      <c r="Q21" s="25" t="n">
        <f aca="false">IFERROR(INDEX('Option Analysis'!$AU$6:$AU$85,MATCH(16,'Option Analysis'!$AN$6:$AN$85,0)),"")</f>
        <v>12</v>
      </c>
      <c r="R21" s="9" t="n">
        <f aca="false">IFERROR(INDEX('Option Analysis'!$AV$6:$AV$85,MATCH(16,'Option Analysis'!$AN$6:$AN$85,0)),"")</f>
        <v>11</v>
      </c>
    </row>
    <row r="22" customFormat="false" ht="15" hidden="false" customHeight="false" outlineLevel="0" collapsed="false">
      <c r="A22" s="9" t="n">
        <f aca="false">IF(ISNUMBER(MATCH(17,'Option Analysis'!$AN$6:$AN$85,0)),17,"")</f>
        <v>17</v>
      </c>
      <c r="B22" s="9" t="str">
        <f aca="false">IFERROR(INDEX('Option Analysis'!$A$6:$A$85,MATCH(17,'Option Analysis'!$AN$6:$AN$85,0)),"")</f>
        <v>OPT018</v>
      </c>
      <c r="C22" s="9" t="str">
        <f aca="false">IFERROR(INDEX('Option Analysis'!$B$6:$B$85,MATCH(17,'Option Analysis'!$AN$6:$AN$85,0)),"")</f>
        <v>Lambswool crew Cream</v>
      </c>
      <c r="D22" s="9" t="str">
        <f aca="false">IFERROR(INDEX('Option Analysis'!$C$6:$C$85,MATCH(17,'Option Analysis'!$AN$6:$AN$85,0)),"")</f>
        <v>Knitwear</v>
      </c>
      <c r="E22" s="9" t="str">
        <f aca="false">IFERROR(INDEX('Option Analysis'!$AC$6:$AC$85,MATCH(17,'Option Analysis'!$AN$6:$AN$85,0)),"")</f>
        <v>Selling, heavy</v>
      </c>
      <c r="F22" s="9" t="str">
        <f aca="false">IFERROR(INDEX('Option Analysis'!$AD$6:$AD$85,MATCH(17,'Option Analysis'!$AN$6:$AN$85,0)),"")</f>
        <v>Broken curve.</v>
      </c>
      <c r="G22" s="14" t="n">
        <f aca="false">IFERROR(INDEX('Option Analysis'!$AL$6:$AL$85,MATCH(17,'Option Analysis'!$AN$6:$AN$85,0)),"")</f>
        <v>7427.64</v>
      </c>
      <c r="H22" s="14" t="n">
        <f aca="false">IFERROR(INDEX('Option Analysis'!$AK$6:$AK$85,MATCH(17,'Option Analysis'!$AN$6:$AN$85,0)),"")</f>
        <v>2227</v>
      </c>
      <c r="I22" s="14" t="n">
        <f aca="false">IFERROR(INDEX('Option Analysis'!$AI$6:$AI$85,MATCH(17,'Option Analysis'!$AN$6:$AN$85,0)),"")</f>
        <v>5200.64</v>
      </c>
      <c r="J22" s="14" t="n">
        <f aca="false">IFERROR(INDEX('Option Analysis'!$AJ$6:$AJ$85,MATCH(17,'Option Analysis'!$AN$6:$AN$85,0)),"")</f>
        <v>4940.608</v>
      </c>
      <c r="K22" s="25" t="n">
        <f aca="false">IFERROR(INDEX('Option Analysis'!$S$6:$S$85,MATCH(17,'Option Analysis'!$AN$6:$AN$85,0)),"")</f>
        <v>30.5555555555556</v>
      </c>
      <c r="L22" s="13" t="n">
        <f aca="false">IFERROR(INDEX('Option Analysis'!$Q$6:$Q$85,MATCH(17,'Option Analysis'!$AN$6:$AN$85,0)),"")</f>
        <v>0.741935483870968</v>
      </c>
      <c r="M22" s="9" t="str">
        <f aca="false">IFERROR(INDEX('Option Analysis'!$AM$6:$AM$85,MATCH(17,'Option Analysis'!$AN$6:$AN$85,0)),"")</f>
        <v>Reorder core sizes, or transfer them in</v>
      </c>
      <c r="N22" s="9" t="str">
        <f aca="false">IFERROR(INDEX('Option Analysis'!$AF$6:$AF$85,MATCH(17,'Option Analysis'!$AN$6:$AN$85,0)),"")</f>
        <v>Merchandiser</v>
      </c>
      <c r="O22" s="9" t="str">
        <f aca="false">IF(A22="","",IF(IFERROR(INDEX('Option Analysis'!$AM$6:$AM$85,MATCH(17,'Option Analysis'!$AN$6:$AN$85,0)),"")=IFERROR(INDEX('Option Analysis'!$AE$6:$AE$85,MATCH(17,'Option Analysis'!$AN$6:$AN$85,0)),""),"",IFERROR(INDEX('Option Analysis'!$AE$6:$AE$85,MATCH(17,'Option Analysis'!$AN$6:$AN$85,0)),"")))</f>
        <v/>
      </c>
      <c r="P22" s="25" t="n">
        <f aca="false">IFERROR(INDEX('Option Analysis'!$M$6:$M$85,MATCH(17,'Option Analysis'!$AN$6:$AN$85,0)),"")</f>
        <v>6.4</v>
      </c>
      <c r="Q22" s="25" t="n">
        <f aca="false">IFERROR(INDEX('Option Analysis'!$AU$6:$AU$85,MATCH(17,'Option Analysis'!$AN$6:$AN$85,0)),"")</f>
        <v>17.6666666666667</v>
      </c>
      <c r="R22" s="9" t="n">
        <f aca="false">IFERROR(INDEX('Option Analysis'!$AV$6:$AV$85,MATCH(17,'Option Analysis'!$AN$6:$AN$85,0)),"")</f>
        <v>13</v>
      </c>
    </row>
    <row r="23" customFormat="false" ht="15" hidden="false" customHeight="false" outlineLevel="0" collapsed="false">
      <c r="A23" s="9" t="n">
        <f aca="false">IF(ISNUMBER(MATCH(18,'Option Analysis'!$AN$6:$AN$85,0)),18,"")</f>
        <v>18</v>
      </c>
      <c r="B23" s="9" t="str">
        <f aca="false">IFERROR(INDEX('Option Analysis'!$A$6:$A$85,MATCH(18,'Option Analysis'!$AN$6:$AN$85,0)),"")</f>
        <v>OPT003</v>
      </c>
      <c r="C23" s="9" t="str">
        <f aca="false">IFERROR(INDEX('Option Analysis'!$B$6:$B$85,MATCH(18,'Option Analysis'!$AN$6:$AN$85,0)),"")</f>
        <v>Harrington jacket Stone</v>
      </c>
      <c r="D23" s="9" t="str">
        <f aca="false">IFERROR(INDEX('Option Analysis'!$C$6:$C$85,MATCH(18,'Option Analysis'!$AN$6:$AN$85,0)),"")</f>
        <v>Outerwear</v>
      </c>
      <c r="E23" s="9" t="str">
        <f aca="false">IFERROR(INDEX('Option Analysis'!$AC$6:$AC$85,MATCH(18,'Option Analysis'!$AN$6:$AN$85,0)),"")</f>
        <v>Selling, covered</v>
      </c>
      <c r="F23" s="9" t="str">
        <f aca="false">IFERROR(INDEX('Option Analysis'!$AD$6:$AD$85,MATCH(18,'Option Analysis'!$AN$6:$AN$85,0)),"")</f>
        <v/>
      </c>
      <c r="G23" s="14" t="n">
        <f aca="false">IFERROR(INDEX('Option Analysis'!$AL$6:$AL$85,MATCH(18,'Option Analysis'!$AN$6:$AN$85,0)),"")</f>
        <v>6528.96</v>
      </c>
      <c r="H23" s="14" t="n">
        <f aca="false">IFERROR(INDEX('Option Analysis'!$AK$6:$AK$85,MATCH(18,'Option Analysis'!$AN$6:$AN$85,0)),"")</f>
        <v>0</v>
      </c>
      <c r="I23" s="14" t="n">
        <f aca="false">IFERROR(INDEX('Option Analysis'!$AI$6:$AI$85,MATCH(18,'Option Analysis'!$AN$6:$AN$85,0)),"")</f>
        <v>6528.96</v>
      </c>
      <c r="J23" s="14" t="n">
        <f aca="false">IFERROR(INDEX('Option Analysis'!$AJ$6:$AJ$85,MATCH(18,'Option Analysis'!$AN$6:$AN$85,0)),"")</f>
        <v>6202.512</v>
      </c>
      <c r="K23" s="25" t="n">
        <f aca="false">IFERROR(INDEX('Option Analysis'!$S$6:$S$85,MATCH(18,'Option Analysis'!$AN$6:$AN$85,0)),"")</f>
        <v>6.78330263965623</v>
      </c>
      <c r="L23" s="13" t="n">
        <f aca="false">IFERROR(INDEX('Option Analysis'!$Q$6:$Q$85,MATCH(18,'Option Analysis'!$AN$6:$AN$85,0)),"")</f>
        <v>0.752242152466368</v>
      </c>
      <c r="M23" s="9" t="str">
        <f aca="false">IFERROR(INDEX('Option Analysis'!$AM$6:$AM$85,MATCH(18,'Option Analysis'!$AN$6:$AN$85,0)),"")</f>
        <v>Hold</v>
      </c>
      <c r="N23" s="9" t="str">
        <f aca="false">IFERROR(INDEX('Option Analysis'!$AF$6:$AF$85,MATCH(18,'Option Analysis'!$AN$6:$AN$85,0)),"")</f>
        <v>Merchandiser</v>
      </c>
      <c r="O23" s="9" t="str">
        <f aca="false">IF(A23="","",IF(IFERROR(INDEX('Option Analysis'!$AM$6:$AM$85,MATCH(18,'Option Analysis'!$AN$6:$AN$85,0)),"")=IFERROR(INDEX('Option Analysis'!$AE$6:$AE$85,MATCH(18,'Option Analysis'!$AN$6:$AN$85,0)),""),"",IFERROR(INDEX('Option Analysis'!$AE$6:$AE$85,MATCH(18,'Option Analysis'!$AN$6:$AN$85,0)),"")))</f>
        <v/>
      </c>
      <c r="P23" s="25" t="n">
        <f aca="false">IFERROR(INDEX('Option Analysis'!$M$6:$M$85,MATCH(18,'Option Analysis'!$AN$6:$AN$85,0)),"")</f>
        <v>36.2</v>
      </c>
      <c r="Q23" s="25" t="n">
        <f aca="false">IFERROR(INDEX('Option Analysis'!$AU$6:$AU$85,MATCH(18,'Option Analysis'!$AN$6:$AN$85,0)),"")</f>
        <v>35</v>
      </c>
      <c r="R23" s="9" t="n">
        <f aca="false">IFERROR(INDEX('Option Analysis'!$AV$6:$AV$85,MATCH(18,'Option Analysis'!$AN$6:$AN$85,0)),"")</f>
        <v>1</v>
      </c>
    </row>
    <row r="24" customFormat="false" ht="15" hidden="false" customHeight="false" outlineLevel="0" collapsed="false">
      <c r="A24" s="9" t="n">
        <f aca="false">IF(ISNUMBER(MATCH(19,'Option Analysis'!$AN$6:$AN$85,0)),19,"")</f>
        <v>19</v>
      </c>
      <c r="B24" s="9" t="str">
        <f aca="false">IFERROR(INDEX('Option Analysis'!$A$6:$A$85,MATCH(19,'Option Analysis'!$AN$6:$AN$85,0)),"")</f>
        <v>OPT008</v>
      </c>
      <c r="C24" s="9" t="str">
        <f aca="false">IFERROR(INDEX('Option Analysis'!$B$6:$B$85,MATCH(19,'Option Analysis'!$AN$6:$AN$85,0)),"")</f>
        <v>Duffle coat Black</v>
      </c>
      <c r="D24" s="9" t="str">
        <f aca="false">IFERROR(INDEX('Option Analysis'!$C$6:$C$85,MATCH(19,'Option Analysis'!$AN$6:$AN$85,0)),"")</f>
        <v>Outerwear</v>
      </c>
      <c r="E24" s="9" t="str">
        <f aca="false">IFERROR(INDEX('Option Analysis'!$AC$6:$AC$85,MATCH(19,'Option Analysis'!$AN$6:$AN$85,0)),"")</f>
        <v>Selling, covered</v>
      </c>
      <c r="F24" s="9" t="str">
        <f aca="false">IFERROR(INDEX('Option Analysis'!$AD$6:$AD$85,MATCH(19,'Option Analysis'!$AN$6:$AN$85,0)),"")</f>
        <v/>
      </c>
      <c r="G24" s="14" t="n">
        <f aca="false">IFERROR(INDEX('Option Analysis'!$AL$6:$AL$85,MATCH(19,'Option Analysis'!$AN$6:$AN$85,0)),"")</f>
        <v>5869.44</v>
      </c>
      <c r="H24" s="14" t="n">
        <f aca="false">IFERROR(INDEX('Option Analysis'!$AK$6:$AK$85,MATCH(19,'Option Analysis'!$AN$6:$AN$85,0)),"")</f>
        <v>0</v>
      </c>
      <c r="I24" s="14" t="n">
        <f aca="false">IFERROR(INDEX('Option Analysis'!$AI$6:$AI$85,MATCH(19,'Option Analysis'!$AN$6:$AN$85,0)),"")</f>
        <v>5869.44</v>
      </c>
      <c r="J24" s="14" t="n">
        <f aca="false">IFERROR(INDEX('Option Analysis'!$AJ$6:$AJ$85,MATCH(19,'Option Analysis'!$AN$6:$AN$85,0)),"")</f>
        <v>5575.968</v>
      </c>
      <c r="K24" s="25" t="n">
        <f aca="false">IFERROR(INDEX('Option Analysis'!$S$6:$S$85,MATCH(19,'Option Analysis'!$AN$6:$AN$85,0)),"")</f>
        <v>7.09139173302996</v>
      </c>
      <c r="L24" s="13" t="n">
        <f aca="false">IFERROR(INDEX('Option Analysis'!$Q$6:$Q$85,MATCH(19,'Option Analysis'!$AN$6:$AN$85,0)),"")</f>
        <v>0.748993288590604</v>
      </c>
      <c r="M24" s="9" t="str">
        <f aca="false">IFERROR(INDEX('Option Analysis'!$AM$6:$AM$85,MATCH(19,'Option Analysis'!$AN$6:$AN$85,0)),"")</f>
        <v>Hold</v>
      </c>
      <c r="N24" s="9" t="str">
        <f aca="false">IFERROR(INDEX('Option Analysis'!$AF$6:$AF$85,MATCH(19,'Option Analysis'!$AN$6:$AN$85,0)),"")</f>
        <v>Merchandiser</v>
      </c>
      <c r="O24" s="9" t="str">
        <f aca="false">IF(A24="","",IF(IFERROR(INDEX('Option Analysis'!$AM$6:$AM$85,MATCH(19,'Option Analysis'!$AN$6:$AN$85,0)),"")=IFERROR(INDEX('Option Analysis'!$AE$6:$AE$85,MATCH(19,'Option Analysis'!$AN$6:$AN$85,0)),""),"",IFERROR(INDEX('Option Analysis'!$AE$6:$AE$85,MATCH(19,'Option Analysis'!$AN$6:$AN$85,0)),"")))</f>
        <v/>
      </c>
      <c r="P24" s="25" t="n">
        <f aca="false">IFERROR(INDEX('Option Analysis'!$M$6:$M$85,MATCH(19,'Option Analysis'!$AN$6:$AN$85,0)),"")</f>
        <v>29.3</v>
      </c>
      <c r="Q24" s="25" t="n">
        <f aca="false">IFERROR(INDEX('Option Analysis'!$AU$6:$AU$85,MATCH(19,'Option Analysis'!$AN$6:$AN$85,0)),"")</f>
        <v>28.25</v>
      </c>
      <c r="R24" s="9" t="n">
        <f aca="false">IFERROR(INDEX('Option Analysis'!$AV$6:$AV$85,MATCH(19,'Option Analysis'!$AN$6:$AN$85,0)),"")</f>
        <v>3</v>
      </c>
    </row>
    <row r="25" customFormat="false" ht="15" hidden="false" customHeight="false" outlineLevel="0" collapsed="false">
      <c r="A25" s="9" t="n">
        <f aca="false">IF(ISNUMBER(MATCH(20,'Option Analysis'!$AN$6:$AN$85,0)),20,"")</f>
        <v>20</v>
      </c>
      <c r="B25" s="9" t="str">
        <f aca="false">IFERROR(INDEX('Option Analysis'!$A$6:$A$85,MATCH(20,'Option Analysis'!$AN$6:$AN$85,0)),"")</f>
        <v>OPT014</v>
      </c>
      <c r="C25" s="9" t="str">
        <f aca="false">IFERROR(INDEX('Option Analysis'!$B$6:$B$85,MATCH(20,'Option Analysis'!$AN$6:$AN$85,0)),"")</f>
        <v>Parka Cobalt</v>
      </c>
      <c r="D25" s="9" t="str">
        <f aca="false">IFERROR(INDEX('Option Analysis'!$C$6:$C$85,MATCH(20,'Option Analysis'!$AN$6:$AN$85,0)),"")</f>
        <v>Outerwear</v>
      </c>
      <c r="E25" s="9" t="str">
        <f aca="false">IFERROR(INDEX('Option Analysis'!$AC$6:$AC$85,MATCH(20,'Option Analysis'!$AN$6:$AN$85,0)),"")</f>
        <v>Slow and short</v>
      </c>
      <c r="F25" s="9" t="str">
        <f aca="false">IFERROR(INDEX('Option Analysis'!$AD$6:$AD$85,MATCH(20,'Option Analysis'!$AN$6:$AN$85,0)),"")</f>
        <v>Broken curve.</v>
      </c>
      <c r="G25" s="14" t="n">
        <f aca="false">IFERROR(INDEX('Option Analysis'!$AL$6:$AL$85,MATCH(20,'Option Analysis'!$AN$6:$AN$85,0)),"")</f>
        <v>5670</v>
      </c>
      <c r="H25" s="14" t="n">
        <f aca="false">IFERROR(INDEX('Option Analysis'!$AK$6:$AK$85,MATCH(20,'Option Analysis'!$AN$6:$AN$85,0)),"")</f>
        <v>5670</v>
      </c>
      <c r="I25" s="14" t="n">
        <f aca="false">IFERROR(INDEX('Option Analysis'!$AI$6:$AI$85,MATCH(20,'Option Analysis'!$AN$6:$AN$85,0)),"")</f>
        <v>0</v>
      </c>
      <c r="J25" s="14" t="n">
        <f aca="false">IFERROR(INDEX('Option Analysis'!$AJ$6:$AJ$85,MATCH(20,'Option Analysis'!$AN$6:$AN$85,0)),"")</f>
        <v>0</v>
      </c>
      <c r="K25" s="25" t="n">
        <f aca="false">IFERROR(INDEX('Option Analysis'!$S$6:$S$85,MATCH(20,'Option Analysis'!$AN$6:$AN$85,0)),"")</f>
        <v>1.98412698412698</v>
      </c>
      <c r="L25" s="13" t="n">
        <f aca="false">IFERROR(INDEX('Option Analysis'!$Q$6:$Q$85,MATCH(20,'Option Analysis'!$AN$6:$AN$85,0)),"")</f>
        <v>0.674486803519062</v>
      </c>
      <c r="M25" s="9" t="str">
        <f aca="false">IFERROR(INDEX('Option Analysis'!$AM$6:$AM$85,MATCH(20,'Option Analysis'!$AN$6:$AN$85,0)),"")</f>
        <v>Fix the size curve or exit</v>
      </c>
      <c r="N25" s="9" t="str">
        <f aca="false">IFERROR(INDEX('Option Analysis'!$AF$6:$AF$85,MATCH(20,'Option Analysis'!$AN$6:$AN$85,0)),"")</f>
        <v>Merchandiser</v>
      </c>
      <c r="O25" s="9" t="str">
        <f aca="false">IF(A25="","",IF(IFERROR(INDEX('Option Analysis'!$AM$6:$AM$85,MATCH(20,'Option Analysis'!$AN$6:$AN$85,0)),"")=IFERROR(INDEX('Option Analysis'!$AE$6:$AE$85,MATCH(20,'Option Analysis'!$AN$6:$AN$85,0)),""),"",IFERROR(INDEX('Option Analysis'!$AE$6:$AE$85,MATCH(20,'Option Analysis'!$AN$6:$AN$85,0)),"")))</f>
        <v/>
      </c>
      <c r="P25" s="25" t="n">
        <f aca="false">IFERROR(INDEX('Option Analysis'!$M$6:$M$85,MATCH(20,'Option Analysis'!$AN$6:$AN$85,0)),"")</f>
        <v>2.8</v>
      </c>
      <c r="Q25" s="25" t="n">
        <f aca="false">IFERROR(INDEX('Option Analysis'!$AU$6:$AU$85,MATCH(20,'Option Analysis'!$AN$6:$AN$85,0)),"")</f>
        <v>14.25</v>
      </c>
      <c r="R25" s="9" t="n">
        <f aca="false">IFERROR(INDEX('Option Analysis'!$AV$6:$AV$85,MATCH(20,'Option Analysis'!$AN$6:$AN$85,0)),"")</f>
        <v>15</v>
      </c>
    </row>
    <row r="26" customFormat="false" ht="15" hidden="false" customHeight="false" outlineLevel="0" collapsed="false">
      <c r="A26" s="9" t="n">
        <f aca="false">IF(ISNUMBER(MATCH(21,'Option Analysis'!$AN$6:$AN$85,0)),21,"")</f>
        <v>21</v>
      </c>
      <c r="B26" s="9" t="str">
        <f aca="false">IFERROR(INDEX('Option Analysis'!$A$6:$A$85,MATCH(21,'Option Analysis'!$AN$6:$AN$85,0)),"")</f>
        <v>OPT028</v>
      </c>
      <c r="C26" s="9" t="str">
        <f aca="false">IFERROR(INDEX('Option Analysis'!$B$6:$B$85,MATCH(21,'Option Analysis'!$AN$6:$AN$85,0)),"")</f>
        <v>Lambswool crew Olive</v>
      </c>
      <c r="D26" s="9" t="str">
        <f aca="false">IFERROR(INDEX('Option Analysis'!$C$6:$C$85,MATCH(21,'Option Analysis'!$AN$6:$AN$85,0)),"")</f>
        <v>Knitwear</v>
      </c>
      <c r="E26" s="9" t="str">
        <f aca="false">IFERROR(INDEX('Option Analysis'!$AC$6:$AC$85,MATCH(21,'Option Analysis'!$AN$6:$AN$85,0)),"")</f>
        <v>Slow and heavy</v>
      </c>
      <c r="F26" s="9" t="str">
        <f aca="false">IFERROR(INDEX('Option Analysis'!$AD$6:$AD$85,MATCH(21,'Option Analysis'!$AN$6:$AN$85,0)),"")</f>
        <v/>
      </c>
      <c r="G26" s="14" t="n">
        <f aca="false">IFERROR(INDEX('Option Analysis'!$AL$6:$AL$85,MATCH(21,'Option Analysis'!$AN$6:$AN$85,0)),"")</f>
        <v>5018.4</v>
      </c>
      <c r="H26" s="14" t="n">
        <f aca="false">IFERROR(INDEX('Option Analysis'!$AK$6:$AK$85,MATCH(21,'Option Analysis'!$AN$6:$AN$85,0)),"")</f>
        <v>0</v>
      </c>
      <c r="I26" s="14" t="n">
        <f aca="false">IFERROR(INDEX('Option Analysis'!$AI$6:$AI$85,MATCH(21,'Option Analysis'!$AN$6:$AN$85,0)),"")</f>
        <v>5018.4</v>
      </c>
      <c r="J26" s="14" t="n">
        <f aca="false">IFERROR(INDEX('Option Analysis'!$AJ$6:$AJ$85,MATCH(21,'Option Analysis'!$AN$6:$AN$85,0)),"")</f>
        <v>4767.48</v>
      </c>
      <c r="K26" s="25" t="n">
        <f aca="false">IFERROR(INDEX('Option Analysis'!$S$6:$S$85,MATCH(21,'Option Analysis'!$AN$6:$AN$85,0)),"")</f>
        <v>10.188679245283</v>
      </c>
      <c r="L26" s="13" t="n">
        <f aca="false">IFERROR(INDEX('Option Analysis'!$Q$6:$Q$85,MATCH(21,'Option Analysis'!$AN$6:$AN$85,0)),"")</f>
        <v>0.691624365482234</v>
      </c>
      <c r="M26" s="9" t="str">
        <f aca="false">IFERROR(INDEX('Option Analysis'!$AM$6:$AM$85,MATCH(21,'Option Analysis'!$AN$6:$AN$85,0)),"")</f>
        <v>Mark down or re-merchandise</v>
      </c>
      <c r="N26" s="9" t="str">
        <f aca="false">IFERROR(INDEX('Option Analysis'!$AF$6:$AF$85,MATCH(21,'Option Analysis'!$AN$6:$AN$85,0)),"")</f>
        <v>Trading Manager</v>
      </c>
      <c r="O26" s="9" t="str">
        <f aca="false">IF(A26="","",IF(IFERROR(INDEX('Option Analysis'!$AM$6:$AM$85,MATCH(21,'Option Analysis'!$AN$6:$AN$85,0)),"")=IFERROR(INDEX('Option Analysis'!$AE$6:$AE$85,MATCH(21,'Option Analysis'!$AN$6:$AN$85,0)),""),"",IFERROR(INDEX('Option Analysis'!$AE$6:$AE$85,MATCH(21,'Option Analysis'!$AN$6:$AN$85,0)),"")))</f>
        <v/>
      </c>
      <c r="P26" s="25" t="n">
        <f aca="false">IFERROR(INDEX('Option Analysis'!$M$6:$M$85,MATCH(21,'Option Analysis'!$AN$6:$AN$85,0)),"")</f>
        <v>26.5</v>
      </c>
      <c r="Q26" s="25" t="n">
        <f aca="false">IFERROR(INDEX('Option Analysis'!$AU$6:$AU$85,MATCH(21,'Option Analysis'!$AN$6:$AN$85,0)),"")</f>
        <v>25.5</v>
      </c>
      <c r="R26" s="9" t="n">
        <f aca="false">IFERROR(INDEX('Option Analysis'!$AV$6:$AV$85,MATCH(21,'Option Analysis'!$AN$6:$AN$85,0)),"")</f>
        <v>2</v>
      </c>
    </row>
    <row r="27" customFormat="false" ht="15" hidden="false" customHeight="false" outlineLevel="0" collapsed="false">
      <c r="A27" s="9" t="n">
        <f aca="false">IF(ISNUMBER(MATCH(22,'Option Analysis'!$AN$6:$AN$85,0)),22,"")</f>
        <v>22</v>
      </c>
      <c r="B27" s="9" t="str">
        <f aca="false">IFERROR(INDEX('Option Analysis'!$A$6:$A$85,MATCH(22,'Option Analysis'!$AN$6:$AN$85,0)),"")</f>
        <v>OPT037</v>
      </c>
      <c r="C27" s="9" t="str">
        <f aca="false">IFERROR(INDEX('Option Analysis'!$B$6:$B$85,MATCH(22,'Option Analysis'!$AN$6:$AN$85,0)),"")</f>
        <v>Button-down shirt Tan</v>
      </c>
      <c r="D27" s="9" t="str">
        <f aca="false">IFERROR(INDEX('Option Analysis'!$C$6:$C$85,MATCH(22,'Option Analysis'!$AN$6:$AN$85,0)),"")</f>
        <v>Shirts</v>
      </c>
      <c r="E27" s="9" t="str">
        <f aca="false">IFERROR(INDEX('Option Analysis'!$AC$6:$AC$85,MATCH(22,'Option Analysis'!$AN$6:$AN$85,0)),"")</f>
        <v>Selling, heavy</v>
      </c>
      <c r="F27" s="9" t="str">
        <f aca="false">IFERROR(INDEX('Option Analysis'!$AD$6:$AD$85,MATCH(22,'Option Analysis'!$AN$6:$AN$85,0)),"")</f>
        <v>Broken curve. Order due in 3 weeks.</v>
      </c>
      <c r="G27" s="14" t="n">
        <f aca="false">IFERROR(INDEX('Option Analysis'!$AL$6:$AL$85,MATCH(22,'Option Analysis'!$AN$6:$AN$85,0)),"")</f>
        <v>4865.78</v>
      </c>
      <c r="H27" s="14" t="n">
        <f aca="false">IFERROR(INDEX('Option Analysis'!$AK$6:$AK$85,MATCH(22,'Option Analysis'!$AN$6:$AN$85,0)),"")</f>
        <v>724.5</v>
      </c>
      <c r="I27" s="14" t="n">
        <f aca="false">IFERROR(INDEX('Option Analysis'!$AI$6:$AI$85,MATCH(22,'Option Analysis'!$AN$6:$AN$85,0)),"")</f>
        <v>4141.28</v>
      </c>
      <c r="J27" s="14" t="n">
        <f aca="false">IFERROR(INDEX('Option Analysis'!$AJ$6:$AJ$85,MATCH(22,'Option Analysis'!$AN$6:$AN$85,0)),"")</f>
        <v>3934.216</v>
      </c>
      <c r="K27" s="25" t="n">
        <f aca="false">IFERROR(INDEX('Option Analysis'!$S$6:$S$85,MATCH(22,'Option Analysis'!$AN$6:$AN$85,0)),"")</f>
        <v>51.3888888888889</v>
      </c>
      <c r="L27" s="13" t="n">
        <f aca="false">IFERROR(INDEX('Option Analysis'!$Q$6:$Q$85,MATCH(22,'Option Analysis'!$AN$6:$AN$85,0)),"")</f>
        <v>0.733812949640288</v>
      </c>
      <c r="M27" s="9" t="str">
        <f aca="false">IFERROR(INDEX('Option Analysis'!$AM$6:$AM$85,MATCH(22,'Option Analysis'!$AN$6:$AN$85,0)),"")</f>
        <v>Chase the purchase order for core sizes</v>
      </c>
      <c r="N27" s="9" t="str">
        <f aca="false">IFERROR(INDEX('Option Analysis'!$AF$6:$AF$85,MATCH(22,'Option Analysis'!$AN$6:$AN$85,0)),"")</f>
        <v>Merchandiser</v>
      </c>
      <c r="O27" s="9" t="str">
        <f aca="false">IF(A27="","",IF(IFERROR(INDEX('Option Analysis'!$AM$6:$AM$85,MATCH(22,'Option Analysis'!$AN$6:$AN$85,0)),"")=IFERROR(INDEX('Option Analysis'!$AE$6:$AE$85,MATCH(22,'Option Analysis'!$AN$6:$AN$85,0)),""),"",IFERROR(INDEX('Option Analysis'!$AE$6:$AE$85,MATCH(22,'Option Analysis'!$AN$6:$AN$85,0)),"")))</f>
        <v/>
      </c>
      <c r="P27" s="25" t="n">
        <f aca="false">IFERROR(INDEX('Option Analysis'!$M$6:$M$85,MATCH(22,'Option Analysis'!$AN$6:$AN$85,0)),"")</f>
        <v>1.6</v>
      </c>
      <c r="Q27" s="25" t="n">
        <f aca="false">IFERROR(INDEX('Option Analysis'!$AU$6:$AU$85,MATCH(22,'Option Analysis'!$AN$6:$AN$85,0)),"")</f>
        <v>6.45454545454546</v>
      </c>
      <c r="R27" s="9" t="n">
        <f aca="false">IFERROR(INDEX('Option Analysis'!$AV$6:$AV$85,MATCH(22,'Option Analysis'!$AN$6:$AN$85,0)),"")</f>
        <v>15</v>
      </c>
    </row>
    <row r="28" customFormat="false" ht="15" hidden="false" customHeight="false" outlineLevel="0" collapsed="false">
      <c r="A28" s="9" t="n">
        <f aca="false">IF(ISNUMBER(MATCH(23,'Option Analysis'!$AN$6:$AN$85,0)),23,"")</f>
        <v>23</v>
      </c>
      <c r="B28" s="9" t="str">
        <f aca="false">IFERROR(INDEX('Option Analysis'!$A$6:$A$85,MATCH(23,'Option Analysis'!$AN$6:$AN$85,0)),"")</f>
        <v>OPT025</v>
      </c>
      <c r="C28" s="9" t="str">
        <f aca="false">IFERROR(INDEX('Option Analysis'!$B$6:$B$85,MATCH(23,'Option Analysis'!$AN$6:$AN$85,0)),"")</f>
        <v>Button cardigan Cobalt</v>
      </c>
      <c r="D28" s="9" t="str">
        <f aca="false">IFERROR(INDEX('Option Analysis'!$C$6:$C$85,MATCH(23,'Option Analysis'!$AN$6:$AN$85,0)),"")</f>
        <v>Knitwear</v>
      </c>
      <c r="E28" s="9" t="str">
        <f aca="false">IFERROR(INDEX('Option Analysis'!$AC$6:$AC$85,MATCH(23,'Option Analysis'!$AN$6:$AN$85,0)),"")</f>
        <v>Slow and heavy</v>
      </c>
      <c r="F28" s="9" t="str">
        <f aca="false">IFERROR(INDEX('Option Analysis'!$AD$6:$AD$85,MATCH(23,'Option Analysis'!$AN$6:$AN$85,0)),"")</f>
        <v/>
      </c>
      <c r="G28" s="14" t="n">
        <f aca="false">IFERROR(INDEX('Option Analysis'!$AL$6:$AL$85,MATCH(23,'Option Analysis'!$AN$6:$AN$85,0)),"")</f>
        <v>4768.96</v>
      </c>
      <c r="H28" s="14" t="n">
        <f aca="false">IFERROR(INDEX('Option Analysis'!$AK$6:$AK$85,MATCH(23,'Option Analysis'!$AN$6:$AN$85,0)),"")</f>
        <v>0</v>
      </c>
      <c r="I28" s="14" t="n">
        <f aca="false">IFERROR(INDEX('Option Analysis'!$AI$6:$AI$85,MATCH(23,'Option Analysis'!$AN$6:$AN$85,0)),"")</f>
        <v>4768.96</v>
      </c>
      <c r="J28" s="14" t="n">
        <f aca="false">IFERROR(INDEX('Option Analysis'!$AJ$6:$AJ$85,MATCH(23,'Option Analysis'!$AN$6:$AN$85,0)),"")</f>
        <v>4530.512</v>
      </c>
      <c r="K28" s="25" t="n">
        <f aca="false">IFERROR(INDEX('Option Analysis'!$S$6:$S$85,MATCH(23,'Option Analysis'!$AN$6:$AN$85,0)),"")</f>
        <v>11.1956062526405</v>
      </c>
      <c r="L28" s="13" t="n">
        <f aca="false">IFERROR(INDEX('Option Analysis'!$Q$6:$Q$85,MATCH(23,'Option Analysis'!$AN$6:$AN$85,0)),"")</f>
        <v>0.661125319693095</v>
      </c>
      <c r="M28" s="9" t="str">
        <f aca="false">IFERROR(INDEX('Option Analysis'!$AM$6:$AM$85,MATCH(23,'Option Analysis'!$AN$6:$AN$85,0)),"")</f>
        <v>Mark down or re-merchandise</v>
      </c>
      <c r="N28" s="9" t="str">
        <f aca="false">IFERROR(INDEX('Option Analysis'!$AF$6:$AF$85,MATCH(23,'Option Analysis'!$AN$6:$AN$85,0)),"")</f>
        <v>Trading Manager</v>
      </c>
      <c r="O28" s="9" t="str">
        <f aca="false">IF(A28="","",IF(IFERROR(INDEX('Option Analysis'!$AM$6:$AM$85,MATCH(23,'Option Analysis'!$AN$6:$AN$85,0)),"")=IFERROR(INDEX('Option Analysis'!$AE$6:$AE$85,MATCH(23,'Option Analysis'!$AN$6:$AN$85,0)),""),"",IFERROR(INDEX('Option Analysis'!$AE$6:$AE$85,MATCH(23,'Option Analysis'!$AN$6:$AN$85,0)),"")))</f>
        <v/>
      </c>
      <c r="P28" s="25" t="n">
        <f aca="false">IFERROR(INDEX('Option Analysis'!$M$6:$M$85,MATCH(23,'Option Analysis'!$AN$6:$AN$85,0)),"")</f>
        <v>26.3</v>
      </c>
      <c r="Q28" s="25" t="n">
        <f aca="false">IFERROR(INDEX('Option Analysis'!$AU$6:$AU$85,MATCH(23,'Option Analysis'!$AN$6:$AN$85,0)),"")</f>
        <v>25</v>
      </c>
      <c r="R28" s="9" t="n">
        <f aca="false">IFERROR(INDEX('Option Analysis'!$AV$6:$AV$85,MATCH(23,'Option Analysis'!$AN$6:$AN$85,0)),"")</f>
        <v>3</v>
      </c>
    </row>
    <row r="29" customFormat="false" ht="15" hidden="false" customHeight="false" outlineLevel="0" collapsed="false">
      <c r="A29" s="9" t="n">
        <f aca="false">IF(ISNUMBER(MATCH(24,'Option Analysis'!$AN$6:$AN$85,0)),24,"")</f>
        <v>24</v>
      </c>
      <c r="B29" s="9" t="str">
        <f aca="false">IFERROR(INDEX('Option Analysis'!$A$6:$A$85,MATCH(24,'Option Analysis'!$AN$6:$AN$85,0)),"")</f>
        <v>OPT020</v>
      </c>
      <c r="C29" s="9" t="str">
        <f aca="false">IFERROR(INDEX('Option Analysis'!$B$6:$B$85,MATCH(24,'Option Analysis'!$AN$6:$AN$85,0)),"")</f>
        <v>Lambswool crew Forest</v>
      </c>
      <c r="D29" s="9" t="str">
        <f aca="false">IFERROR(INDEX('Option Analysis'!$C$6:$C$85,MATCH(24,'Option Analysis'!$AN$6:$AN$85,0)),"")</f>
        <v>Knitwear</v>
      </c>
      <c r="E29" s="9" t="str">
        <f aca="false">IFERROR(INDEX('Option Analysis'!$AC$6:$AC$85,MATCH(24,'Option Analysis'!$AN$6:$AN$85,0)),"")</f>
        <v>Slow and heavy</v>
      </c>
      <c r="F29" s="9" t="str">
        <f aca="false">IFERROR(INDEX('Option Analysis'!$AD$6:$AD$85,MATCH(24,'Option Analysis'!$AN$6:$AN$85,0)),"")</f>
        <v/>
      </c>
      <c r="G29" s="14" t="n">
        <f aca="false">IFERROR(INDEX('Option Analysis'!$AL$6:$AL$85,MATCH(24,'Option Analysis'!$AN$6:$AN$85,0)),"")</f>
        <v>4137.28</v>
      </c>
      <c r="H29" s="14" t="n">
        <f aca="false">IFERROR(INDEX('Option Analysis'!$AK$6:$AK$85,MATCH(24,'Option Analysis'!$AN$6:$AN$85,0)),"")</f>
        <v>0</v>
      </c>
      <c r="I29" s="14" t="n">
        <f aca="false">IFERROR(INDEX('Option Analysis'!$AI$6:$AI$85,MATCH(24,'Option Analysis'!$AN$6:$AN$85,0)),"")</f>
        <v>4137.28</v>
      </c>
      <c r="J29" s="14" t="n">
        <f aca="false">IFERROR(INDEX('Option Analysis'!$AJ$6:$AJ$85,MATCH(24,'Option Analysis'!$AN$6:$AN$85,0)),"")</f>
        <v>3930.416</v>
      </c>
      <c r="K29" s="25" t="n">
        <f aca="false">IFERROR(INDEX('Option Analysis'!$S$6:$S$85,MATCH(24,'Option Analysis'!$AN$6:$AN$85,0)),"")</f>
        <v>11.0161443494777</v>
      </c>
      <c r="L29" s="13" t="n">
        <f aca="false">IFERROR(INDEX('Option Analysis'!$Q$6:$Q$85,MATCH(24,'Option Analysis'!$AN$6:$AN$85,0)),"")</f>
        <v>0.672316384180791</v>
      </c>
      <c r="M29" s="9" t="str">
        <f aca="false">IFERROR(INDEX('Option Analysis'!$AM$6:$AM$85,MATCH(24,'Option Analysis'!$AN$6:$AN$85,0)),"")</f>
        <v>Mark down or re-merchandise</v>
      </c>
      <c r="N29" s="9" t="str">
        <f aca="false">IFERROR(INDEX('Option Analysis'!$AF$6:$AF$85,MATCH(24,'Option Analysis'!$AN$6:$AN$85,0)),"")</f>
        <v>Trading Manager</v>
      </c>
      <c r="O29" s="9" t="str">
        <f aca="false">IF(A29="","",IF(IFERROR(INDEX('Option Analysis'!$AM$6:$AM$85,MATCH(24,'Option Analysis'!$AN$6:$AN$85,0)),"")=IFERROR(INDEX('Option Analysis'!$AE$6:$AE$85,MATCH(24,'Option Analysis'!$AN$6:$AN$85,0)),""),"",IFERROR(INDEX('Option Analysis'!$AE$6:$AE$85,MATCH(24,'Option Analysis'!$AN$6:$AN$85,0)),"")))</f>
        <v/>
      </c>
      <c r="P29" s="25" t="n">
        <f aca="false">IFERROR(INDEX('Option Analysis'!$M$6:$M$85,MATCH(24,'Option Analysis'!$AN$6:$AN$85,0)),"")</f>
        <v>23.4</v>
      </c>
      <c r="Q29" s="25" t="n">
        <f aca="false">IFERROR(INDEX('Option Analysis'!$AU$6:$AU$85,MATCH(24,'Option Analysis'!$AN$6:$AN$85,0)),"")</f>
        <v>22.25</v>
      </c>
      <c r="R29" s="9" t="n">
        <f aca="false">IFERROR(INDEX('Option Analysis'!$AV$6:$AV$85,MATCH(24,'Option Analysis'!$AN$6:$AN$85,0)),"")</f>
        <v>4</v>
      </c>
    </row>
    <row r="30" customFormat="false" ht="15" hidden="false" customHeight="false" outlineLevel="0" collapsed="false">
      <c r="A30" s="9" t="n">
        <f aca="false">IF(ISNUMBER(MATCH(25,'Option Analysis'!$AN$6:$AN$85,0)),25,"")</f>
        <v>25</v>
      </c>
      <c r="B30" s="9" t="str">
        <f aca="false">IFERROR(INDEX('Option Analysis'!$A$6:$A$85,MATCH(25,'Option Analysis'!$AN$6:$AN$85,0)),"")</f>
        <v>OPT011</v>
      </c>
      <c r="C30" s="9" t="str">
        <f aca="false">IFERROR(INDEX('Option Analysis'!$B$6:$B$85,MATCH(25,'Option Analysis'!$AN$6:$AN$85,0)),"")</f>
        <v>Shacket Teal</v>
      </c>
      <c r="D30" s="9" t="str">
        <f aca="false">IFERROR(INDEX('Option Analysis'!$C$6:$C$85,MATCH(25,'Option Analysis'!$AN$6:$AN$85,0)),"")</f>
        <v>Outerwear</v>
      </c>
      <c r="E30" s="9" t="str">
        <f aca="false">IFERROR(INDEX('Option Analysis'!$AC$6:$AC$85,MATCH(25,'Option Analysis'!$AN$6:$AN$85,0)),"")</f>
        <v>Selling, covered</v>
      </c>
      <c r="F30" s="9" t="str">
        <f aca="false">IFERROR(INDEX('Option Analysis'!$AD$6:$AD$85,MATCH(25,'Option Analysis'!$AN$6:$AN$85,0)),"")</f>
        <v/>
      </c>
      <c r="G30" s="14" t="n">
        <f aca="false">IFERROR(INDEX('Option Analysis'!$AL$6:$AL$85,MATCH(25,'Option Analysis'!$AN$6:$AN$85,0)),"")</f>
        <v>3692.16</v>
      </c>
      <c r="H30" s="14" t="n">
        <f aca="false">IFERROR(INDEX('Option Analysis'!$AK$6:$AK$85,MATCH(25,'Option Analysis'!$AN$6:$AN$85,0)),"")</f>
        <v>0</v>
      </c>
      <c r="I30" s="14" t="n">
        <f aca="false">IFERROR(INDEX('Option Analysis'!$AI$6:$AI$85,MATCH(25,'Option Analysis'!$AN$6:$AN$85,0)),"")</f>
        <v>3692.16</v>
      </c>
      <c r="J30" s="14" t="n">
        <f aca="false">IFERROR(INDEX('Option Analysis'!$AJ$6:$AJ$85,MATCH(25,'Option Analysis'!$AN$6:$AN$85,0)),"")</f>
        <v>3507.552</v>
      </c>
      <c r="K30" s="25" t="n">
        <f aca="false">IFERROR(INDEX('Option Analysis'!$S$6:$S$85,MATCH(25,'Option Analysis'!$AN$6:$AN$85,0)),"")</f>
        <v>6.26102292768959</v>
      </c>
      <c r="L30" s="13" t="n">
        <f aca="false">IFERROR(INDEX('Option Analysis'!$Q$6:$Q$85,MATCH(25,'Option Analysis'!$AN$6:$AN$85,0)),"")</f>
        <v>0.792093704245974</v>
      </c>
      <c r="M30" s="9" t="str">
        <f aca="false">IFERROR(INDEX('Option Analysis'!$AM$6:$AM$85,MATCH(25,'Option Analysis'!$AN$6:$AN$85,0)),"")</f>
        <v>Hold</v>
      </c>
      <c r="N30" s="9" t="str">
        <f aca="false">IFERROR(INDEX('Option Analysis'!$AF$6:$AF$85,MATCH(25,'Option Analysis'!$AN$6:$AN$85,0)),"")</f>
        <v>Merchandiser</v>
      </c>
      <c r="O30" s="9" t="str">
        <f aca="false">IF(A30="","",IF(IFERROR(INDEX('Option Analysis'!$AM$6:$AM$85,MATCH(25,'Option Analysis'!$AN$6:$AN$85,0)),"")=IFERROR(INDEX('Option Analysis'!$AE$6:$AE$85,MATCH(25,'Option Analysis'!$AN$6:$AN$85,0)),""),"",IFERROR(INDEX('Option Analysis'!$AE$6:$AE$85,MATCH(25,'Option Analysis'!$AN$6:$AN$85,0)),"")))</f>
        <v/>
      </c>
      <c r="P30" s="25" t="n">
        <f aca="false">IFERROR(INDEX('Option Analysis'!$M$6:$M$85,MATCH(25,'Option Analysis'!$AN$6:$AN$85,0)),"")</f>
        <v>25.2</v>
      </c>
      <c r="Q30" s="25" t="n">
        <f aca="false">IFERROR(INDEX('Option Analysis'!$AU$6:$AU$85,MATCH(25,'Option Analysis'!$AN$6:$AN$85,0)),"")</f>
        <v>24</v>
      </c>
      <c r="R30" s="9" t="n">
        <f aca="false">IFERROR(INDEX('Option Analysis'!$AV$6:$AV$85,MATCH(25,'Option Analysis'!$AN$6:$AN$85,0)),"")</f>
        <v>4</v>
      </c>
    </row>
    <row r="31" customFormat="false" ht="15" hidden="false" customHeight="false" outlineLevel="0" collapsed="false">
      <c r="A31" s="9" t="n">
        <f aca="false">IF(ISNUMBER(MATCH(26,'Option Analysis'!$AN$6:$AN$85,0)),26,"")</f>
        <v>26</v>
      </c>
      <c r="B31" s="9" t="str">
        <f aca="false">IFERROR(INDEX('Option Analysis'!$A$6:$A$85,MATCH(26,'Option Analysis'!$AN$6:$AN$85,0)),"")</f>
        <v>OPT051</v>
      </c>
      <c r="C31" s="9" t="str">
        <f aca="false">IFERROR(INDEX('Option Analysis'!$B$6:$B$85,MATCH(26,'Option Analysis'!$AN$6:$AN$85,0)),"")</f>
        <v>Cord trouser Stone</v>
      </c>
      <c r="D31" s="9" t="str">
        <f aca="false">IFERROR(INDEX('Option Analysis'!$C$6:$C$85,MATCH(26,'Option Analysis'!$AN$6:$AN$85,0)),"")</f>
        <v>Trousers</v>
      </c>
      <c r="E31" s="9" t="str">
        <f aca="false">IFERROR(INDEX('Option Analysis'!$AC$6:$AC$85,MATCH(26,'Option Analysis'!$AN$6:$AN$85,0)),"")</f>
        <v>Slow and heavy</v>
      </c>
      <c r="F31" s="9" t="str">
        <f aca="false">IFERROR(INDEX('Option Analysis'!$AD$6:$AD$85,MATCH(26,'Option Analysis'!$AN$6:$AN$85,0)),"")</f>
        <v/>
      </c>
      <c r="G31" s="14" t="n">
        <f aca="false">IFERROR(INDEX('Option Analysis'!$AL$6:$AL$85,MATCH(26,'Option Analysis'!$AN$6:$AN$85,0)),"")</f>
        <v>3453.84</v>
      </c>
      <c r="H31" s="14" t="n">
        <f aca="false">IFERROR(INDEX('Option Analysis'!$AK$6:$AK$85,MATCH(26,'Option Analysis'!$AN$6:$AN$85,0)),"")</f>
        <v>0</v>
      </c>
      <c r="I31" s="14" t="n">
        <f aca="false">IFERROR(INDEX('Option Analysis'!$AI$6:$AI$85,MATCH(26,'Option Analysis'!$AN$6:$AN$85,0)),"")</f>
        <v>3453.84</v>
      </c>
      <c r="J31" s="14" t="n">
        <f aca="false">IFERROR(INDEX('Option Analysis'!$AJ$6:$AJ$85,MATCH(26,'Option Analysis'!$AN$6:$AN$85,0)),"")</f>
        <v>3281.148</v>
      </c>
      <c r="K31" s="25" t="n">
        <f aca="false">IFERROR(INDEX('Option Analysis'!$S$6:$S$85,MATCH(26,'Option Analysis'!$AN$6:$AN$85,0)),"")</f>
        <v>9.765625</v>
      </c>
      <c r="L31" s="13" t="n">
        <f aca="false">IFERROR(INDEX('Option Analysis'!$Q$6:$Q$85,MATCH(26,'Option Analysis'!$AN$6:$AN$85,0)),"")</f>
        <v>0.715909090909091</v>
      </c>
      <c r="M31" s="9" t="str">
        <f aca="false">IFERROR(INDEX('Option Analysis'!$AM$6:$AM$85,MATCH(26,'Option Analysis'!$AN$6:$AN$85,0)),"")</f>
        <v>Mark down or re-merchandise</v>
      </c>
      <c r="N31" s="9" t="str">
        <f aca="false">IFERROR(INDEX('Option Analysis'!$AF$6:$AF$85,MATCH(26,'Option Analysis'!$AN$6:$AN$85,0)),"")</f>
        <v>Trading Manager</v>
      </c>
      <c r="O31" s="9" t="str">
        <f aca="false">IF(A31="","",IF(IFERROR(INDEX('Option Analysis'!$AM$6:$AM$85,MATCH(26,'Option Analysis'!$AN$6:$AN$85,0)),"")=IFERROR(INDEX('Option Analysis'!$AE$6:$AE$85,MATCH(26,'Option Analysis'!$AN$6:$AN$85,0)),""),"",IFERROR(INDEX('Option Analysis'!$AE$6:$AE$85,MATCH(26,'Option Analysis'!$AN$6:$AN$85,0)),"")))</f>
        <v/>
      </c>
      <c r="P31" s="25" t="n">
        <f aca="false">IFERROR(INDEX('Option Analysis'!$M$6:$M$85,MATCH(26,'Option Analysis'!$AN$6:$AN$85,0)),"")</f>
        <v>25.6</v>
      </c>
      <c r="Q31" s="25" t="n">
        <f aca="false">IFERROR(INDEX('Option Analysis'!$AU$6:$AU$85,MATCH(26,'Option Analysis'!$AN$6:$AN$85,0)),"")</f>
        <v>25</v>
      </c>
      <c r="R31" s="9" t="n">
        <f aca="false">IFERROR(INDEX('Option Analysis'!$AV$6:$AV$85,MATCH(26,'Option Analysis'!$AN$6:$AN$85,0)),"")</f>
        <v>2</v>
      </c>
    </row>
    <row r="32" customFormat="false" ht="15" hidden="false" customHeight="false" outlineLevel="0" collapsed="false">
      <c r="A32" s="9" t="n">
        <f aca="false">IF(ISNUMBER(MATCH(27,'Option Analysis'!$AN$6:$AN$85,0)),27,"")</f>
        <v>27</v>
      </c>
      <c r="B32" s="9" t="str">
        <f aca="false">IFERROR(INDEX('Option Analysis'!$A$6:$A$85,MATCH(27,'Option Analysis'!$AN$6:$AN$85,0)),"")</f>
        <v>OPT015</v>
      </c>
      <c r="C32" s="9" t="str">
        <f aca="false">IFERROR(INDEX('Option Analysis'!$B$6:$B$85,MATCH(27,'Option Analysis'!$AN$6:$AN$85,0)),"")</f>
        <v>Puffer jacket Tan</v>
      </c>
      <c r="D32" s="9" t="str">
        <f aca="false">IFERROR(INDEX('Option Analysis'!$C$6:$C$85,MATCH(27,'Option Analysis'!$AN$6:$AN$85,0)),"")</f>
        <v>Outerwear</v>
      </c>
      <c r="E32" s="9" t="str">
        <f aca="false">IFERROR(INDEX('Option Analysis'!$AC$6:$AC$85,MATCH(27,'Option Analysis'!$AN$6:$AN$85,0)),"")</f>
        <v>Selling, covered</v>
      </c>
      <c r="F32" s="9" t="str">
        <f aca="false">IFERROR(INDEX('Option Analysis'!$AD$6:$AD$85,MATCH(27,'Option Analysis'!$AN$6:$AN$85,0)),"")</f>
        <v/>
      </c>
      <c r="G32" s="14" t="n">
        <f aca="false">IFERROR(INDEX('Option Analysis'!$AL$6:$AL$85,MATCH(27,'Option Analysis'!$AN$6:$AN$85,0)),"")</f>
        <v>3354.56</v>
      </c>
      <c r="H32" s="14" t="n">
        <f aca="false">IFERROR(INDEX('Option Analysis'!$AK$6:$AK$85,MATCH(27,'Option Analysis'!$AN$6:$AN$85,0)),"")</f>
        <v>0</v>
      </c>
      <c r="I32" s="14" t="n">
        <f aca="false">IFERROR(INDEX('Option Analysis'!$AI$6:$AI$85,MATCH(27,'Option Analysis'!$AN$6:$AN$85,0)),"")</f>
        <v>3354.56</v>
      </c>
      <c r="J32" s="14" t="n">
        <f aca="false">IFERROR(INDEX('Option Analysis'!$AJ$6:$AJ$85,MATCH(27,'Option Analysis'!$AN$6:$AN$85,0)),"")</f>
        <v>3186.832</v>
      </c>
      <c r="K32" s="25" t="n">
        <f aca="false">IFERROR(INDEX('Option Analysis'!$S$6:$S$85,MATCH(27,'Option Analysis'!$AN$6:$AN$85,0)),"")</f>
        <v>6.03632478632479</v>
      </c>
      <c r="L32" s="13" t="n">
        <f aca="false">IFERROR(INDEX('Option Analysis'!$Q$6:$Q$85,MATCH(27,'Option Analysis'!$AN$6:$AN$85,0)),"")</f>
        <v>0.804498269896194</v>
      </c>
      <c r="M32" s="9" t="str">
        <f aca="false">IFERROR(INDEX('Option Analysis'!$AM$6:$AM$85,MATCH(27,'Option Analysis'!$AN$6:$AN$85,0)),"")</f>
        <v>Hold</v>
      </c>
      <c r="N32" s="9" t="str">
        <f aca="false">IFERROR(INDEX('Option Analysis'!$AF$6:$AF$85,MATCH(27,'Option Analysis'!$AN$6:$AN$85,0)),"")</f>
        <v>Merchandiser</v>
      </c>
      <c r="O32" s="9" t="str">
        <f aca="false">IF(A32="","",IF(IFERROR(INDEX('Option Analysis'!$AM$6:$AM$85,MATCH(27,'Option Analysis'!$AN$6:$AN$85,0)),"")=IFERROR(INDEX('Option Analysis'!$AE$6:$AE$85,MATCH(27,'Option Analysis'!$AN$6:$AN$85,0)),""),"",IFERROR(INDEX('Option Analysis'!$AE$6:$AE$85,MATCH(27,'Option Analysis'!$AN$6:$AN$85,0)),"")))</f>
        <v/>
      </c>
      <c r="P32" s="25" t="n">
        <f aca="false">IFERROR(INDEX('Option Analysis'!$M$6:$M$85,MATCH(27,'Option Analysis'!$AN$6:$AN$85,0)),"")</f>
        <v>20.8</v>
      </c>
      <c r="Q32" s="25" t="n">
        <f aca="false">IFERROR(INDEX('Option Analysis'!$AU$6:$AU$85,MATCH(27,'Option Analysis'!$AN$6:$AN$85,0)),"")</f>
        <v>20.25</v>
      </c>
      <c r="R32" s="9" t="n">
        <f aca="false">IFERROR(INDEX('Option Analysis'!$AV$6:$AV$85,MATCH(27,'Option Analysis'!$AN$6:$AN$85,0)),"")</f>
        <v>6</v>
      </c>
    </row>
    <row r="33" customFormat="false" ht="15" hidden="false" customHeight="false" outlineLevel="0" collapsed="false">
      <c r="A33" s="9" t="n">
        <f aca="false">IF(ISNUMBER(MATCH(28,'Option Analysis'!$AN$6:$AN$85,0)),28,"")</f>
        <v>28</v>
      </c>
      <c r="B33" s="9" t="str">
        <f aca="false">IFERROR(INDEX('Option Analysis'!$A$6:$A$85,MATCH(28,'Option Analysis'!$AN$6:$AN$85,0)),"")</f>
        <v>OPT009</v>
      </c>
      <c r="C33" s="9" t="str">
        <f aca="false">IFERROR(INDEX('Option Analysis'!$B$6:$B$85,MATCH(28,'Option Analysis'!$AN$6:$AN$85,0)),"")</f>
        <v>Harrington jacket Forest</v>
      </c>
      <c r="D33" s="9" t="str">
        <f aca="false">IFERROR(INDEX('Option Analysis'!$C$6:$C$85,MATCH(28,'Option Analysis'!$AN$6:$AN$85,0)),"")</f>
        <v>Outerwear</v>
      </c>
      <c r="E33" s="9" t="str">
        <f aca="false">IFERROR(INDEX('Option Analysis'!$AC$6:$AC$85,MATCH(28,'Option Analysis'!$AN$6:$AN$85,0)),"")</f>
        <v>Selling, covered</v>
      </c>
      <c r="F33" s="9" t="str">
        <f aca="false">IFERROR(INDEX('Option Analysis'!$AD$6:$AD$85,MATCH(28,'Option Analysis'!$AN$6:$AN$85,0)),"")</f>
        <v/>
      </c>
      <c r="G33" s="14" t="n">
        <f aca="false">IFERROR(INDEX('Option Analysis'!$AL$6:$AL$85,MATCH(28,'Option Analysis'!$AN$6:$AN$85,0)),"")</f>
        <v>3259.52</v>
      </c>
      <c r="H33" s="14" t="n">
        <f aca="false">IFERROR(INDEX('Option Analysis'!$AK$6:$AK$85,MATCH(28,'Option Analysis'!$AN$6:$AN$85,0)),"")</f>
        <v>0</v>
      </c>
      <c r="I33" s="14" t="n">
        <f aca="false">IFERROR(INDEX('Option Analysis'!$AI$6:$AI$85,MATCH(28,'Option Analysis'!$AN$6:$AN$85,0)),"")</f>
        <v>3259.52</v>
      </c>
      <c r="J33" s="14" t="n">
        <f aca="false">IFERROR(INDEX('Option Analysis'!$AJ$6:$AJ$85,MATCH(28,'Option Analysis'!$AN$6:$AN$85,0)),"")</f>
        <v>3096.544</v>
      </c>
      <c r="K33" s="25" t="n">
        <f aca="false">IFERROR(INDEX('Option Analysis'!$S$6:$S$85,MATCH(28,'Option Analysis'!$AN$6:$AN$85,0)),"")</f>
        <v>7.70770770770771</v>
      </c>
      <c r="L33" s="13" t="n">
        <f aca="false">IFERROR(INDEX('Option Analysis'!$Q$6:$Q$85,MATCH(28,'Option Analysis'!$AN$6:$AN$85,0)),"")</f>
        <v>0.740740740740741</v>
      </c>
      <c r="M33" s="9" t="str">
        <f aca="false">IFERROR(INDEX('Option Analysis'!$AM$6:$AM$85,MATCH(28,'Option Analysis'!$AN$6:$AN$85,0)),"")</f>
        <v>Hold</v>
      </c>
      <c r="N33" s="9" t="str">
        <f aca="false">IFERROR(INDEX('Option Analysis'!$AF$6:$AF$85,MATCH(28,'Option Analysis'!$AN$6:$AN$85,0)),"")</f>
        <v>Merchandiser</v>
      </c>
      <c r="O33" s="9" t="str">
        <f aca="false">IF(A33="","",IF(IFERROR(INDEX('Option Analysis'!$AM$6:$AM$85,MATCH(28,'Option Analysis'!$AN$6:$AN$85,0)),"")=IFERROR(INDEX('Option Analysis'!$AE$6:$AE$85,MATCH(28,'Option Analysis'!$AN$6:$AN$85,0)),""),"",IFERROR(INDEX('Option Analysis'!$AE$6:$AE$85,MATCH(28,'Option Analysis'!$AN$6:$AN$85,0)),"")))</f>
        <v/>
      </c>
      <c r="P33" s="25" t="n">
        <f aca="false">IFERROR(INDEX('Option Analysis'!$M$6:$M$85,MATCH(28,'Option Analysis'!$AN$6:$AN$85,0)),"")</f>
        <v>11.1</v>
      </c>
      <c r="Q33" s="25" t="n">
        <f aca="false">IFERROR(INDEX('Option Analysis'!$AU$6:$AU$85,MATCH(28,'Option Analysis'!$AN$6:$AN$85,0)),"")</f>
        <v>10.25</v>
      </c>
      <c r="R33" s="9" t="n">
        <f aca="false">IFERROR(INDEX('Option Analysis'!$AV$6:$AV$85,MATCH(28,'Option Analysis'!$AN$6:$AN$85,0)),"")</f>
        <v>9</v>
      </c>
    </row>
    <row r="34" customFormat="false" ht="15" hidden="false" customHeight="false" outlineLevel="0" collapsed="false">
      <c r="A34" s="9" t="n">
        <f aca="false">IF(ISNUMBER(MATCH(29,'Option Analysis'!$AN$6:$AN$85,0)),29,"")</f>
        <v>29</v>
      </c>
      <c r="B34" s="9" t="str">
        <f aca="false">IFERROR(INDEX('Option Analysis'!$A$6:$A$85,MATCH(29,'Option Analysis'!$AN$6:$AN$85,0)),"")</f>
        <v>OPT049</v>
      </c>
      <c r="C34" s="9" t="str">
        <f aca="false">IFERROR(INDEX('Option Analysis'!$B$6:$B$85,MATCH(29,'Option Analysis'!$AN$6:$AN$85,0)),"")</f>
        <v>Cord trouser Navy</v>
      </c>
      <c r="D34" s="9" t="str">
        <f aca="false">IFERROR(INDEX('Option Analysis'!$C$6:$C$85,MATCH(29,'Option Analysis'!$AN$6:$AN$85,0)),"")</f>
        <v>Trousers</v>
      </c>
      <c r="E34" s="9" t="str">
        <f aca="false">IFERROR(INDEX('Option Analysis'!$AC$6:$AC$85,MATCH(29,'Option Analysis'!$AN$6:$AN$85,0)),"")</f>
        <v>Slow and heavy</v>
      </c>
      <c r="F34" s="9" t="str">
        <f aca="false">IFERROR(INDEX('Option Analysis'!$AD$6:$AD$85,MATCH(29,'Option Analysis'!$AN$6:$AN$85,0)),"")</f>
        <v>Broken curve. End of life.</v>
      </c>
      <c r="G34" s="14" t="n">
        <f aca="false">IFERROR(INDEX('Option Analysis'!$AL$6:$AL$85,MATCH(29,'Option Analysis'!$AN$6:$AN$85,0)),"")</f>
        <v>3259.2</v>
      </c>
      <c r="H34" s="14" t="n">
        <f aca="false">IFERROR(INDEX('Option Analysis'!$AK$6:$AK$85,MATCH(29,'Option Analysis'!$AN$6:$AN$85,0)),"")</f>
        <v>0</v>
      </c>
      <c r="I34" s="14" t="n">
        <f aca="false">IFERROR(INDEX('Option Analysis'!$AI$6:$AI$85,MATCH(29,'Option Analysis'!$AN$6:$AN$85,0)),"")</f>
        <v>3259.2</v>
      </c>
      <c r="J34" s="14" t="n">
        <f aca="false">IFERROR(INDEX('Option Analysis'!$AJ$6:$AJ$85,MATCH(29,'Option Analysis'!$AN$6:$AN$85,0)),"")</f>
        <v>3096.24</v>
      </c>
      <c r="K34" s="25" t="n">
        <f aca="false">IFERROR(INDEX('Option Analysis'!$S$6:$S$85,MATCH(29,'Option Analysis'!$AN$6:$AN$85,0)),"")</f>
        <v>40.952380952381</v>
      </c>
      <c r="L34" s="13" t="n">
        <f aca="false">IFERROR(INDEX('Option Analysis'!$Q$6:$Q$85,MATCH(29,'Option Analysis'!$AN$6:$AN$85,0)),"")</f>
        <v>0.704128440366973</v>
      </c>
      <c r="M34" s="9" t="str">
        <f aca="false">IFERROR(INDEX('Option Analysis'!$AM$6:$AM$85,MATCH(29,'Option Analysis'!$AN$6:$AN$85,0)),"")</f>
        <v>Exit: clear the remaining sizes</v>
      </c>
      <c r="N34" s="9" t="str">
        <f aca="false">IFERROR(INDEX('Option Analysis'!$AF$6:$AF$85,MATCH(29,'Option Analysis'!$AN$6:$AN$85,0)),"")</f>
        <v>Trading Manager</v>
      </c>
      <c r="O34" s="9" t="str">
        <f aca="false">IF(A34="","",IF(IFERROR(INDEX('Option Analysis'!$AM$6:$AM$85,MATCH(29,'Option Analysis'!$AN$6:$AN$85,0)),"")=IFERROR(INDEX('Option Analysis'!$AE$6:$AE$85,MATCH(29,'Option Analysis'!$AN$6:$AN$85,0)),""),"",IFERROR(INDEX('Option Analysis'!$AE$6:$AE$85,MATCH(29,'Option Analysis'!$AN$6:$AN$85,0)),"")))</f>
        <v/>
      </c>
      <c r="P34" s="25" t="n">
        <f aca="false">IFERROR(INDEX('Option Analysis'!$M$6:$M$85,MATCH(29,'Option Analysis'!$AN$6:$AN$85,0)),"")</f>
        <v>3.5</v>
      </c>
      <c r="Q34" s="25" t="n">
        <f aca="false">IFERROR(INDEX('Option Analysis'!$AU$6:$AU$85,MATCH(29,'Option Analysis'!$AN$6:$AN$85,0)),"")</f>
        <v>8.63636363636364</v>
      </c>
      <c r="R34" s="9" t="n">
        <f aca="false">IFERROR(INDEX('Option Analysis'!$AV$6:$AV$85,MATCH(29,'Option Analysis'!$AN$6:$AN$85,0)),"")</f>
        <v>14</v>
      </c>
    </row>
    <row r="35" customFormat="false" ht="15" hidden="false" customHeight="false" outlineLevel="0" collapsed="false">
      <c r="A35" s="9" t="n">
        <f aca="false">IF(ISNUMBER(MATCH(30,'Option Analysis'!$AN$6:$AN$85,0)),30,"")</f>
        <v>30</v>
      </c>
      <c r="B35" s="9" t="str">
        <f aca="false">IFERROR(INDEX('Option Analysis'!$A$6:$A$85,MATCH(30,'Option Analysis'!$AN$6:$AN$85,0)),"")</f>
        <v>OPT030</v>
      </c>
      <c r="C35" s="9" t="str">
        <f aca="false">IFERROR(INDEX('Option Analysis'!$B$6:$B$85,MATCH(30,'Option Analysis'!$AN$6:$AN$85,0)),"")</f>
        <v>Cable crew Charcoal</v>
      </c>
      <c r="D35" s="9" t="str">
        <f aca="false">IFERROR(INDEX('Option Analysis'!$C$6:$C$85,MATCH(30,'Option Analysis'!$AN$6:$AN$85,0)),"")</f>
        <v>Knitwear</v>
      </c>
      <c r="E35" s="9" t="str">
        <f aca="false">IFERROR(INDEX('Option Analysis'!$AC$6:$AC$85,MATCH(30,'Option Analysis'!$AN$6:$AN$85,0)),"")</f>
        <v>Slow and heavy</v>
      </c>
      <c r="F35" s="9" t="str">
        <f aca="false">IFERROR(INDEX('Option Analysis'!$AD$6:$AD$85,MATCH(30,'Option Analysis'!$AN$6:$AN$85,0)),"")</f>
        <v/>
      </c>
      <c r="G35" s="14" t="n">
        <f aca="false">IFERROR(INDEX('Option Analysis'!$AL$6:$AL$85,MATCH(30,'Option Analysis'!$AN$6:$AN$85,0)),"")</f>
        <v>3155.2</v>
      </c>
      <c r="H35" s="14" t="n">
        <f aca="false">IFERROR(INDEX('Option Analysis'!$AK$6:$AK$85,MATCH(30,'Option Analysis'!$AN$6:$AN$85,0)),"")</f>
        <v>0</v>
      </c>
      <c r="I35" s="14" t="n">
        <f aca="false">IFERROR(INDEX('Option Analysis'!$AI$6:$AI$85,MATCH(30,'Option Analysis'!$AN$6:$AN$85,0)),"")</f>
        <v>3155.2</v>
      </c>
      <c r="J35" s="14" t="n">
        <f aca="false">IFERROR(INDEX('Option Analysis'!$AJ$6:$AJ$85,MATCH(30,'Option Analysis'!$AN$6:$AN$85,0)),"")</f>
        <v>2997.44</v>
      </c>
      <c r="K35" s="25" t="n">
        <f aca="false">IFERROR(INDEX('Option Analysis'!$S$6:$S$85,MATCH(30,'Option Analysis'!$AN$6:$AN$85,0)),"")</f>
        <v>10.0653594771242</v>
      </c>
      <c r="L35" s="13" t="n">
        <f aca="false">IFERROR(INDEX('Option Analysis'!$Q$6:$Q$85,MATCH(30,'Option Analysis'!$AN$6:$AN$85,0)),"")</f>
        <v>0.700389105058366</v>
      </c>
      <c r="M35" s="9" t="str">
        <f aca="false">IFERROR(INDEX('Option Analysis'!$AM$6:$AM$85,MATCH(30,'Option Analysis'!$AN$6:$AN$85,0)),"")</f>
        <v>Mark down or re-merchandise</v>
      </c>
      <c r="N35" s="9" t="str">
        <f aca="false">IFERROR(INDEX('Option Analysis'!$AF$6:$AF$85,MATCH(30,'Option Analysis'!$AN$6:$AN$85,0)),"")</f>
        <v>Trading Manager</v>
      </c>
      <c r="O35" s="9" t="str">
        <f aca="false">IF(A35="","",IF(IFERROR(INDEX('Option Analysis'!$AM$6:$AM$85,MATCH(30,'Option Analysis'!$AN$6:$AN$85,0)),"")=IFERROR(INDEX('Option Analysis'!$AE$6:$AE$85,MATCH(30,'Option Analysis'!$AN$6:$AN$85,0)),""),"",IFERROR(INDEX('Option Analysis'!$AE$6:$AE$85,MATCH(30,'Option Analysis'!$AN$6:$AN$85,0)),"")))</f>
        <v/>
      </c>
      <c r="P35" s="25" t="n">
        <f aca="false">IFERROR(INDEX('Option Analysis'!$M$6:$M$85,MATCH(30,'Option Analysis'!$AN$6:$AN$85,0)),"")</f>
        <v>17</v>
      </c>
      <c r="Q35" s="25" t="n">
        <f aca="false">IFERROR(INDEX('Option Analysis'!$AU$6:$AU$85,MATCH(30,'Option Analysis'!$AN$6:$AN$85,0)),"")</f>
        <v>16.25</v>
      </c>
      <c r="R35" s="9" t="n">
        <f aca="false">IFERROR(INDEX('Option Analysis'!$AV$6:$AV$85,MATCH(30,'Option Analysis'!$AN$6:$AN$85,0)),"")</f>
        <v>7</v>
      </c>
    </row>
    <row r="36" customFormat="false" ht="15" hidden="false" customHeight="false" outlineLevel="0" collapsed="false">
      <c r="A36" s="9" t="n">
        <f aca="false">IF(ISNUMBER(MATCH(31,'Option Analysis'!$AN$6:$AN$85,0)),31,"")</f>
        <v>31</v>
      </c>
      <c r="B36" s="9" t="str">
        <f aca="false">IFERROR(INDEX('Option Analysis'!$A$6:$A$85,MATCH(31,'Option Analysis'!$AN$6:$AN$85,0)),"")</f>
        <v>OPT041</v>
      </c>
      <c r="C36" s="9" t="str">
        <f aca="false">IFERROR(INDEX('Option Analysis'!$B$6:$B$85,MATCH(31,'Option Analysis'!$AN$6:$AN$85,0)),"")</f>
        <v>Oxford shirt Charcoal</v>
      </c>
      <c r="D36" s="9" t="str">
        <f aca="false">IFERROR(INDEX('Option Analysis'!$C$6:$C$85,MATCH(31,'Option Analysis'!$AN$6:$AN$85,0)),"")</f>
        <v>Shirts</v>
      </c>
      <c r="E36" s="9" t="str">
        <f aca="false">IFERROR(INDEX('Option Analysis'!$AC$6:$AC$85,MATCH(31,'Option Analysis'!$AN$6:$AN$85,0)),"")</f>
        <v>Slow and heavy</v>
      </c>
      <c r="F36" s="9" t="str">
        <f aca="false">IFERROR(INDEX('Option Analysis'!$AD$6:$AD$85,MATCH(31,'Option Analysis'!$AN$6:$AN$85,0)),"")</f>
        <v/>
      </c>
      <c r="G36" s="14" t="n">
        <f aca="false">IFERROR(INDEX('Option Analysis'!$AL$6:$AL$85,MATCH(31,'Option Analysis'!$AN$6:$AN$85,0)),"")</f>
        <v>3065.92</v>
      </c>
      <c r="H36" s="14" t="n">
        <f aca="false">IFERROR(INDEX('Option Analysis'!$AK$6:$AK$85,MATCH(31,'Option Analysis'!$AN$6:$AN$85,0)),"")</f>
        <v>0</v>
      </c>
      <c r="I36" s="14" t="n">
        <f aca="false">IFERROR(INDEX('Option Analysis'!$AI$6:$AI$85,MATCH(31,'Option Analysis'!$AN$6:$AN$85,0)),"")</f>
        <v>3065.92</v>
      </c>
      <c r="J36" s="14" t="n">
        <f aca="false">IFERROR(INDEX('Option Analysis'!$AJ$6:$AJ$85,MATCH(31,'Option Analysis'!$AN$6:$AN$85,0)),"")</f>
        <v>2912.624</v>
      </c>
      <c r="K36" s="25" t="n">
        <f aca="false">IFERROR(INDEX('Option Analysis'!$S$6:$S$85,MATCH(31,'Option Analysis'!$AN$6:$AN$85,0)),"")</f>
        <v>11.7811278615299</v>
      </c>
      <c r="L36" s="13" t="n">
        <f aca="false">IFERROR(INDEX('Option Analysis'!$Q$6:$Q$85,MATCH(31,'Option Analysis'!$AN$6:$AN$85,0)),"")</f>
        <v>0.685074626865672</v>
      </c>
      <c r="M36" s="9" t="str">
        <f aca="false">IFERROR(INDEX('Option Analysis'!$AM$6:$AM$85,MATCH(31,'Option Analysis'!$AN$6:$AN$85,0)),"")</f>
        <v>Mark down or re-merchandise</v>
      </c>
      <c r="N36" s="9" t="str">
        <f aca="false">IFERROR(INDEX('Option Analysis'!$AF$6:$AF$85,MATCH(31,'Option Analysis'!$AN$6:$AN$85,0)),"")</f>
        <v>Trading Manager</v>
      </c>
      <c r="O36" s="9" t="str">
        <f aca="false">IF(A36="","",IF(IFERROR(INDEX('Option Analysis'!$AM$6:$AM$85,MATCH(31,'Option Analysis'!$AN$6:$AN$85,0)),"")=IFERROR(INDEX('Option Analysis'!$AE$6:$AE$85,MATCH(31,'Option Analysis'!$AN$6:$AN$85,0)),""),"",IFERROR(INDEX('Option Analysis'!$AE$6:$AE$85,MATCH(31,'Option Analysis'!$AN$6:$AN$85,0)),"")))</f>
        <v/>
      </c>
      <c r="P36" s="25" t="n">
        <f aca="false">IFERROR(INDEX('Option Analysis'!$M$6:$M$85,MATCH(31,'Option Analysis'!$AN$6:$AN$85,0)),"")</f>
        <v>19.9</v>
      </c>
      <c r="Q36" s="25" t="n">
        <f aca="false">IFERROR(INDEX('Option Analysis'!$AU$6:$AU$85,MATCH(31,'Option Analysis'!$AN$6:$AN$85,0)),"")</f>
        <v>19.75</v>
      </c>
      <c r="R36" s="9" t="n">
        <f aca="false">IFERROR(INDEX('Option Analysis'!$AV$6:$AV$85,MATCH(31,'Option Analysis'!$AN$6:$AN$85,0)),"")</f>
        <v>5</v>
      </c>
    </row>
    <row r="37" customFormat="false" ht="15" hidden="false" customHeight="false" outlineLevel="0" collapsed="false">
      <c r="A37" s="9" t="n">
        <f aca="false">IF(ISNUMBER(MATCH(32,'Option Analysis'!$AN$6:$AN$85,0)),32,"")</f>
        <v>32</v>
      </c>
      <c r="B37" s="9" t="str">
        <f aca="false">IFERROR(INDEX('Option Analysis'!$A$6:$A$85,MATCH(32,'Option Analysis'!$AN$6:$AN$85,0)),"")</f>
        <v>OPT017</v>
      </c>
      <c r="C37" s="9" t="str">
        <f aca="false">IFERROR(INDEX('Option Analysis'!$B$6:$B$85,MATCH(32,'Option Analysis'!$AN$6:$AN$85,0)),"")</f>
        <v>Button cardigan Rust</v>
      </c>
      <c r="D37" s="9" t="str">
        <f aca="false">IFERROR(INDEX('Option Analysis'!$C$6:$C$85,MATCH(32,'Option Analysis'!$AN$6:$AN$85,0)),"")</f>
        <v>Knitwear</v>
      </c>
      <c r="E37" s="9" t="str">
        <f aca="false">IFERROR(INDEX('Option Analysis'!$AC$6:$AC$85,MATCH(32,'Option Analysis'!$AN$6:$AN$85,0)),"")</f>
        <v>Slow and heavy</v>
      </c>
      <c r="F37" s="9" t="str">
        <f aca="false">IFERROR(INDEX('Option Analysis'!$AD$6:$AD$85,MATCH(32,'Option Analysis'!$AN$6:$AN$85,0)),"")</f>
        <v/>
      </c>
      <c r="G37" s="14" t="n">
        <f aca="false">IFERROR(INDEX('Option Analysis'!$AL$6:$AL$85,MATCH(32,'Option Analysis'!$AN$6:$AN$85,0)),"")</f>
        <v>2820.16</v>
      </c>
      <c r="H37" s="14" t="n">
        <f aca="false">IFERROR(INDEX('Option Analysis'!$AK$6:$AK$85,MATCH(32,'Option Analysis'!$AN$6:$AN$85,0)),"")</f>
        <v>0</v>
      </c>
      <c r="I37" s="14" t="n">
        <f aca="false">IFERROR(INDEX('Option Analysis'!$AI$6:$AI$85,MATCH(32,'Option Analysis'!$AN$6:$AN$85,0)),"")</f>
        <v>2820.16</v>
      </c>
      <c r="J37" s="14" t="n">
        <f aca="false">IFERROR(INDEX('Option Analysis'!$AJ$6:$AJ$85,MATCH(32,'Option Analysis'!$AN$6:$AN$85,0)),"")</f>
        <v>2679.152</v>
      </c>
      <c r="K37" s="25" t="n">
        <f aca="false">IFERROR(INDEX('Option Analysis'!$S$6:$S$85,MATCH(32,'Option Analysis'!$AN$6:$AN$85,0)),"")</f>
        <v>9.01843547583458</v>
      </c>
      <c r="L37" s="13" t="n">
        <f aca="false">IFERROR(INDEX('Option Analysis'!$Q$6:$Q$85,MATCH(32,'Option Analysis'!$AN$6:$AN$85,0)),"")</f>
        <v>0.7171875</v>
      </c>
      <c r="M37" s="9" t="str">
        <f aca="false">IFERROR(INDEX('Option Analysis'!$AM$6:$AM$85,MATCH(32,'Option Analysis'!$AN$6:$AN$85,0)),"")</f>
        <v>Mark down or re-merchandise</v>
      </c>
      <c r="N37" s="9" t="str">
        <f aca="false">IFERROR(INDEX('Option Analysis'!$AF$6:$AF$85,MATCH(32,'Option Analysis'!$AN$6:$AN$85,0)),"")</f>
        <v>Trading Manager</v>
      </c>
      <c r="O37" s="9" t="str">
        <f aca="false">IF(A37="","",IF(IFERROR(INDEX('Option Analysis'!$AM$6:$AM$85,MATCH(32,'Option Analysis'!$AN$6:$AN$85,0)),"")=IFERROR(INDEX('Option Analysis'!$AE$6:$AE$85,MATCH(32,'Option Analysis'!$AN$6:$AN$85,0)),""),"",IFERROR(INDEX('Option Analysis'!$AE$6:$AE$85,MATCH(32,'Option Analysis'!$AN$6:$AN$85,0)),"")))</f>
        <v/>
      </c>
      <c r="P37" s="25" t="n">
        <f aca="false">IFERROR(INDEX('Option Analysis'!$M$6:$M$85,MATCH(32,'Option Analysis'!$AN$6:$AN$85,0)),"")</f>
        <v>22.3</v>
      </c>
      <c r="Q37" s="25" t="n">
        <f aca="false">IFERROR(INDEX('Option Analysis'!$AU$6:$AU$85,MATCH(32,'Option Analysis'!$AN$6:$AN$85,0)),"")</f>
        <v>21.25</v>
      </c>
      <c r="R37" s="9" t="n">
        <f aca="false">IFERROR(INDEX('Option Analysis'!$AV$6:$AV$85,MATCH(32,'Option Analysis'!$AN$6:$AN$85,0)),"")</f>
        <v>6</v>
      </c>
    </row>
    <row r="38" customFormat="false" ht="15" hidden="false" customHeight="false" outlineLevel="0" collapsed="false">
      <c r="A38" s="9" t="n">
        <f aca="false">IF(ISNUMBER(MATCH(33,'Option Analysis'!$AN$6:$AN$85,0)),33,"")</f>
        <v>33</v>
      </c>
      <c r="B38" s="9" t="str">
        <f aca="false">IFERROR(INDEX('Option Analysis'!$A$6:$A$85,MATCH(33,'Option Analysis'!$AN$6:$AN$85,0)),"")</f>
        <v>OPT024</v>
      </c>
      <c r="C38" s="9" t="str">
        <f aca="false">IFERROR(INDEX('Option Analysis'!$B$6:$B$85,MATCH(33,'Option Analysis'!$AN$6:$AN$85,0)),"")</f>
        <v>Cable crew Pink</v>
      </c>
      <c r="D38" s="9" t="str">
        <f aca="false">IFERROR(INDEX('Option Analysis'!$C$6:$C$85,MATCH(33,'Option Analysis'!$AN$6:$AN$85,0)),"")</f>
        <v>Knitwear</v>
      </c>
      <c r="E38" s="9" t="str">
        <f aca="false">IFERROR(INDEX('Option Analysis'!$AC$6:$AC$85,MATCH(33,'Option Analysis'!$AN$6:$AN$85,0)),"")</f>
        <v>Slow and heavy</v>
      </c>
      <c r="F38" s="9" t="str">
        <f aca="false">IFERROR(INDEX('Option Analysis'!$AD$6:$AD$85,MATCH(33,'Option Analysis'!$AN$6:$AN$85,0)),"")</f>
        <v/>
      </c>
      <c r="G38" s="14" t="n">
        <f aca="false">IFERROR(INDEX('Option Analysis'!$AL$6:$AL$85,MATCH(33,'Option Analysis'!$AN$6:$AN$85,0)),"")</f>
        <v>2676.48</v>
      </c>
      <c r="H38" s="14" t="n">
        <f aca="false">IFERROR(INDEX('Option Analysis'!$AK$6:$AK$85,MATCH(33,'Option Analysis'!$AN$6:$AN$85,0)),"")</f>
        <v>0</v>
      </c>
      <c r="I38" s="14" t="n">
        <f aca="false">IFERROR(INDEX('Option Analysis'!$AI$6:$AI$85,MATCH(33,'Option Analysis'!$AN$6:$AN$85,0)),"")</f>
        <v>2676.48</v>
      </c>
      <c r="J38" s="14" t="n">
        <f aca="false">IFERROR(INDEX('Option Analysis'!$AJ$6:$AJ$85,MATCH(33,'Option Analysis'!$AN$6:$AN$85,0)),"")</f>
        <v>2542.656</v>
      </c>
      <c r="K38" s="25" t="n">
        <f aca="false">IFERROR(INDEX('Option Analysis'!$S$6:$S$85,MATCH(33,'Option Analysis'!$AN$6:$AN$85,0)),"")</f>
        <v>9.90990990990991</v>
      </c>
      <c r="L38" s="13" t="n">
        <f aca="false">IFERROR(INDEX('Option Analysis'!$Q$6:$Q$85,MATCH(33,'Option Analysis'!$AN$6:$AN$85,0)),"")</f>
        <v>0.70989010989011</v>
      </c>
      <c r="M38" s="9" t="str">
        <f aca="false">IFERROR(INDEX('Option Analysis'!$AM$6:$AM$85,MATCH(33,'Option Analysis'!$AN$6:$AN$85,0)),"")</f>
        <v>Mark down or re-merchandise</v>
      </c>
      <c r="N38" s="9" t="str">
        <f aca="false">IFERROR(INDEX('Option Analysis'!$AF$6:$AF$85,MATCH(33,'Option Analysis'!$AN$6:$AN$85,0)),"")</f>
        <v>Trading Manager</v>
      </c>
      <c r="O38" s="9" t="str">
        <f aca="false">IF(A38="","",IF(IFERROR(INDEX('Option Analysis'!$AM$6:$AM$85,MATCH(33,'Option Analysis'!$AN$6:$AN$85,0)),"")=IFERROR(INDEX('Option Analysis'!$AE$6:$AE$85,MATCH(33,'Option Analysis'!$AN$6:$AN$85,0)),""),"",IFERROR(INDEX('Option Analysis'!$AE$6:$AE$85,MATCH(33,'Option Analysis'!$AN$6:$AN$85,0)),"")))</f>
        <v/>
      </c>
      <c r="P38" s="25" t="n">
        <f aca="false">IFERROR(INDEX('Option Analysis'!$M$6:$M$85,MATCH(33,'Option Analysis'!$AN$6:$AN$85,0)),"")</f>
        <v>14.8</v>
      </c>
      <c r="Q38" s="25" t="n">
        <f aca="false">IFERROR(INDEX('Option Analysis'!$AU$6:$AU$85,MATCH(33,'Option Analysis'!$AN$6:$AN$85,0)),"")</f>
        <v>14.25</v>
      </c>
      <c r="R38" s="9" t="n">
        <f aca="false">IFERROR(INDEX('Option Analysis'!$AV$6:$AV$85,MATCH(33,'Option Analysis'!$AN$6:$AN$85,0)),"")</f>
        <v>8</v>
      </c>
    </row>
    <row r="39" customFormat="false" ht="15" hidden="false" customHeight="false" outlineLevel="0" collapsed="false">
      <c r="A39" s="9" t="n">
        <f aca="false">IF(ISNUMBER(MATCH(34,'Option Analysis'!$AN$6:$AN$85,0)),34,"")</f>
        <v>34</v>
      </c>
      <c r="B39" s="9" t="str">
        <f aca="false">IFERROR(INDEX('Option Analysis'!$A$6:$A$85,MATCH(34,'Option Analysis'!$AN$6:$AN$85,0)),"")</f>
        <v>OPT055</v>
      </c>
      <c r="C39" s="9" t="str">
        <f aca="false">IFERROR(INDEX('Option Analysis'!$B$6:$B$85,MATCH(34,'Option Analysis'!$AN$6:$AN$85,0)),"")</f>
        <v>Cord trouser Cream</v>
      </c>
      <c r="D39" s="9" t="str">
        <f aca="false">IFERROR(INDEX('Option Analysis'!$C$6:$C$85,MATCH(34,'Option Analysis'!$AN$6:$AN$85,0)),"")</f>
        <v>Trousers</v>
      </c>
      <c r="E39" s="9" t="str">
        <f aca="false">IFERROR(INDEX('Option Analysis'!$AC$6:$AC$85,MATCH(34,'Option Analysis'!$AN$6:$AN$85,0)),"")</f>
        <v>Selling, covered</v>
      </c>
      <c r="F39" s="9" t="str">
        <f aca="false">IFERROR(INDEX('Option Analysis'!$AD$6:$AD$85,MATCH(34,'Option Analysis'!$AN$6:$AN$85,0)),"")</f>
        <v/>
      </c>
      <c r="G39" s="14" t="n">
        <f aca="false">IFERROR(INDEX('Option Analysis'!$AL$6:$AL$85,MATCH(34,'Option Analysis'!$AN$6:$AN$85,0)),"")</f>
        <v>2365.44</v>
      </c>
      <c r="H39" s="14" t="n">
        <f aca="false">IFERROR(INDEX('Option Analysis'!$AK$6:$AK$85,MATCH(34,'Option Analysis'!$AN$6:$AN$85,0)),"")</f>
        <v>0</v>
      </c>
      <c r="I39" s="14" t="n">
        <f aca="false">IFERROR(INDEX('Option Analysis'!$AI$6:$AI$85,MATCH(34,'Option Analysis'!$AN$6:$AN$85,0)),"")</f>
        <v>2365.44</v>
      </c>
      <c r="J39" s="14" t="n">
        <f aca="false">IFERROR(INDEX('Option Analysis'!$AJ$6:$AJ$85,MATCH(34,'Option Analysis'!$AN$6:$AN$85,0)),"")</f>
        <v>2247.168</v>
      </c>
      <c r="K39" s="25" t="n">
        <f aca="false">IFERROR(INDEX('Option Analysis'!$S$6:$S$85,MATCH(34,'Option Analysis'!$AN$6:$AN$85,0)),"")</f>
        <v>7.65239948119326</v>
      </c>
      <c r="L39" s="13" t="n">
        <f aca="false">IFERROR(INDEX('Option Analysis'!$Q$6:$Q$85,MATCH(34,'Option Analysis'!$AN$6:$AN$85,0)),"")</f>
        <v>0.748936170212766</v>
      </c>
      <c r="M39" s="9" t="str">
        <f aca="false">IFERROR(INDEX('Option Analysis'!$AM$6:$AM$85,MATCH(34,'Option Analysis'!$AN$6:$AN$85,0)),"")</f>
        <v>Hold</v>
      </c>
      <c r="N39" s="9" t="str">
        <f aca="false">IFERROR(INDEX('Option Analysis'!$AF$6:$AF$85,MATCH(34,'Option Analysis'!$AN$6:$AN$85,0)),"")</f>
        <v>Merchandiser</v>
      </c>
      <c r="O39" s="9" t="str">
        <f aca="false">IF(A39="","",IF(IFERROR(INDEX('Option Analysis'!$AM$6:$AM$85,MATCH(34,'Option Analysis'!$AN$6:$AN$85,0)),"")=IFERROR(INDEX('Option Analysis'!$AE$6:$AE$85,MATCH(34,'Option Analysis'!$AN$6:$AN$85,0)),""),"",IFERROR(INDEX('Option Analysis'!$AE$6:$AE$85,MATCH(34,'Option Analysis'!$AN$6:$AN$85,0)),"")))</f>
        <v/>
      </c>
      <c r="P39" s="25" t="n">
        <f aca="false">IFERROR(INDEX('Option Analysis'!$M$6:$M$85,MATCH(34,'Option Analysis'!$AN$6:$AN$85,0)),"")</f>
        <v>25.7</v>
      </c>
      <c r="Q39" s="25" t="n">
        <f aca="false">IFERROR(INDEX('Option Analysis'!$AU$6:$AU$85,MATCH(34,'Option Analysis'!$AN$6:$AN$85,0)),"")</f>
        <v>24.5</v>
      </c>
      <c r="R39" s="9" t="n">
        <f aca="false">IFERROR(INDEX('Option Analysis'!$AV$6:$AV$85,MATCH(34,'Option Analysis'!$AN$6:$AN$85,0)),"")</f>
        <v>1</v>
      </c>
    </row>
    <row r="40" customFormat="false" ht="15" hidden="false" customHeight="false" outlineLevel="0" collapsed="false">
      <c r="A40" s="9" t="n">
        <f aca="false">IF(ISNUMBER(MATCH(35,'Option Analysis'!$AN$6:$AN$85,0)),35,"")</f>
        <v>35</v>
      </c>
      <c r="B40" s="9" t="str">
        <f aca="false">IFERROR(INDEX('Option Analysis'!$A$6:$A$85,MATCH(35,'Option Analysis'!$AN$6:$AN$85,0)),"")</f>
        <v>OPT058</v>
      </c>
      <c r="C40" s="9" t="str">
        <f aca="false">IFERROR(INDEX('Option Analysis'!$B$6:$B$85,MATCH(35,'Option Analysis'!$AN$6:$AN$85,0)),"")</f>
        <v>Regular chino Sand</v>
      </c>
      <c r="D40" s="9" t="str">
        <f aca="false">IFERROR(INDEX('Option Analysis'!$C$6:$C$85,MATCH(35,'Option Analysis'!$AN$6:$AN$85,0)),"")</f>
        <v>Trousers</v>
      </c>
      <c r="E40" s="9" t="str">
        <f aca="false">IFERROR(INDEX('Option Analysis'!$AC$6:$AC$85,MATCH(35,'Option Analysis'!$AN$6:$AN$85,0)),"")</f>
        <v>Selling, covered</v>
      </c>
      <c r="F40" s="9" t="str">
        <f aca="false">IFERROR(INDEX('Option Analysis'!$AD$6:$AD$85,MATCH(35,'Option Analysis'!$AN$6:$AN$85,0)),"")</f>
        <v/>
      </c>
      <c r="G40" s="14" t="n">
        <f aca="false">IFERROR(INDEX('Option Analysis'!$AL$6:$AL$85,MATCH(35,'Option Analysis'!$AN$6:$AN$85,0)),"")</f>
        <v>1929.2</v>
      </c>
      <c r="H40" s="14" t="n">
        <f aca="false">IFERROR(INDEX('Option Analysis'!$AK$6:$AK$85,MATCH(35,'Option Analysis'!$AN$6:$AN$85,0)),"")</f>
        <v>0</v>
      </c>
      <c r="I40" s="14" t="n">
        <f aca="false">IFERROR(INDEX('Option Analysis'!$AI$6:$AI$85,MATCH(35,'Option Analysis'!$AN$6:$AN$85,0)),"")</f>
        <v>1929.2</v>
      </c>
      <c r="J40" s="14" t="n">
        <f aca="false">IFERROR(INDEX('Option Analysis'!$AJ$6:$AJ$85,MATCH(35,'Option Analysis'!$AN$6:$AN$85,0)),"")</f>
        <v>1832.74</v>
      </c>
      <c r="K40" s="25" t="n">
        <f aca="false">IFERROR(INDEX('Option Analysis'!$S$6:$S$85,MATCH(35,'Option Analysis'!$AN$6:$AN$85,0)),"")</f>
        <v>7.58454106280193</v>
      </c>
      <c r="L40" s="13" t="n">
        <f aca="false">IFERROR(INDEX('Option Analysis'!$Q$6:$Q$85,MATCH(35,'Option Analysis'!$AN$6:$AN$85,0)),"")</f>
        <v>0.745542949756888</v>
      </c>
      <c r="M40" s="9" t="str">
        <f aca="false">IFERROR(INDEX('Option Analysis'!$AM$6:$AM$85,MATCH(35,'Option Analysis'!$AN$6:$AN$85,0)),"")</f>
        <v>Hold</v>
      </c>
      <c r="N40" s="9" t="str">
        <f aca="false">IFERROR(INDEX('Option Analysis'!$AF$6:$AF$85,MATCH(35,'Option Analysis'!$AN$6:$AN$85,0)),"")</f>
        <v>Merchandiser</v>
      </c>
      <c r="O40" s="9" t="str">
        <f aca="false">IF(A40="","",IF(IFERROR(INDEX('Option Analysis'!$AM$6:$AM$85,MATCH(35,'Option Analysis'!$AN$6:$AN$85,0)),"")=IFERROR(INDEX('Option Analysis'!$AE$6:$AE$85,MATCH(35,'Option Analysis'!$AN$6:$AN$85,0)),""),"",IFERROR(INDEX('Option Analysis'!$AE$6:$AE$85,MATCH(35,'Option Analysis'!$AN$6:$AN$85,0)),"")))</f>
        <v/>
      </c>
      <c r="P40" s="25" t="n">
        <f aca="false">IFERROR(INDEX('Option Analysis'!$M$6:$M$85,MATCH(35,'Option Analysis'!$AN$6:$AN$85,0)),"")</f>
        <v>23</v>
      </c>
      <c r="Q40" s="25" t="n">
        <f aca="false">IFERROR(INDEX('Option Analysis'!$AU$6:$AU$85,MATCH(35,'Option Analysis'!$AN$6:$AN$85,0)),"")</f>
        <v>21.75</v>
      </c>
      <c r="R40" s="9" t="n">
        <f aca="false">IFERROR(INDEX('Option Analysis'!$AV$6:$AV$85,MATCH(35,'Option Analysis'!$AN$6:$AN$85,0)),"")</f>
        <v>5</v>
      </c>
    </row>
    <row r="41" customFormat="false" ht="15" hidden="false" customHeight="false" outlineLevel="0" collapsed="false">
      <c r="A41" s="9" t="n">
        <f aca="false">IF(ISNUMBER(MATCH(36,'Option Analysis'!$AN$6:$AN$85,0)),36,"")</f>
        <v>36</v>
      </c>
      <c r="B41" s="9" t="str">
        <f aca="false">IFERROR(INDEX('Option Analysis'!$A$6:$A$85,MATCH(36,'Option Analysis'!$AN$6:$AN$85,0)),"")</f>
        <v>OPT042</v>
      </c>
      <c r="C41" s="9" t="str">
        <f aca="false">IFERROR(INDEX('Option Analysis'!$B$6:$B$85,MATCH(36,'Option Analysis'!$AN$6:$AN$85,0)),"")</f>
        <v>Check overshirt Burgundy</v>
      </c>
      <c r="D41" s="9" t="str">
        <f aca="false">IFERROR(INDEX('Option Analysis'!$C$6:$C$85,MATCH(36,'Option Analysis'!$AN$6:$AN$85,0)),"")</f>
        <v>Shirts</v>
      </c>
      <c r="E41" s="9" t="str">
        <f aca="false">IFERROR(INDEX('Option Analysis'!$AC$6:$AC$85,MATCH(36,'Option Analysis'!$AN$6:$AN$85,0)),"")</f>
        <v>Slow and heavy</v>
      </c>
      <c r="F41" s="9" t="str">
        <f aca="false">IFERROR(INDEX('Option Analysis'!$AD$6:$AD$85,MATCH(36,'Option Analysis'!$AN$6:$AN$85,0)),"")</f>
        <v/>
      </c>
      <c r="G41" s="14" t="n">
        <f aca="false">IFERROR(INDEX('Option Analysis'!$AL$6:$AL$85,MATCH(36,'Option Analysis'!$AN$6:$AN$85,0)),"")</f>
        <v>1873.52</v>
      </c>
      <c r="H41" s="14" t="n">
        <f aca="false">IFERROR(INDEX('Option Analysis'!$AK$6:$AK$85,MATCH(36,'Option Analysis'!$AN$6:$AN$85,0)),"")</f>
        <v>0</v>
      </c>
      <c r="I41" s="14" t="n">
        <f aca="false">IFERROR(INDEX('Option Analysis'!$AI$6:$AI$85,MATCH(36,'Option Analysis'!$AN$6:$AN$85,0)),"")</f>
        <v>1873.52</v>
      </c>
      <c r="J41" s="14" t="n">
        <f aca="false">IFERROR(INDEX('Option Analysis'!$AJ$6:$AJ$85,MATCH(36,'Option Analysis'!$AN$6:$AN$85,0)),"")</f>
        <v>1779.844</v>
      </c>
      <c r="K41" s="25" t="n">
        <f aca="false">IFERROR(INDEX('Option Analysis'!$S$6:$S$85,MATCH(36,'Option Analysis'!$AN$6:$AN$85,0)),"")</f>
        <v>10.570987654321</v>
      </c>
      <c r="L41" s="13" t="n">
        <f aca="false">IFERROR(INDEX('Option Analysis'!$Q$6:$Q$85,MATCH(36,'Option Analysis'!$AN$6:$AN$85,0)),"")</f>
        <v>0.684331797235023</v>
      </c>
      <c r="M41" s="9" t="str">
        <f aca="false">IFERROR(INDEX('Option Analysis'!$AM$6:$AM$85,MATCH(36,'Option Analysis'!$AN$6:$AN$85,0)),"")</f>
        <v>Mark down or re-merchandise</v>
      </c>
      <c r="N41" s="9" t="str">
        <f aca="false">IFERROR(INDEX('Option Analysis'!$AF$6:$AF$85,MATCH(36,'Option Analysis'!$AN$6:$AN$85,0)),"")</f>
        <v>Trading Manager</v>
      </c>
      <c r="O41" s="9" t="str">
        <f aca="false">IF(A41="","",IF(IFERROR(INDEX('Option Analysis'!$AM$6:$AM$85,MATCH(36,'Option Analysis'!$AN$6:$AN$85,0)),"")=IFERROR(INDEX('Option Analysis'!$AE$6:$AE$85,MATCH(36,'Option Analysis'!$AN$6:$AN$85,0)),""),"",IFERROR(INDEX('Option Analysis'!$AE$6:$AE$85,MATCH(36,'Option Analysis'!$AN$6:$AN$85,0)),"")))</f>
        <v/>
      </c>
      <c r="P41" s="25" t="n">
        <f aca="false">IFERROR(INDEX('Option Analysis'!$M$6:$M$85,MATCH(36,'Option Analysis'!$AN$6:$AN$85,0)),"")</f>
        <v>14.4</v>
      </c>
      <c r="Q41" s="25" t="n">
        <f aca="false">IFERROR(INDEX('Option Analysis'!$AU$6:$AU$85,MATCH(36,'Option Analysis'!$AN$6:$AN$85,0)),"")</f>
        <v>13.75</v>
      </c>
      <c r="R41" s="9" t="n">
        <f aca="false">IFERROR(INDEX('Option Analysis'!$AV$6:$AV$85,MATCH(36,'Option Analysis'!$AN$6:$AN$85,0)),"")</f>
        <v>9</v>
      </c>
    </row>
    <row r="42" customFormat="false" ht="15" hidden="false" customHeight="false" outlineLevel="0" collapsed="false">
      <c r="A42" s="9" t="n">
        <f aca="false">IF(ISNUMBER(MATCH(37,'Option Analysis'!$AN$6:$AN$85,0)),37,"")</f>
        <v>37</v>
      </c>
      <c r="B42" s="9" t="str">
        <f aca="false">IFERROR(INDEX('Option Analysis'!$A$6:$A$85,MATCH(37,'Option Analysis'!$AN$6:$AN$85,0)),"")</f>
        <v>OPT047</v>
      </c>
      <c r="C42" s="9" t="str">
        <f aca="false">IFERROR(INDEX('Option Analysis'!$B$6:$B$85,MATCH(37,'Option Analysis'!$AN$6:$AN$85,0)),"")</f>
        <v>Cord trouser Cobalt</v>
      </c>
      <c r="D42" s="9" t="str">
        <f aca="false">IFERROR(INDEX('Option Analysis'!$C$6:$C$85,MATCH(37,'Option Analysis'!$AN$6:$AN$85,0)),"")</f>
        <v>Trousers</v>
      </c>
      <c r="E42" s="9" t="str">
        <f aca="false">IFERROR(INDEX('Option Analysis'!$AC$6:$AC$85,MATCH(37,'Option Analysis'!$AN$6:$AN$85,0)),"")</f>
        <v>Slow and heavy</v>
      </c>
      <c r="F42" s="9" t="str">
        <f aca="false">IFERROR(INDEX('Option Analysis'!$AD$6:$AD$85,MATCH(37,'Option Analysis'!$AN$6:$AN$85,0)),"")</f>
        <v/>
      </c>
      <c r="G42" s="14" t="n">
        <f aca="false">IFERROR(INDEX('Option Analysis'!$AL$6:$AL$85,MATCH(37,'Option Analysis'!$AN$6:$AN$85,0)),"")</f>
        <v>1714.96</v>
      </c>
      <c r="H42" s="14" t="n">
        <f aca="false">IFERROR(INDEX('Option Analysis'!$AK$6:$AK$85,MATCH(37,'Option Analysis'!$AN$6:$AN$85,0)),"")</f>
        <v>0</v>
      </c>
      <c r="I42" s="14" t="n">
        <f aca="false">IFERROR(INDEX('Option Analysis'!$AI$6:$AI$85,MATCH(37,'Option Analysis'!$AN$6:$AN$85,0)),"")</f>
        <v>1714.96</v>
      </c>
      <c r="J42" s="14" t="n">
        <f aca="false">IFERROR(INDEX('Option Analysis'!$AJ$6:$AJ$85,MATCH(37,'Option Analysis'!$AN$6:$AN$85,0)),"")</f>
        <v>1629.212</v>
      </c>
      <c r="K42" s="25" t="n">
        <f aca="false">IFERROR(INDEX('Option Analysis'!$S$6:$S$85,MATCH(37,'Option Analysis'!$AN$6:$AN$85,0)),"")</f>
        <v>10.4288499025341</v>
      </c>
      <c r="L42" s="13" t="n">
        <f aca="false">IFERROR(INDEX('Option Analysis'!$Q$6:$Q$85,MATCH(37,'Option Analysis'!$AN$6:$AN$85,0)),"")</f>
        <v>0.706849315068493</v>
      </c>
      <c r="M42" s="9" t="str">
        <f aca="false">IFERROR(INDEX('Option Analysis'!$AM$6:$AM$85,MATCH(37,'Option Analysis'!$AN$6:$AN$85,0)),"")</f>
        <v>Mark down or re-merchandise</v>
      </c>
      <c r="N42" s="9" t="str">
        <f aca="false">IFERROR(INDEX('Option Analysis'!$AF$6:$AF$85,MATCH(37,'Option Analysis'!$AN$6:$AN$85,0)),"")</f>
        <v>Trading Manager</v>
      </c>
      <c r="O42" s="9" t="str">
        <f aca="false">IF(A42="","",IF(IFERROR(INDEX('Option Analysis'!$AM$6:$AM$85,MATCH(37,'Option Analysis'!$AN$6:$AN$85,0)),"")=IFERROR(INDEX('Option Analysis'!$AE$6:$AE$85,MATCH(37,'Option Analysis'!$AN$6:$AN$85,0)),""),"",IFERROR(INDEX('Option Analysis'!$AE$6:$AE$85,MATCH(37,'Option Analysis'!$AN$6:$AN$85,0)),"")))</f>
        <v/>
      </c>
      <c r="P42" s="25" t="n">
        <f aca="false">IFERROR(INDEX('Option Analysis'!$M$6:$M$85,MATCH(37,'Option Analysis'!$AN$6:$AN$85,0)),"")</f>
        <v>11.4</v>
      </c>
      <c r="Q42" s="25" t="n">
        <f aca="false">IFERROR(INDEX('Option Analysis'!$AU$6:$AU$85,MATCH(37,'Option Analysis'!$AN$6:$AN$85,0)),"")</f>
        <v>11</v>
      </c>
      <c r="R42" s="9" t="n">
        <f aca="false">IFERROR(INDEX('Option Analysis'!$AV$6:$AV$85,MATCH(37,'Option Analysis'!$AN$6:$AN$85,0)),"")</f>
        <v>9</v>
      </c>
    </row>
    <row r="43" customFormat="false" ht="15" hidden="false" customHeight="false" outlineLevel="0" collapsed="false">
      <c r="A43" s="9" t="n">
        <f aca="false">IF(ISNUMBER(MATCH(38,'Option Analysis'!$AN$6:$AN$85,0)),38,"")</f>
        <v>38</v>
      </c>
      <c r="B43" s="9" t="str">
        <f aca="false">IFERROR(INDEX('Option Analysis'!$A$6:$A$85,MATCH(38,'Option Analysis'!$AN$6:$AN$85,0)),"")</f>
        <v>OPT033</v>
      </c>
      <c r="C43" s="9" t="str">
        <f aca="false">IFERROR(INDEX('Option Analysis'!$B$6:$B$85,MATCH(38,'Option Analysis'!$AN$6:$AN$85,0)),"")</f>
        <v>Oxford shirt Teal</v>
      </c>
      <c r="D43" s="9" t="str">
        <f aca="false">IFERROR(INDEX('Option Analysis'!$C$6:$C$85,MATCH(38,'Option Analysis'!$AN$6:$AN$85,0)),"")</f>
        <v>Shirts</v>
      </c>
      <c r="E43" s="9" t="str">
        <f aca="false">IFERROR(INDEX('Option Analysis'!$AC$6:$AC$85,MATCH(38,'Option Analysis'!$AN$6:$AN$85,0)),"")</f>
        <v>Selling, covered</v>
      </c>
      <c r="F43" s="9" t="str">
        <f aca="false">IFERROR(INDEX('Option Analysis'!$AD$6:$AD$85,MATCH(38,'Option Analysis'!$AN$6:$AN$85,0)),"")</f>
        <v/>
      </c>
      <c r="G43" s="14" t="n">
        <f aca="false">IFERROR(INDEX('Option Analysis'!$AL$6:$AL$85,MATCH(38,'Option Analysis'!$AN$6:$AN$85,0)),"")</f>
        <v>1420.8</v>
      </c>
      <c r="H43" s="14" t="n">
        <f aca="false">IFERROR(INDEX('Option Analysis'!$AK$6:$AK$85,MATCH(38,'Option Analysis'!$AN$6:$AN$85,0)),"")</f>
        <v>0</v>
      </c>
      <c r="I43" s="14" t="n">
        <f aca="false">IFERROR(INDEX('Option Analysis'!$AI$6:$AI$85,MATCH(38,'Option Analysis'!$AN$6:$AN$85,0)),"")</f>
        <v>1420.8</v>
      </c>
      <c r="J43" s="14" t="n">
        <f aca="false">IFERROR(INDEX('Option Analysis'!$AJ$6:$AJ$85,MATCH(38,'Option Analysis'!$AN$6:$AN$85,0)),"")</f>
        <v>1349.76</v>
      </c>
      <c r="K43" s="25" t="n">
        <f aca="false">IFERROR(INDEX('Option Analysis'!$S$6:$S$85,MATCH(38,'Option Analysis'!$AN$6:$AN$85,0)),"")</f>
        <v>7.20867208672087</v>
      </c>
      <c r="L43" s="13" t="n">
        <f aca="false">IFERROR(INDEX('Option Analysis'!$Q$6:$Q$85,MATCH(38,'Option Analysis'!$AN$6:$AN$85,0)),"")</f>
        <v>0.773424190800682</v>
      </c>
      <c r="M43" s="9" t="str">
        <f aca="false">IFERROR(INDEX('Option Analysis'!$AM$6:$AM$85,MATCH(38,'Option Analysis'!$AN$6:$AN$85,0)),"")</f>
        <v>Hold</v>
      </c>
      <c r="N43" s="9" t="str">
        <f aca="false">IFERROR(INDEX('Option Analysis'!$AF$6:$AF$85,MATCH(38,'Option Analysis'!$AN$6:$AN$85,0)),"")</f>
        <v>Merchandiser</v>
      </c>
      <c r="O43" s="9" t="str">
        <f aca="false">IF(A43="","",IF(IFERROR(INDEX('Option Analysis'!$AM$6:$AM$85,MATCH(38,'Option Analysis'!$AN$6:$AN$85,0)),"")=IFERROR(INDEX('Option Analysis'!$AE$6:$AE$85,MATCH(38,'Option Analysis'!$AN$6:$AN$85,0)),""),"",IFERROR(INDEX('Option Analysis'!$AE$6:$AE$85,MATCH(38,'Option Analysis'!$AN$6:$AN$85,0)),"")))</f>
        <v/>
      </c>
      <c r="P43" s="25" t="n">
        <f aca="false">IFERROR(INDEX('Option Analysis'!$M$6:$M$85,MATCH(38,'Option Analysis'!$AN$6:$AN$85,0)),"")</f>
        <v>20.5</v>
      </c>
      <c r="Q43" s="25" t="n">
        <f aca="false">IFERROR(INDEX('Option Analysis'!$AU$6:$AU$85,MATCH(38,'Option Analysis'!$AN$6:$AN$85,0)),"")</f>
        <v>20.25</v>
      </c>
      <c r="R43" s="9" t="n">
        <f aca="false">IFERROR(INDEX('Option Analysis'!$AV$6:$AV$85,MATCH(38,'Option Analysis'!$AN$6:$AN$85,0)),"")</f>
        <v>3</v>
      </c>
    </row>
    <row r="44" customFormat="false" ht="15" hidden="false" customHeight="false" outlineLevel="0" collapsed="false">
      <c r="A44" s="9" t="n">
        <f aca="false">IF(ISNUMBER(MATCH(39,'Option Analysis'!$AN$6:$AN$85,0)),39,"")</f>
        <v>39</v>
      </c>
      <c r="B44" s="9" t="str">
        <f aca="false">IFERROR(INDEX('Option Analysis'!$A$6:$A$85,MATCH(39,'Option Analysis'!$AN$6:$AN$85,0)),"")</f>
        <v>OPT060</v>
      </c>
      <c r="C44" s="9" t="str">
        <f aca="false">IFERROR(INDEX('Option Analysis'!$B$6:$B$85,MATCH(39,'Option Analysis'!$AN$6:$AN$85,0)),"")</f>
        <v>Regular chino Mustard</v>
      </c>
      <c r="D44" s="9" t="str">
        <f aca="false">IFERROR(INDEX('Option Analysis'!$C$6:$C$85,MATCH(39,'Option Analysis'!$AN$6:$AN$85,0)),"")</f>
        <v>Trousers</v>
      </c>
      <c r="E44" s="9" t="str">
        <f aca="false">IFERROR(INDEX('Option Analysis'!$AC$6:$AC$85,MATCH(39,'Option Analysis'!$AN$6:$AN$85,0)),"")</f>
        <v>Selling, covered</v>
      </c>
      <c r="F44" s="9" t="str">
        <f aca="false">IFERROR(INDEX('Option Analysis'!$AD$6:$AD$85,MATCH(39,'Option Analysis'!$AN$6:$AN$85,0)),"")</f>
        <v/>
      </c>
      <c r="G44" s="14" t="n">
        <f aca="false">IFERROR(INDEX('Option Analysis'!$AL$6:$AL$85,MATCH(39,'Option Analysis'!$AN$6:$AN$85,0)),"")</f>
        <v>1223.04</v>
      </c>
      <c r="H44" s="14" t="n">
        <f aca="false">IFERROR(INDEX('Option Analysis'!$AK$6:$AK$85,MATCH(39,'Option Analysis'!$AN$6:$AN$85,0)),"")</f>
        <v>0</v>
      </c>
      <c r="I44" s="14" t="n">
        <f aca="false">IFERROR(INDEX('Option Analysis'!$AI$6:$AI$85,MATCH(39,'Option Analysis'!$AN$6:$AN$85,0)),"")</f>
        <v>1223.04</v>
      </c>
      <c r="J44" s="14" t="n">
        <f aca="false">IFERROR(INDEX('Option Analysis'!$AJ$6:$AJ$85,MATCH(39,'Option Analysis'!$AN$6:$AN$85,0)),"")</f>
        <v>1161.888</v>
      </c>
      <c r="K44" s="25" t="n">
        <f aca="false">IFERROR(INDEX('Option Analysis'!$S$6:$S$85,MATCH(39,'Option Analysis'!$AN$6:$AN$85,0)),"")</f>
        <v>7.84313725490196</v>
      </c>
      <c r="L44" s="13" t="n">
        <f aca="false">IFERROR(INDEX('Option Analysis'!$Q$6:$Q$85,MATCH(39,'Option Analysis'!$AN$6:$AN$85,0)),"")</f>
        <v>0.744</v>
      </c>
      <c r="M44" s="9" t="str">
        <f aca="false">IFERROR(INDEX('Option Analysis'!$AM$6:$AM$85,MATCH(39,'Option Analysis'!$AN$6:$AN$85,0)),"")</f>
        <v>Hold</v>
      </c>
      <c r="N44" s="9" t="str">
        <f aca="false">IFERROR(INDEX('Option Analysis'!$AF$6:$AF$85,MATCH(39,'Option Analysis'!$AN$6:$AN$85,0)),"")</f>
        <v>Merchandiser</v>
      </c>
      <c r="O44" s="9" t="str">
        <f aca="false">IF(A44="","",IF(IFERROR(INDEX('Option Analysis'!$AM$6:$AM$85,MATCH(39,'Option Analysis'!$AN$6:$AN$85,0)),"")=IFERROR(INDEX('Option Analysis'!$AE$6:$AE$85,MATCH(39,'Option Analysis'!$AN$6:$AN$85,0)),""),"",IFERROR(INDEX('Option Analysis'!$AE$6:$AE$85,MATCH(39,'Option Analysis'!$AN$6:$AN$85,0)),"")))</f>
        <v/>
      </c>
      <c r="P44" s="25" t="n">
        <f aca="false">IFERROR(INDEX('Option Analysis'!$M$6:$M$85,MATCH(39,'Option Analysis'!$AN$6:$AN$85,0)),"")</f>
        <v>13.6</v>
      </c>
      <c r="Q44" s="25" t="n">
        <f aca="false">IFERROR(INDEX('Option Analysis'!$AU$6:$AU$85,MATCH(39,'Option Analysis'!$AN$6:$AN$85,0)),"")</f>
        <v>13.25</v>
      </c>
      <c r="R44" s="9" t="n">
        <f aca="false">IFERROR(INDEX('Option Analysis'!$AV$6:$AV$85,MATCH(39,'Option Analysis'!$AN$6:$AN$85,0)),"")</f>
        <v>7</v>
      </c>
    </row>
    <row r="45" customFormat="false" ht="15" hidden="false" customHeight="false" outlineLevel="0" collapsed="false">
      <c r="A45" s="9" t="n">
        <f aca="false">IF(ISNUMBER(MATCH(40,'Option Analysis'!$AN$6:$AN$85,0)),40,"")</f>
        <v>40</v>
      </c>
      <c r="B45" s="9" t="str">
        <f aca="false">IFERROR(INDEX('Option Analysis'!$A$6:$A$85,MATCH(40,'Option Analysis'!$AN$6:$AN$85,0)),"")</f>
        <v>OPT045</v>
      </c>
      <c r="C45" s="9" t="str">
        <f aca="false">IFERROR(INDEX('Option Analysis'!$B$6:$B$85,MATCH(40,'Option Analysis'!$AN$6:$AN$85,0)),"")</f>
        <v>Button-down shirt Black</v>
      </c>
      <c r="D45" s="9" t="str">
        <f aca="false">IFERROR(INDEX('Option Analysis'!$C$6:$C$85,MATCH(40,'Option Analysis'!$AN$6:$AN$85,0)),"")</f>
        <v>Shirts</v>
      </c>
      <c r="E45" s="9" t="str">
        <f aca="false">IFERROR(INDEX('Option Analysis'!$AC$6:$AC$85,MATCH(40,'Option Analysis'!$AN$6:$AN$85,0)),"")</f>
        <v>Selling and short</v>
      </c>
      <c r="F45" s="9" t="str">
        <f aca="false">IFERROR(INDEX('Option Analysis'!$AD$6:$AD$85,MATCH(40,'Option Analysis'!$AN$6:$AN$85,0)),"")</f>
        <v>Broken curve.</v>
      </c>
      <c r="G45" s="14" t="n">
        <f aca="false">IFERROR(INDEX('Option Analysis'!$AL$6:$AL$85,MATCH(40,'Option Analysis'!$AN$6:$AN$85,0)),"")</f>
        <v>896</v>
      </c>
      <c r="H45" s="14" t="n">
        <f aca="false">IFERROR(INDEX('Option Analysis'!$AK$6:$AK$85,MATCH(40,'Option Analysis'!$AN$6:$AN$85,0)),"")</f>
        <v>896</v>
      </c>
      <c r="I45" s="14" t="n">
        <f aca="false">IFERROR(INDEX('Option Analysis'!$AI$6:$AI$85,MATCH(40,'Option Analysis'!$AN$6:$AN$85,0)),"")</f>
        <v>0</v>
      </c>
      <c r="J45" s="14" t="n">
        <f aca="false">IFERROR(INDEX('Option Analysis'!$AJ$6:$AJ$85,MATCH(40,'Option Analysis'!$AN$6:$AN$85,0)),"")</f>
        <v>0</v>
      </c>
      <c r="K45" s="25" t="n">
        <f aca="false">IFERROR(INDEX('Option Analysis'!$S$6:$S$85,MATCH(40,'Option Analysis'!$AN$6:$AN$85,0)),"")</f>
        <v>2.58525852585259</v>
      </c>
      <c r="L45" s="13" t="n">
        <f aca="false">IFERROR(INDEX('Option Analysis'!$Q$6:$Q$85,MATCH(40,'Option Analysis'!$AN$6:$AN$85,0)),"")</f>
        <v>0.908203125</v>
      </c>
      <c r="M45" s="9" t="str">
        <f aca="false">IFERROR(INDEX('Option Analysis'!$AM$6:$AM$85,MATCH(40,'Option Analysis'!$AN$6:$AN$85,0)),"")</f>
        <v>Reorder core sizes, or transfer them in</v>
      </c>
      <c r="N45" s="9" t="str">
        <f aca="false">IFERROR(INDEX('Option Analysis'!$AF$6:$AF$85,MATCH(40,'Option Analysis'!$AN$6:$AN$85,0)),"")</f>
        <v>Merchandiser</v>
      </c>
      <c r="O45" s="9" t="str">
        <f aca="false">IF(A45="","",IF(IFERROR(INDEX('Option Analysis'!$AM$6:$AM$85,MATCH(40,'Option Analysis'!$AN$6:$AN$85,0)),"")=IFERROR(INDEX('Option Analysis'!$AE$6:$AE$85,MATCH(40,'Option Analysis'!$AN$6:$AN$85,0)),""),"",IFERROR(INDEX('Option Analysis'!$AE$6:$AE$85,MATCH(40,'Option Analysis'!$AN$6:$AN$85,0)),"")))</f>
        <v/>
      </c>
      <c r="P45" s="25" t="n">
        <f aca="false">IFERROR(INDEX('Option Analysis'!$M$6:$M$85,MATCH(40,'Option Analysis'!$AN$6:$AN$85,0)),"")</f>
        <v>20.2</v>
      </c>
      <c r="Q45" s="25" t="n">
        <f aca="false">IFERROR(INDEX('Option Analysis'!$AU$6:$AU$85,MATCH(40,'Option Analysis'!$AN$6:$AN$85,0)),"")</f>
        <v>25.5681818181818</v>
      </c>
      <c r="R45" s="9" t="n">
        <f aca="false">IFERROR(INDEX('Option Analysis'!$AV$6:$AV$85,MATCH(40,'Option Analysis'!$AN$6:$AN$85,0)),"")</f>
        <v>4</v>
      </c>
    </row>
    <row r="46" customFormat="false" ht="15" hidden="false" customHeight="false" outlineLevel="0" collapsed="false">
      <c r="A46" s="9" t="n">
        <f aca="false">IF(ISNUMBER(MATCH(41,'Option Analysis'!$AN$6:$AN$85,0)),41,"")</f>
        <v>41</v>
      </c>
      <c r="B46" s="9" t="str">
        <f aca="false">IFERROR(INDEX('Option Analysis'!$A$6:$A$85,MATCH(41,'Option Analysis'!$AN$6:$AN$85,0)),"")</f>
        <v>OPT048</v>
      </c>
      <c r="C46" s="9" t="str">
        <f aca="false">IFERROR(INDEX('Option Analysis'!$B$6:$B$85,MATCH(41,'Option Analysis'!$AN$6:$AN$85,0)),"")</f>
        <v>Slim chino Tan</v>
      </c>
      <c r="D46" s="9" t="str">
        <f aca="false">IFERROR(INDEX('Option Analysis'!$C$6:$C$85,MATCH(41,'Option Analysis'!$AN$6:$AN$85,0)),"")</f>
        <v>Trousers</v>
      </c>
      <c r="E46" s="9" t="str">
        <f aca="false">IFERROR(INDEX('Option Analysis'!$AC$6:$AC$85,MATCH(41,'Option Analysis'!$AN$6:$AN$85,0)),"")</f>
        <v>Selling, covered</v>
      </c>
      <c r="F46" s="9" t="str">
        <f aca="false">IFERROR(INDEX('Option Analysis'!$AD$6:$AD$85,MATCH(41,'Option Analysis'!$AN$6:$AN$85,0)),"")</f>
        <v/>
      </c>
      <c r="G46" s="14" t="n">
        <f aca="false">IFERROR(INDEX('Option Analysis'!$AL$6:$AL$85,MATCH(41,'Option Analysis'!$AN$6:$AN$85,0)),"")</f>
        <v>895.44</v>
      </c>
      <c r="H46" s="14" t="n">
        <f aca="false">IFERROR(INDEX('Option Analysis'!$AK$6:$AK$85,MATCH(41,'Option Analysis'!$AN$6:$AN$85,0)),"")</f>
        <v>0</v>
      </c>
      <c r="I46" s="14" t="n">
        <f aca="false">IFERROR(INDEX('Option Analysis'!$AI$6:$AI$85,MATCH(41,'Option Analysis'!$AN$6:$AN$85,0)),"")</f>
        <v>895.44</v>
      </c>
      <c r="J46" s="14" t="n">
        <f aca="false">IFERROR(INDEX('Option Analysis'!$AJ$6:$AJ$85,MATCH(41,'Option Analysis'!$AN$6:$AN$85,0)),"")</f>
        <v>850.668</v>
      </c>
      <c r="K46" s="25" t="n">
        <f aca="false">IFERROR(INDEX('Option Analysis'!$S$6:$S$85,MATCH(41,'Option Analysis'!$AN$6:$AN$85,0)),"")</f>
        <v>7.98611111111111</v>
      </c>
      <c r="L46" s="13" t="n">
        <f aca="false">IFERROR(INDEX('Option Analysis'!$Q$6:$Q$85,MATCH(41,'Option Analysis'!$AN$6:$AN$85,0)),"")</f>
        <v>0.731517509727626</v>
      </c>
      <c r="M46" s="9" t="str">
        <f aca="false">IFERROR(INDEX('Option Analysis'!$AM$6:$AM$85,MATCH(41,'Option Analysis'!$AN$6:$AN$85,0)),"")</f>
        <v>Hold</v>
      </c>
      <c r="N46" s="9" t="str">
        <f aca="false">IFERROR(INDEX('Option Analysis'!$AF$6:$AF$85,MATCH(41,'Option Analysis'!$AN$6:$AN$85,0)),"")</f>
        <v>Merchandiser</v>
      </c>
      <c r="O46" s="9" t="str">
        <f aca="false">IF(A46="","",IF(IFERROR(INDEX('Option Analysis'!$AM$6:$AM$85,MATCH(41,'Option Analysis'!$AN$6:$AN$85,0)),"")=IFERROR(INDEX('Option Analysis'!$AE$6:$AE$85,MATCH(41,'Option Analysis'!$AN$6:$AN$85,0)),""),"",IFERROR(INDEX('Option Analysis'!$AE$6:$AE$85,MATCH(41,'Option Analysis'!$AN$6:$AN$85,0)),"")))</f>
        <v/>
      </c>
      <c r="P46" s="25" t="n">
        <f aca="false">IFERROR(INDEX('Option Analysis'!$M$6:$M$85,MATCH(41,'Option Analysis'!$AN$6:$AN$85,0)),"")</f>
        <v>9.6</v>
      </c>
      <c r="Q46" s="25" t="n">
        <f aca="false">IFERROR(INDEX('Option Analysis'!$AU$6:$AU$85,MATCH(41,'Option Analysis'!$AN$6:$AN$85,0)),"")</f>
        <v>9</v>
      </c>
      <c r="R46" s="9" t="n">
        <f aca="false">IFERROR(INDEX('Option Analysis'!$AV$6:$AV$85,MATCH(41,'Option Analysis'!$AN$6:$AN$85,0)),"")</f>
        <v>11</v>
      </c>
    </row>
    <row r="47" customFormat="false" ht="15" hidden="false" customHeight="false" outlineLevel="0" collapsed="false">
      <c r="A47" s="9" t="n">
        <f aca="false">IF(ISNUMBER(MATCH(42,'Option Analysis'!$AN$6:$AN$85,0)),42,"")</f>
        <v>42</v>
      </c>
      <c r="B47" s="9" t="str">
        <f aca="false">IFERROR(INDEX('Option Analysis'!$A$6:$A$85,MATCH(42,'Option Analysis'!$AN$6:$AN$85,0)),"")</f>
        <v>OPT031</v>
      </c>
      <c r="C47" s="9" t="str">
        <f aca="false">IFERROR(INDEX('Option Analysis'!$B$6:$B$85,MATCH(42,'Option Analysis'!$AN$6:$AN$85,0)),"")</f>
        <v>Button-down shirt Forest</v>
      </c>
      <c r="D47" s="9" t="str">
        <f aca="false">IFERROR(INDEX('Option Analysis'!$C$6:$C$85,MATCH(42,'Option Analysis'!$AN$6:$AN$85,0)),"")</f>
        <v>Shirts</v>
      </c>
      <c r="E47" s="9" t="str">
        <f aca="false">IFERROR(INDEX('Option Analysis'!$AC$6:$AC$85,MATCH(42,'Option Analysis'!$AN$6:$AN$85,0)),"")</f>
        <v>Selling, heavy</v>
      </c>
      <c r="F47" s="9" t="str">
        <f aca="false">IFERROR(INDEX('Option Analysis'!$AD$6:$AD$85,MATCH(42,'Option Analysis'!$AN$6:$AN$85,0)),"")</f>
        <v/>
      </c>
      <c r="G47" s="14" t="n">
        <f aca="false">IFERROR(INDEX('Option Analysis'!$AL$6:$AL$85,MATCH(42,'Option Analysis'!$AN$6:$AN$85,0)),"")</f>
        <v>885.12</v>
      </c>
      <c r="H47" s="14" t="n">
        <f aca="false">IFERROR(INDEX('Option Analysis'!$AK$6:$AK$85,MATCH(42,'Option Analysis'!$AN$6:$AN$85,0)),"")</f>
        <v>0</v>
      </c>
      <c r="I47" s="14" t="n">
        <f aca="false">IFERROR(INDEX('Option Analysis'!$AI$6:$AI$85,MATCH(42,'Option Analysis'!$AN$6:$AN$85,0)),"")</f>
        <v>885.12</v>
      </c>
      <c r="J47" s="14" t="n">
        <f aca="false">IFERROR(INDEX('Option Analysis'!$AJ$6:$AJ$85,MATCH(42,'Option Analysis'!$AN$6:$AN$85,0)),"")</f>
        <v>840.864</v>
      </c>
      <c r="K47" s="25" t="n">
        <f aca="false">IFERROR(INDEX('Option Analysis'!$S$6:$S$85,MATCH(42,'Option Analysis'!$AN$6:$AN$85,0)),"")</f>
        <v>10.1160862354892</v>
      </c>
      <c r="L47" s="13" t="n">
        <f aca="false">IFERROR(INDEX('Option Analysis'!$Q$6:$Q$85,MATCH(42,'Option Analysis'!$AN$6:$AN$85,0)),"")</f>
        <v>0.75</v>
      </c>
      <c r="M47" s="9" t="str">
        <f aca="false">IFERROR(INDEX('Option Analysis'!$AM$6:$AM$85,MATCH(42,'Option Analysis'!$AN$6:$AN$85,0)),"")</f>
        <v>Hold price for now; set the markdown date</v>
      </c>
      <c r="N47" s="9" t="str">
        <f aca="false">IFERROR(INDEX('Option Analysis'!$AF$6:$AF$85,MATCH(42,'Option Analysis'!$AN$6:$AN$85,0)),"")</f>
        <v>Trading Manager</v>
      </c>
      <c r="O47" s="9" t="str">
        <f aca="false">IF(A47="","",IF(IFERROR(INDEX('Option Analysis'!$AM$6:$AM$85,MATCH(42,'Option Analysis'!$AN$6:$AN$85,0)),"")=IFERROR(INDEX('Option Analysis'!$AE$6:$AE$85,MATCH(42,'Option Analysis'!$AN$6:$AN$85,0)),""),"",IFERROR(INDEX('Option Analysis'!$AE$6:$AE$85,MATCH(42,'Option Analysis'!$AN$6:$AN$85,0)),"")))</f>
        <v/>
      </c>
      <c r="P47" s="25" t="n">
        <f aca="false">IFERROR(INDEX('Option Analysis'!$M$6:$M$85,MATCH(42,'Option Analysis'!$AN$6:$AN$85,0)),"")</f>
        <v>6.7</v>
      </c>
      <c r="Q47" s="25" t="n">
        <f aca="false">IFERROR(INDEX('Option Analysis'!$AU$6:$AU$85,MATCH(42,'Option Analysis'!$AN$6:$AN$85,0)),"")</f>
        <v>6.75</v>
      </c>
      <c r="R47" s="9" t="n">
        <f aca="false">IFERROR(INDEX('Option Analysis'!$AV$6:$AV$85,MATCH(42,'Option Analysis'!$AN$6:$AN$85,0)),"")</f>
        <v>13</v>
      </c>
    </row>
    <row r="48" customFormat="false" ht="15" hidden="false" customHeight="false" outlineLevel="0" collapsed="false">
      <c r="A48" s="9" t="n">
        <f aca="false">IF(ISNUMBER(MATCH(43,'Option Analysis'!$AN$6:$AN$85,0)),43,"")</f>
        <v>43</v>
      </c>
      <c r="B48" s="9" t="str">
        <f aca="false">IFERROR(INDEX('Option Analysis'!$A$6:$A$85,MATCH(43,'Option Analysis'!$AN$6:$AN$85,0)),"")</f>
        <v>OPT019</v>
      </c>
      <c r="C48" s="9" t="str">
        <f aca="false">IFERROR(INDEX('Option Analysis'!$B$6:$B$85,MATCH(43,'Option Analysis'!$AN$6:$AN$85,0)),"")</f>
        <v>Shawl cardigan Black</v>
      </c>
      <c r="D48" s="9" t="str">
        <f aca="false">IFERROR(INDEX('Option Analysis'!$C$6:$C$85,MATCH(43,'Option Analysis'!$AN$6:$AN$85,0)),"")</f>
        <v>Knitwear</v>
      </c>
      <c r="E48" s="9" t="str">
        <f aca="false">IFERROR(INDEX('Option Analysis'!$AC$6:$AC$85,MATCH(43,'Option Analysis'!$AN$6:$AN$85,0)),"")</f>
        <v>Selling, covered</v>
      </c>
      <c r="F48" s="9" t="str">
        <f aca="false">IFERROR(INDEX('Option Analysis'!$AD$6:$AD$85,MATCH(43,'Option Analysis'!$AN$6:$AN$85,0)),"")</f>
        <v/>
      </c>
      <c r="G48" s="14" t="n">
        <f aca="false">IFERROR(INDEX('Option Analysis'!$AL$6:$AL$85,MATCH(43,'Option Analysis'!$AN$6:$AN$85,0)),"")</f>
        <v>840</v>
      </c>
      <c r="H48" s="14" t="n">
        <f aca="false">IFERROR(INDEX('Option Analysis'!$AK$6:$AK$85,MATCH(43,'Option Analysis'!$AN$6:$AN$85,0)),"")</f>
        <v>0</v>
      </c>
      <c r="I48" s="14" t="n">
        <f aca="false">IFERROR(INDEX('Option Analysis'!$AI$6:$AI$85,MATCH(43,'Option Analysis'!$AN$6:$AN$85,0)),"")</f>
        <v>840</v>
      </c>
      <c r="J48" s="14" t="n">
        <f aca="false">IFERROR(INDEX('Option Analysis'!$AJ$6:$AJ$85,MATCH(43,'Option Analysis'!$AN$6:$AN$85,0)),"")</f>
        <v>798</v>
      </c>
      <c r="K48" s="25" t="n">
        <f aca="false">IFERROR(INDEX('Option Analysis'!$S$6:$S$85,MATCH(43,'Option Analysis'!$AN$6:$AN$85,0)),"")</f>
        <v>7.33333333333333</v>
      </c>
      <c r="L48" s="13" t="n">
        <f aca="false">IFERROR(INDEX('Option Analysis'!$Q$6:$Q$85,MATCH(43,'Option Analysis'!$AN$6:$AN$85,0)),"")</f>
        <v>0.755555555555556</v>
      </c>
      <c r="M48" s="9" t="str">
        <f aca="false">IFERROR(INDEX('Option Analysis'!$AM$6:$AM$85,MATCH(43,'Option Analysis'!$AN$6:$AN$85,0)),"")</f>
        <v>Hold</v>
      </c>
      <c r="N48" s="9" t="str">
        <f aca="false">IFERROR(INDEX('Option Analysis'!$AF$6:$AF$85,MATCH(43,'Option Analysis'!$AN$6:$AN$85,0)),"")</f>
        <v>Merchandiser</v>
      </c>
      <c r="O48" s="9" t="str">
        <f aca="false">IF(A48="","",IF(IFERROR(INDEX('Option Analysis'!$AM$6:$AM$85,MATCH(43,'Option Analysis'!$AN$6:$AN$85,0)),"")=IFERROR(INDEX('Option Analysis'!$AE$6:$AE$85,MATCH(43,'Option Analysis'!$AN$6:$AN$85,0)),""),"",IFERROR(INDEX('Option Analysis'!$AE$6:$AE$85,MATCH(43,'Option Analysis'!$AN$6:$AN$85,0)),"")))</f>
        <v/>
      </c>
      <c r="P48" s="25" t="n">
        <f aca="false">IFERROR(INDEX('Option Analysis'!$M$6:$M$85,MATCH(43,'Option Analysis'!$AN$6:$AN$85,0)),"")</f>
        <v>10</v>
      </c>
      <c r="Q48" s="25" t="n">
        <f aca="false">IFERROR(INDEX('Option Analysis'!$AU$6:$AU$85,MATCH(43,'Option Analysis'!$AN$6:$AN$85,0)),"")</f>
        <v>9.75</v>
      </c>
      <c r="R48" s="9" t="n">
        <f aca="false">IFERROR(INDEX('Option Analysis'!$AV$6:$AV$85,MATCH(43,'Option Analysis'!$AN$6:$AN$85,0)),"")</f>
        <v>12</v>
      </c>
    </row>
    <row r="49" customFormat="false" ht="15" hidden="false" customHeight="false" outlineLevel="0" collapsed="false">
      <c r="A49" s="9" t="n">
        <f aca="false">IF(ISNUMBER(MATCH(44,'Option Analysis'!$AN$6:$AN$85,0)),44,"")</f>
        <v>44</v>
      </c>
      <c r="B49" s="9" t="str">
        <f aca="false">IFERROR(INDEX('Option Analysis'!$A$6:$A$85,MATCH(44,'Option Analysis'!$AN$6:$AN$85,0)),"")</f>
        <v>OPT040</v>
      </c>
      <c r="C49" s="9" t="str">
        <f aca="false">IFERROR(INDEX('Option Analysis'!$B$6:$B$85,MATCH(44,'Option Analysis'!$AN$6:$AN$85,0)),"")</f>
        <v>Check overshirt Stone</v>
      </c>
      <c r="D49" s="9" t="str">
        <f aca="false">IFERROR(INDEX('Option Analysis'!$C$6:$C$85,MATCH(44,'Option Analysis'!$AN$6:$AN$85,0)),"")</f>
        <v>Shirts</v>
      </c>
      <c r="E49" s="9" t="str">
        <f aca="false">IFERROR(INDEX('Option Analysis'!$AC$6:$AC$85,MATCH(44,'Option Analysis'!$AN$6:$AN$85,0)),"")</f>
        <v>Selling, covered</v>
      </c>
      <c r="F49" s="9" t="str">
        <f aca="false">IFERROR(INDEX('Option Analysis'!$AD$6:$AD$85,MATCH(44,'Option Analysis'!$AN$6:$AN$85,0)),"")</f>
        <v/>
      </c>
      <c r="G49" s="14" t="n">
        <f aca="false">IFERROR(INDEX('Option Analysis'!$AL$6:$AL$85,MATCH(44,'Option Analysis'!$AN$6:$AN$85,0)),"")</f>
        <v>794.64</v>
      </c>
      <c r="H49" s="14" t="n">
        <f aca="false">IFERROR(INDEX('Option Analysis'!$AK$6:$AK$85,MATCH(44,'Option Analysis'!$AN$6:$AN$85,0)),"")</f>
        <v>0</v>
      </c>
      <c r="I49" s="14" t="n">
        <f aca="false">IFERROR(INDEX('Option Analysis'!$AI$6:$AI$85,MATCH(44,'Option Analysis'!$AN$6:$AN$85,0)),"")</f>
        <v>794.64</v>
      </c>
      <c r="J49" s="14" t="n">
        <f aca="false">IFERROR(INDEX('Option Analysis'!$AJ$6:$AJ$85,MATCH(44,'Option Analysis'!$AN$6:$AN$85,0)),"")</f>
        <v>754.908</v>
      </c>
      <c r="K49" s="25" t="n">
        <f aca="false">IFERROR(INDEX('Option Analysis'!$S$6:$S$85,MATCH(44,'Option Analysis'!$AN$6:$AN$85,0)),"")</f>
        <v>7.71604938271605</v>
      </c>
      <c r="L49" s="13" t="n">
        <f aca="false">IFERROR(INDEX('Option Analysis'!$Q$6:$Q$85,MATCH(44,'Option Analysis'!$AN$6:$AN$85,0)),"")</f>
        <v>0.745762711864407</v>
      </c>
      <c r="M49" s="9" t="str">
        <f aca="false">IFERROR(INDEX('Option Analysis'!$AM$6:$AM$85,MATCH(44,'Option Analysis'!$AN$6:$AN$85,0)),"")</f>
        <v>Hold</v>
      </c>
      <c r="N49" s="9" t="str">
        <f aca="false">IFERROR(INDEX('Option Analysis'!$AF$6:$AF$85,MATCH(44,'Option Analysis'!$AN$6:$AN$85,0)),"")</f>
        <v>Merchandiser</v>
      </c>
      <c r="O49" s="9" t="str">
        <f aca="false">IF(A49="","",IF(IFERROR(INDEX('Option Analysis'!$AM$6:$AM$85,MATCH(44,'Option Analysis'!$AN$6:$AN$85,0)),"")=IFERROR(INDEX('Option Analysis'!$AE$6:$AE$85,MATCH(44,'Option Analysis'!$AN$6:$AN$85,0)),""),"",IFERROR(INDEX('Option Analysis'!$AE$6:$AE$85,MATCH(44,'Option Analysis'!$AN$6:$AN$85,0)),"")))</f>
        <v/>
      </c>
      <c r="P49" s="25" t="n">
        <f aca="false">IFERROR(INDEX('Option Analysis'!$M$6:$M$85,MATCH(44,'Option Analysis'!$AN$6:$AN$85,0)),"")</f>
        <v>10.8</v>
      </c>
      <c r="Q49" s="25" t="n">
        <f aca="false">IFERROR(INDEX('Option Analysis'!$AU$6:$AU$85,MATCH(44,'Option Analysis'!$AN$6:$AN$85,0)),"")</f>
        <v>10.5</v>
      </c>
      <c r="R49" s="9" t="n">
        <f aca="false">IFERROR(INDEX('Option Analysis'!$AV$6:$AV$85,MATCH(44,'Option Analysis'!$AN$6:$AN$85,0)),"")</f>
        <v>12</v>
      </c>
    </row>
    <row r="50" customFormat="false" ht="15" hidden="false" customHeight="false" outlineLevel="0" collapsed="false">
      <c r="A50" s="9" t="n">
        <f aca="false">IF(ISNUMBER(MATCH(45,'Option Analysis'!$AN$6:$AN$85,0)),45,"")</f>
        <v>45</v>
      </c>
      <c r="B50" s="9" t="str">
        <f aca="false">IFERROR(INDEX('Option Analysis'!$A$6:$A$85,MATCH(45,'Option Analysis'!$AN$6:$AN$85,0)),"")</f>
        <v>OPT046</v>
      </c>
      <c r="C50" s="9" t="str">
        <f aca="false">IFERROR(INDEX('Option Analysis'!$B$6:$B$85,MATCH(45,'Option Analysis'!$AN$6:$AN$85,0)),"")</f>
        <v>Regular chino Pink</v>
      </c>
      <c r="D50" s="9" t="str">
        <f aca="false">IFERROR(INDEX('Option Analysis'!$C$6:$C$85,MATCH(45,'Option Analysis'!$AN$6:$AN$85,0)),"")</f>
        <v>Trousers</v>
      </c>
      <c r="E50" s="9" t="str">
        <f aca="false">IFERROR(INDEX('Option Analysis'!$AC$6:$AC$85,MATCH(45,'Option Analysis'!$AN$6:$AN$85,0)),"")</f>
        <v>Selling, covered</v>
      </c>
      <c r="F50" s="9" t="str">
        <f aca="false">IFERROR(INDEX('Option Analysis'!$AD$6:$AD$85,MATCH(45,'Option Analysis'!$AN$6:$AN$85,0)),"")</f>
        <v/>
      </c>
      <c r="G50" s="14" t="n">
        <f aca="false">IFERROR(INDEX('Option Analysis'!$AL$6:$AL$85,MATCH(45,'Option Analysis'!$AN$6:$AN$85,0)),"")</f>
        <v>695.52</v>
      </c>
      <c r="H50" s="14" t="n">
        <f aca="false">IFERROR(INDEX('Option Analysis'!$AK$6:$AK$85,MATCH(45,'Option Analysis'!$AN$6:$AN$85,0)),"")</f>
        <v>0</v>
      </c>
      <c r="I50" s="14" t="n">
        <f aca="false">IFERROR(INDEX('Option Analysis'!$AI$6:$AI$85,MATCH(45,'Option Analysis'!$AN$6:$AN$85,0)),"")</f>
        <v>695.52</v>
      </c>
      <c r="J50" s="14" t="n">
        <f aca="false">IFERROR(INDEX('Option Analysis'!$AJ$6:$AJ$85,MATCH(45,'Option Analysis'!$AN$6:$AN$85,0)),"")</f>
        <v>660.744</v>
      </c>
      <c r="K50" s="25" t="n">
        <f aca="false">IFERROR(INDEX('Option Analysis'!$S$6:$S$85,MATCH(45,'Option Analysis'!$AN$6:$AN$85,0)),"")</f>
        <v>6.60377358490566</v>
      </c>
      <c r="L50" s="13" t="n">
        <f aca="false">IFERROR(INDEX('Option Analysis'!$Q$6:$Q$85,MATCH(45,'Option Analysis'!$AN$6:$AN$85,0)),"")</f>
        <v>0.79</v>
      </c>
      <c r="M50" s="9" t="str">
        <f aca="false">IFERROR(INDEX('Option Analysis'!$AM$6:$AM$85,MATCH(45,'Option Analysis'!$AN$6:$AN$85,0)),"")</f>
        <v>Hold</v>
      </c>
      <c r="N50" s="9" t="str">
        <f aca="false">IFERROR(INDEX('Option Analysis'!$AF$6:$AF$85,MATCH(45,'Option Analysis'!$AN$6:$AN$85,0)),"")</f>
        <v>Merchandiser</v>
      </c>
      <c r="O50" s="9" t="str">
        <f aca="false">IF(A50="","",IF(IFERROR(INDEX('Option Analysis'!$AM$6:$AM$85,MATCH(45,'Option Analysis'!$AN$6:$AN$85,0)),"")=IFERROR(INDEX('Option Analysis'!$AE$6:$AE$85,MATCH(45,'Option Analysis'!$AN$6:$AN$85,0)),""),"",IFERROR(INDEX('Option Analysis'!$AE$6:$AE$85,MATCH(45,'Option Analysis'!$AN$6:$AN$85,0)),"")))</f>
        <v/>
      </c>
      <c r="P50" s="25" t="n">
        <f aca="false">IFERROR(INDEX('Option Analysis'!$M$6:$M$85,MATCH(45,'Option Analysis'!$AN$6:$AN$85,0)),"")</f>
        <v>10.6</v>
      </c>
      <c r="Q50" s="25" t="n">
        <f aca="false">IFERROR(INDEX('Option Analysis'!$AU$6:$AU$85,MATCH(45,'Option Analysis'!$AN$6:$AN$85,0)),"")</f>
        <v>10.5</v>
      </c>
      <c r="R50" s="9" t="n">
        <f aca="false">IFERROR(INDEX('Option Analysis'!$AV$6:$AV$85,MATCH(45,'Option Analysis'!$AN$6:$AN$85,0)),"")</f>
        <v>10</v>
      </c>
    </row>
    <row r="51" customFormat="false" ht="15" hidden="false" customHeight="false" outlineLevel="0" collapsed="false">
      <c r="A51" s="9" t="n">
        <f aca="false">IF(ISNUMBER(MATCH(46,'Option Analysis'!$AN$6:$AN$85,0)),46,"")</f>
        <v>46</v>
      </c>
      <c r="B51" s="9" t="str">
        <f aca="false">IFERROR(INDEX('Option Analysis'!$A$6:$A$85,MATCH(46,'Option Analysis'!$AN$6:$AN$85,0)),"")</f>
        <v>OPT052</v>
      </c>
      <c r="C51" s="9" t="str">
        <f aca="false">IFERROR(INDEX('Option Analysis'!$B$6:$B$85,MATCH(46,'Option Analysis'!$AN$6:$AN$85,0)),"")</f>
        <v>Regular chino Charcoal</v>
      </c>
      <c r="D51" s="9" t="str">
        <f aca="false">IFERROR(INDEX('Option Analysis'!$C$6:$C$85,MATCH(46,'Option Analysis'!$AN$6:$AN$85,0)),"")</f>
        <v>Trousers</v>
      </c>
      <c r="E51" s="9" t="str">
        <f aca="false">IFERROR(INDEX('Option Analysis'!$AC$6:$AC$85,MATCH(46,'Option Analysis'!$AN$6:$AN$85,0)),"")</f>
        <v>Selling, covered</v>
      </c>
      <c r="F51" s="9" t="str">
        <f aca="false">IFERROR(INDEX('Option Analysis'!$AD$6:$AD$85,MATCH(46,'Option Analysis'!$AN$6:$AN$85,0)),"")</f>
        <v/>
      </c>
      <c r="G51" s="14" t="n">
        <f aca="false">IFERROR(INDEX('Option Analysis'!$AL$6:$AL$85,MATCH(46,'Option Analysis'!$AN$6:$AN$85,0)),"")</f>
        <v>676</v>
      </c>
      <c r="H51" s="14" t="n">
        <f aca="false">IFERROR(INDEX('Option Analysis'!$AK$6:$AK$85,MATCH(46,'Option Analysis'!$AN$6:$AN$85,0)),"")</f>
        <v>0</v>
      </c>
      <c r="I51" s="14" t="n">
        <f aca="false">IFERROR(INDEX('Option Analysis'!$AI$6:$AI$85,MATCH(46,'Option Analysis'!$AN$6:$AN$85,0)),"")</f>
        <v>676</v>
      </c>
      <c r="J51" s="14" t="n">
        <f aca="false">IFERROR(INDEX('Option Analysis'!$AJ$6:$AJ$85,MATCH(46,'Option Analysis'!$AN$6:$AN$85,0)),"")</f>
        <v>642.2</v>
      </c>
      <c r="K51" s="25" t="n">
        <f aca="false">IFERROR(INDEX('Option Analysis'!$S$6:$S$85,MATCH(46,'Option Analysis'!$AN$6:$AN$85,0)),"")</f>
        <v>5.15555555555556</v>
      </c>
      <c r="L51" s="13" t="n">
        <f aca="false">IFERROR(INDEX('Option Analysis'!$Q$6:$Q$85,MATCH(46,'Option Analysis'!$AN$6:$AN$85,0)),"")</f>
        <v>0.814696485623003</v>
      </c>
      <c r="M51" s="9" t="str">
        <f aca="false">IFERROR(INDEX('Option Analysis'!$AM$6:$AM$85,MATCH(46,'Option Analysis'!$AN$6:$AN$85,0)),"")</f>
        <v>Hold</v>
      </c>
      <c r="N51" s="9" t="str">
        <f aca="false">IFERROR(INDEX('Option Analysis'!$AF$6:$AF$85,MATCH(46,'Option Analysis'!$AN$6:$AN$85,0)),"")</f>
        <v>Merchandiser</v>
      </c>
      <c r="O51" s="9" t="str">
        <f aca="false">IF(A51="","",IF(IFERROR(INDEX('Option Analysis'!$AM$6:$AM$85,MATCH(46,'Option Analysis'!$AN$6:$AN$85,0)),"")=IFERROR(INDEX('Option Analysis'!$AE$6:$AE$85,MATCH(46,'Option Analysis'!$AN$6:$AN$85,0)),""),"",IFERROR(INDEX('Option Analysis'!$AE$6:$AE$85,MATCH(46,'Option Analysis'!$AN$6:$AN$85,0)),"")))</f>
        <v/>
      </c>
      <c r="P51" s="25" t="n">
        <f aca="false">IFERROR(INDEX('Option Analysis'!$M$6:$M$85,MATCH(46,'Option Analysis'!$AN$6:$AN$85,0)),"")</f>
        <v>25</v>
      </c>
      <c r="Q51" s="25" t="n">
        <f aca="false">IFERROR(INDEX('Option Analysis'!$AU$6:$AU$85,MATCH(46,'Option Analysis'!$AN$6:$AN$85,0)),"")</f>
        <v>23.75</v>
      </c>
      <c r="R51" s="9" t="n">
        <f aca="false">IFERROR(INDEX('Option Analysis'!$AV$6:$AV$85,MATCH(46,'Option Analysis'!$AN$6:$AN$85,0)),"")</f>
        <v>3</v>
      </c>
    </row>
    <row r="52" customFormat="false" ht="15" hidden="false" customHeight="false" outlineLevel="0" collapsed="false">
      <c r="A52" s="9" t="n">
        <f aca="false">IF(ISNUMBER(MATCH(47,'Option Analysis'!$AN$6:$AN$85,0)),47,"")</f>
        <v>47</v>
      </c>
      <c r="B52" s="9" t="str">
        <f aca="false">IFERROR(INDEX('Option Analysis'!$A$6:$A$85,MATCH(47,'Option Analysis'!$AN$6:$AN$85,0)),"")</f>
        <v>OPT021</v>
      </c>
      <c r="C52" s="9" t="str">
        <f aca="false">IFERROR(INDEX('Option Analysis'!$B$6:$B$85,MATCH(47,'Option Analysis'!$AN$6:$AN$85,0)),"")</f>
        <v>Shawl cardigan Sand</v>
      </c>
      <c r="D52" s="9" t="str">
        <f aca="false">IFERROR(INDEX('Option Analysis'!$C$6:$C$85,MATCH(47,'Option Analysis'!$AN$6:$AN$85,0)),"")</f>
        <v>Knitwear</v>
      </c>
      <c r="E52" s="9" t="str">
        <f aca="false">IFERROR(INDEX('Option Analysis'!$AC$6:$AC$85,MATCH(47,'Option Analysis'!$AN$6:$AN$85,0)),"")</f>
        <v>Held for a campaign</v>
      </c>
      <c r="F52" s="9" t="str">
        <f aca="false">IFERROR(INDEX('Option Analysis'!$AD$6:$AD$85,MATCH(47,'Option Analysis'!$AN$6:$AN$85,0)),"")</f>
        <v>Held for Valentine's gifting, starts in 5 weeks.</v>
      </c>
      <c r="G52" s="14" t="n">
        <f aca="false">IFERROR(INDEX('Option Analysis'!$AL$6:$AL$85,MATCH(47,'Option Analysis'!$AN$6:$AN$85,0)),"")</f>
        <v>392</v>
      </c>
      <c r="H52" s="14" t="n">
        <f aca="false">IFERROR(INDEX('Option Analysis'!$AK$6:$AK$85,MATCH(47,'Option Analysis'!$AN$6:$AN$85,0)),"")</f>
        <v>0</v>
      </c>
      <c r="I52" s="14" t="n">
        <f aca="false">IFERROR(INDEX('Option Analysis'!$AI$6:$AI$85,MATCH(47,'Option Analysis'!$AN$6:$AN$85,0)),"")</f>
        <v>392</v>
      </c>
      <c r="J52" s="14" t="n">
        <f aca="false">IFERROR(INDEX('Option Analysis'!$AJ$6:$AJ$85,MATCH(47,'Option Analysis'!$AN$6:$AN$85,0)),"")</f>
        <v>372.4</v>
      </c>
      <c r="K52" s="25" t="n">
        <f aca="false">IFERROR(INDEX('Option Analysis'!$S$6:$S$85,MATCH(47,'Option Analysis'!$AN$6:$AN$85,0)),"")</f>
        <v>94.9494949494949</v>
      </c>
      <c r="L52" s="13" t="n">
        <f aca="false">IFERROR(INDEX('Option Analysis'!$Q$6:$Q$85,MATCH(47,'Option Analysis'!$AN$6:$AN$85,0)),"")</f>
        <v>0.0961538461538462</v>
      </c>
      <c r="M52" s="9" t="str">
        <f aca="false">IFERROR(INDEX('Option Analysis'!$AM$6:$AM$85,MATCH(47,'Option Analysis'!$AN$6:$AN$85,0)),"")</f>
        <v>Hold for the campaign, but stock exceeds the campaign plan: agree the exit now</v>
      </c>
      <c r="N52" s="9" t="str">
        <f aca="false">IFERROR(INDEX('Option Analysis'!$AF$6:$AF$85,MATCH(47,'Option Analysis'!$AN$6:$AN$85,0)),"")</f>
        <v>Trading Manager</v>
      </c>
      <c r="O52" s="9" t="str">
        <f aca="false">IF(A52="","",IF(IFERROR(INDEX('Option Analysis'!$AM$6:$AM$85,MATCH(47,'Option Analysis'!$AN$6:$AN$85,0)),"")=IFERROR(INDEX('Option Analysis'!$AE$6:$AE$85,MATCH(47,'Option Analysis'!$AN$6:$AN$85,0)),""),"",IFERROR(INDEX('Option Analysis'!$AE$6:$AE$85,MATCH(47,'Option Analysis'!$AN$6:$AN$85,0)),"")))</f>
        <v/>
      </c>
      <c r="P52" s="25" t="n">
        <f aca="false">IFERROR(INDEX('Option Analysis'!$M$6:$M$85,MATCH(47,'Option Analysis'!$AN$6:$AN$85,0)),"")</f>
        <v>1.1</v>
      </c>
      <c r="Q52" s="25" t="n">
        <f aca="false">IFERROR(INDEX('Option Analysis'!$AU$6:$AU$85,MATCH(47,'Option Analysis'!$AN$6:$AN$85,0)),"")</f>
        <v>1</v>
      </c>
      <c r="R52" s="9" t="n">
        <f aca="false">IFERROR(INDEX('Option Analysis'!$AV$6:$AV$85,MATCH(47,'Option Analysis'!$AN$6:$AN$85,0)),"")</f>
        <v>15</v>
      </c>
    </row>
    <row r="53" customFormat="false" ht="15" hidden="false" customHeight="false" outlineLevel="0" collapsed="false">
      <c r="A53" s="9" t="n">
        <f aca="false">IF(ISNUMBER(MATCH(48,'Option Analysis'!$AN$6:$AN$85,0)),48,"")</f>
        <v>48</v>
      </c>
      <c r="B53" s="9" t="str">
        <f aca="false">IFERROR(INDEX('Option Analysis'!$A$6:$A$85,MATCH(48,'Option Analysis'!$AN$6:$AN$85,0)),"")</f>
        <v>OPT059</v>
      </c>
      <c r="C53" s="9" t="str">
        <f aca="false">IFERROR(INDEX('Option Analysis'!$B$6:$B$85,MATCH(48,'Option Analysis'!$AN$6:$AN$85,0)),"")</f>
        <v>Jumbo cord Teal</v>
      </c>
      <c r="D53" s="9" t="str">
        <f aca="false">IFERROR(INDEX('Option Analysis'!$C$6:$C$85,MATCH(48,'Option Analysis'!$AN$6:$AN$85,0)),"")</f>
        <v>Trousers</v>
      </c>
      <c r="E53" s="9" t="str">
        <f aca="false">IFERROR(INDEX('Option Analysis'!$AC$6:$AC$85,MATCH(48,'Option Analysis'!$AN$6:$AN$85,0)),"")</f>
        <v>Selling, covered</v>
      </c>
      <c r="F53" s="9" t="str">
        <f aca="false">IFERROR(INDEX('Option Analysis'!$AD$6:$AD$85,MATCH(48,'Option Analysis'!$AN$6:$AN$85,0)),"")</f>
        <v/>
      </c>
      <c r="G53" s="14" t="n">
        <f aca="false">IFERROR(INDEX('Option Analysis'!$AL$6:$AL$85,MATCH(48,'Option Analysis'!$AN$6:$AN$85,0)),"")</f>
        <v>0</v>
      </c>
      <c r="H53" s="14" t="n">
        <f aca="false">IFERROR(INDEX('Option Analysis'!$AK$6:$AK$85,MATCH(48,'Option Analysis'!$AN$6:$AN$85,0)),"")</f>
        <v>0</v>
      </c>
      <c r="I53" s="14" t="n">
        <f aca="false">IFERROR(INDEX('Option Analysis'!$AI$6:$AI$85,MATCH(48,'Option Analysis'!$AN$6:$AN$85,0)),"")</f>
        <v>0</v>
      </c>
      <c r="J53" s="14" t="n">
        <f aca="false">IFERROR(INDEX('Option Analysis'!$AJ$6:$AJ$85,MATCH(48,'Option Analysis'!$AN$6:$AN$85,0)),"")</f>
        <v>0</v>
      </c>
      <c r="K53" s="25" t="n">
        <f aca="false">IFERROR(INDEX('Option Analysis'!$S$6:$S$85,MATCH(48,'Option Analysis'!$AN$6:$AN$85,0)),"")</f>
        <v>3.8135593220339</v>
      </c>
      <c r="L53" s="13" t="n">
        <f aca="false">IFERROR(INDEX('Option Analysis'!$Q$6:$Q$85,MATCH(48,'Option Analysis'!$AN$6:$AN$85,0)),"")</f>
        <v>0.826923076923077</v>
      </c>
      <c r="M53" s="9" t="str">
        <f aca="false">IFERROR(INDEX('Option Analysis'!$AM$6:$AM$85,MATCH(48,'Option Analysis'!$AN$6:$AN$85,0)),"")</f>
        <v>Hold</v>
      </c>
      <c r="N53" s="9" t="str">
        <f aca="false">IFERROR(INDEX('Option Analysis'!$AF$6:$AF$85,MATCH(48,'Option Analysis'!$AN$6:$AN$85,0)),"")</f>
        <v>Merchandiser</v>
      </c>
      <c r="O53" s="9" t="str">
        <f aca="false">IF(A53="","",IF(IFERROR(INDEX('Option Analysis'!$AM$6:$AM$85,MATCH(48,'Option Analysis'!$AN$6:$AN$85,0)),"")=IFERROR(INDEX('Option Analysis'!$AE$6:$AE$85,MATCH(48,'Option Analysis'!$AN$6:$AN$85,0)),""),"",IFERROR(INDEX('Option Analysis'!$AE$6:$AE$85,MATCH(48,'Option Analysis'!$AN$6:$AN$85,0)),"")))</f>
        <v/>
      </c>
      <c r="P53" s="25" t="n">
        <f aca="false">IFERROR(INDEX('Option Analysis'!$M$6:$M$85,MATCH(48,'Option Analysis'!$AN$6:$AN$85,0)),"")</f>
        <v>23.6</v>
      </c>
      <c r="Q53" s="25" t="n">
        <f aca="false">IFERROR(INDEX('Option Analysis'!$AU$6:$AU$85,MATCH(48,'Option Analysis'!$AN$6:$AN$85,0)),"")</f>
        <v>22.5</v>
      </c>
      <c r="R53" s="9" t="n">
        <f aca="false">IFERROR(INDEX('Option Analysis'!$AV$6:$AV$85,MATCH(48,'Option Analysis'!$AN$6:$AN$85,0)),"")</f>
        <v>4</v>
      </c>
    </row>
    <row r="54" customFormat="false" ht="15" hidden="false" customHeight="false" outlineLevel="0" collapsed="false">
      <c r="A54" s="9" t="n">
        <f aca="false">IF(ISNUMBER(MATCH(49,'Option Analysis'!$AN$6:$AN$85,0)),49,"")</f>
        <v>49</v>
      </c>
      <c r="B54" s="9" t="str">
        <f aca="false">IFERROR(INDEX('Option Analysis'!$A$6:$A$85,MATCH(49,'Option Analysis'!$AN$6:$AN$85,0)),"")</f>
        <v>OPT057</v>
      </c>
      <c r="C54" s="9" t="str">
        <f aca="false">IFERROR(INDEX('Option Analysis'!$B$6:$B$85,MATCH(49,'Option Analysis'!$AN$6:$AN$85,0)),"")</f>
        <v>Jumbo cord Forest</v>
      </c>
      <c r="D54" s="9" t="str">
        <f aca="false">IFERROR(INDEX('Option Analysis'!$C$6:$C$85,MATCH(49,'Option Analysis'!$AN$6:$AN$85,0)),"")</f>
        <v>Trousers</v>
      </c>
      <c r="E54" s="9" t="str">
        <f aca="false">IFERROR(INDEX('Option Analysis'!$AC$6:$AC$85,MATCH(49,'Option Analysis'!$AN$6:$AN$85,0)),"")</f>
        <v>Selling and short</v>
      </c>
      <c r="F54" s="9" t="str">
        <f aca="false">IFERROR(INDEX('Option Analysis'!$AD$6:$AD$85,MATCH(49,'Option Analysis'!$AN$6:$AN$85,0)),"")</f>
        <v/>
      </c>
      <c r="G54" s="14" t="n">
        <f aca="false">IFERROR(INDEX('Option Analysis'!$AL$6:$AL$85,MATCH(49,'Option Analysis'!$AN$6:$AN$85,0)),"")</f>
        <v>0</v>
      </c>
      <c r="H54" s="14" t="n">
        <f aca="false">IFERROR(INDEX('Option Analysis'!$AK$6:$AK$85,MATCH(49,'Option Analysis'!$AN$6:$AN$85,0)),"")</f>
        <v>0</v>
      </c>
      <c r="I54" s="14" t="n">
        <f aca="false">IFERROR(INDEX('Option Analysis'!$AI$6:$AI$85,MATCH(49,'Option Analysis'!$AN$6:$AN$85,0)),"")</f>
        <v>0</v>
      </c>
      <c r="J54" s="14" t="n">
        <f aca="false">IFERROR(INDEX('Option Analysis'!$AJ$6:$AJ$85,MATCH(49,'Option Analysis'!$AN$6:$AN$85,0)),"")</f>
        <v>0</v>
      </c>
      <c r="K54" s="25" t="n">
        <f aca="false">IFERROR(INDEX('Option Analysis'!$S$6:$S$85,MATCH(49,'Option Analysis'!$AN$6:$AN$85,0)),"")</f>
        <v>3.22780881440099</v>
      </c>
      <c r="L54" s="13" t="n">
        <f aca="false">IFERROR(INDEX('Option Analysis'!$Q$6:$Q$85,MATCH(49,'Option Analysis'!$AN$6:$AN$85,0)),"")</f>
        <v>0.852691218130312</v>
      </c>
      <c r="M54" s="9" t="str">
        <f aca="false">IFERROR(INDEX('Option Analysis'!$AM$6:$AM$85,MATCH(49,'Option Analysis'!$AN$6:$AN$85,0)),"")</f>
        <v>Sell through; carry the lesson into next season's buy</v>
      </c>
      <c r="N54" s="9" t="str">
        <f aca="false">IFERROR(INDEX('Option Analysis'!$AF$6:$AF$85,MATCH(49,'Option Analysis'!$AN$6:$AN$85,0)),"")</f>
        <v>Buyer</v>
      </c>
      <c r="O54" s="9" t="str">
        <f aca="false">IF(A54="","",IF(IFERROR(INDEX('Option Analysis'!$AM$6:$AM$85,MATCH(49,'Option Analysis'!$AN$6:$AN$85,0)),"")=IFERROR(INDEX('Option Analysis'!$AE$6:$AE$85,MATCH(49,'Option Analysis'!$AN$6:$AN$85,0)),""),"",IFERROR(INDEX('Option Analysis'!$AE$6:$AE$85,MATCH(49,'Option Analysis'!$AN$6:$AN$85,0)),"")))</f>
        <v/>
      </c>
      <c r="P54" s="25" t="n">
        <f aca="false">IFERROR(INDEX('Option Analysis'!$M$6:$M$85,MATCH(49,'Option Analysis'!$AN$6:$AN$85,0)),"")</f>
        <v>17.9</v>
      </c>
      <c r="Q54" s="25" t="n">
        <f aca="false">IFERROR(INDEX('Option Analysis'!$AU$6:$AU$85,MATCH(49,'Option Analysis'!$AN$6:$AN$85,0)),"")</f>
        <v>17.25</v>
      </c>
      <c r="R54" s="9" t="n">
        <f aca="false">IFERROR(INDEX('Option Analysis'!$AV$6:$AV$85,MATCH(49,'Option Analysis'!$AN$6:$AN$85,0)),"")</f>
        <v>6</v>
      </c>
    </row>
    <row r="55" customFormat="false" ht="15" hidden="false" customHeight="false" outlineLevel="0" collapsed="false">
      <c r="A55" s="9" t="n">
        <f aca="false">IF(ISNUMBER(MATCH(50,'Option Analysis'!$AN$6:$AN$85,0)),50,"")</f>
        <v>50</v>
      </c>
      <c r="B55" s="9" t="str">
        <f aca="false">IFERROR(INDEX('Option Analysis'!$A$6:$A$85,MATCH(50,'Option Analysis'!$AN$6:$AN$85,0)),"")</f>
        <v>OPT056</v>
      </c>
      <c r="C55" s="9" t="str">
        <f aca="false">IFERROR(INDEX('Option Analysis'!$B$6:$B$85,MATCH(50,'Option Analysis'!$AN$6:$AN$85,0)),"")</f>
        <v>Regular chino Black</v>
      </c>
      <c r="D55" s="9" t="str">
        <f aca="false">IFERROR(INDEX('Option Analysis'!$C$6:$C$85,MATCH(50,'Option Analysis'!$AN$6:$AN$85,0)),"")</f>
        <v>Trousers</v>
      </c>
      <c r="E55" s="9" t="str">
        <f aca="false">IFERROR(INDEX('Option Analysis'!$AC$6:$AC$85,MATCH(50,'Option Analysis'!$AN$6:$AN$85,0)),"")</f>
        <v>Held for a campaign</v>
      </c>
      <c r="F55" s="9" t="str">
        <f aca="false">IFERROR(INDEX('Option Analysis'!$AD$6:$AD$85,MATCH(50,'Option Analysis'!$AN$6:$AN$85,0)),"")</f>
        <v>Held for Members' weekend, starts in 3 weeks.</v>
      </c>
      <c r="G55" s="14" t="n">
        <f aca="false">IFERROR(INDEX('Option Analysis'!$AL$6:$AL$85,MATCH(50,'Option Analysis'!$AN$6:$AN$85,0)),"")</f>
        <v>0</v>
      </c>
      <c r="H55" s="14" t="n">
        <f aca="false">IFERROR(INDEX('Option Analysis'!$AK$6:$AK$85,MATCH(50,'Option Analysis'!$AN$6:$AN$85,0)),"")</f>
        <v>0</v>
      </c>
      <c r="I55" s="14" t="n">
        <f aca="false">IFERROR(INDEX('Option Analysis'!$AI$6:$AI$85,MATCH(50,'Option Analysis'!$AN$6:$AN$85,0)),"")</f>
        <v>0</v>
      </c>
      <c r="J55" s="14" t="n">
        <f aca="false">IFERROR(INDEX('Option Analysis'!$AJ$6:$AJ$85,MATCH(50,'Option Analysis'!$AN$6:$AN$85,0)),"")</f>
        <v>0</v>
      </c>
      <c r="K55" s="25" t="n">
        <f aca="false">IFERROR(INDEX('Option Analysis'!$S$6:$S$85,MATCH(50,'Option Analysis'!$AN$6:$AN$85,0)),"")</f>
        <v>65.359477124183</v>
      </c>
      <c r="L55" s="13" t="n">
        <f aca="false">IFERROR(INDEX('Option Analysis'!$Q$6:$Q$85,MATCH(50,'Option Analysis'!$AN$6:$AN$85,0)),"")</f>
        <v>0.091324200913242</v>
      </c>
      <c r="M55" s="9" t="str">
        <f aca="false">IFERROR(INDEX('Option Analysis'!$AM$6:$AM$85,MATCH(50,'Option Analysis'!$AN$6:$AN$85,0)),"")</f>
        <v>Hold for the campaign; judge it on the campaign's rate of sale</v>
      </c>
      <c r="N55" s="9" t="str">
        <f aca="false">IFERROR(INDEX('Option Analysis'!$AF$6:$AF$85,MATCH(50,'Option Analysis'!$AN$6:$AN$85,0)),"")</f>
        <v>Trading Manager</v>
      </c>
      <c r="O55" s="9" t="str">
        <f aca="false">IF(A55="","",IF(IFERROR(INDEX('Option Analysis'!$AM$6:$AM$85,MATCH(50,'Option Analysis'!$AN$6:$AN$85,0)),"")=IFERROR(INDEX('Option Analysis'!$AE$6:$AE$85,MATCH(50,'Option Analysis'!$AN$6:$AN$85,0)),""),"",IFERROR(INDEX('Option Analysis'!$AE$6:$AE$85,MATCH(50,'Option Analysis'!$AN$6:$AN$85,0)),"")))</f>
        <v/>
      </c>
      <c r="P55" s="25" t="n">
        <f aca="false">IFERROR(INDEX('Option Analysis'!$M$6:$M$85,MATCH(50,'Option Analysis'!$AN$6:$AN$85,0)),"")</f>
        <v>3.4</v>
      </c>
      <c r="Q55" s="25" t="n">
        <f aca="false">IFERROR(INDEX('Option Analysis'!$AU$6:$AU$85,MATCH(50,'Option Analysis'!$AN$6:$AN$85,0)),"")</f>
        <v>3.25</v>
      </c>
      <c r="R55" s="9" t="n">
        <f aca="false">IFERROR(INDEX('Option Analysis'!$AV$6:$AV$85,MATCH(50,'Option Analysis'!$AN$6:$AN$85,0)),"")</f>
        <v>15</v>
      </c>
    </row>
    <row r="56" customFormat="false" ht="15" hidden="false" customHeight="false" outlineLevel="0" collapsed="false">
      <c r="A56" s="9" t="n">
        <f aca="false">IF(ISNUMBER(MATCH(51,'Option Analysis'!$AN$6:$AN$85,0)),51,"")</f>
        <v>51</v>
      </c>
      <c r="B56" s="9" t="str">
        <f aca="false">IFERROR(INDEX('Option Analysis'!$A$6:$A$85,MATCH(51,'Option Analysis'!$AN$6:$AN$85,0)),"")</f>
        <v>OPT043</v>
      </c>
      <c r="C56" s="9" t="str">
        <f aca="false">IFERROR(INDEX('Option Analysis'!$B$6:$B$85,MATCH(51,'Option Analysis'!$AN$6:$AN$85,0)),"")</f>
        <v>Oxford shirt Rust</v>
      </c>
      <c r="D56" s="9" t="str">
        <f aca="false">IFERROR(INDEX('Option Analysis'!$C$6:$C$85,MATCH(51,'Option Analysis'!$AN$6:$AN$85,0)),"")</f>
        <v>Shirts</v>
      </c>
      <c r="E56" s="9" t="str">
        <f aca="false">IFERROR(INDEX('Option Analysis'!$AC$6:$AC$85,MATCH(51,'Option Analysis'!$AN$6:$AN$85,0)),"")</f>
        <v>Selling and short</v>
      </c>
      <c r="F56" s="9" t="str">
        <f aca="false">IFERROR(INDEX('Option Analysis'!$AD$6:$AD$85,MATCH(51,'Option Analysis'!$AN$6:$AN$85,0)),"")</f>
        <v>Promoted.</v>
      </c>
      <c r="G56" s="14" t="n">
        <f aca="false">IFERROR(INDEX('Option Analysis'!$AL$6:$AL$85,MATCH(51,'Option Analysis'!$AN$6:$AN$85,0)),"")</f>
        <v>0</v>
      </c>
      <c r="H56" s="14" t="n">
        <f aca="false">IFERROR(INDEX('Option Analysis'!$AK$6:$AK$85,MATCH(51,'Option Analysis'!$AN$6:$AN$85,0)),"")</f>
        <v>0</v>
      </c>
      <c r="I56" s="14" t="n">
        <f aca="false">IFERROR(INDEX('Option Analysis'!$AI$6:$AI$85,MATCH(51,'Option Analysis'!$AN$6:$AN$85,0)),"")</f>
        <v>0</v>
      </c>
      <c r="J56" s="14" t="n">
        <f aca="false">IFERROR(INDEX('Option Analysis'!$AJ$6:$AJ$85,MATCH(51,'Option Analysis'!$AN$6:$AN$85,0)),"")</f>
        <v>0</v>
      </c>
      <c r="K56" s="25" t="n">
        <f aca="false">IFERROR(INDEX('Option Analysis'!$S$6:$S$85,MATCH(51,'Option Analysis'!$AN$6:$AN$85,0)),"")</f>
        <v>2.22222222222222</v>
      </c>
      <c r="L56" s="13" t="n">
        <f aca="false">IFERROR(INDEX('Option Analysis'!$Q$6:$Q$85,MATCH(51,'Option Analysis'!$AN$6:$AN$85,0)),"")</f>
        <v>0.85945945945946</v>
      </c>
      <c r="M56" s="9" t="str">
        <f aca="false">IFERROR(INDEX('Option Analysis'!$AM$6:$AM$85,MATCH(51,'Option Analysis'!$AN$6:$AN$85,0)),"")</f>
        <v>Check demand without the promotion before reordering</v>
      </c>
      <c r="N56" s="9" t="str">
        <f aca="false">IFERROR(INDEX('Option Analysis'!$AF$6:$AF$85,MATCH(51,'Option Analysis'!$AN$6:$AN$85,0)),"")</f>
        <v>Trading Manager</v>
      </c>
      <c r="O56" s="9" t="str">
        <f aca="false">IF(A56="","",IF(IFERROR(INDEX('Option Analysis'!$AM$6:$AM$85,MATCH(51,'Option Analysis'!$AN$6:$AN$85,0)),"")=IFERROR(INDEX('Option Analysis'!$AE$6:$AE$85,MATCH(51,'Option Analysis'!$AN$6:$AN$85,0)),""),"",IFERROR(INDEX('Option Analysis'!$AE$6:$AE$85,MATCH(51,'Option Analysis'!$AN$6:$AN$85,0)),"")))</f>
        <v/>
      </c>
      <c r="P56" s="25" t="n">
        <f aca="false">IFERROR(INDEX('Option Analysis'!$M$6:$M$85,MATCH(51,'Option Analysis'!$AN$6:$AN$85,0)),"")</f>
        <v>26</v>
      </c>
      <c r="Q56" s="25" t="n">
        <f aca="false">IFERROR(INDEX('Option Analysis'!$AU$6:$AU$85,MATCH(51,'Option Analysis'!$AN$6:$AN$85,0)),"")</f>
        <v>24.5</v>
      </c>
      <c r="R56" s="9" t="n">
        <f aca="false">IFERROR(INDEX('Option Analysis'!$AV$6:$AV$85,MATCH(51,'Option Analysis'!$AN$6:$AN$85,0)),"")</f>
        <v>1</v>
      </c>
    </row>
    <row r="57" customFormat="false" ht="15" hidden="false" customHeight="false" outlineLevel="0" collapsed="false">
      <c r="A57" s="9" t="n">
        <f aca="false">IF(ISNUMBER(MATCH(52,'Option Analysis'!$AN$6:$AN$85,0)),52,"")</f>
        <v>52</v>
      </c>
      <c r="B57" s="9" t="str">
        <f aca="false">IFERROR(INDEX('Option Analysis'!$A$6:$A$85,MATCH(52,'Option Analysis'!$AN$6:$AN$85,0)),"")</f>
        <v>OPT038</v>
      </c>
      <c r="C57" s="9" t="str">
        <f aca="false">IFERROR(INDEX('Option Analysis'!$B$6:$B$85,MATCH(52,'Option Analysis'!$AN$6:$AN$85,0)),"")</f>
        <v>Check overshirt Navy</v>
      </c>
      <c r="D57" s="9" t="str">
        <f aca="false">IFERROR(INDEX('Option Analysis'!$C$6:$C$85,MATCH(52,'Option Analysis'!$AN$6:$AN$85,0)),"")</f>
        <v>Shirts</v>
      </c>
      <c r="E57" s="9" t="str">
        <f aca="false">IFERROR(INDEX('Option Analysis'!$AC$6:$AC$85,MATCH(52,'Option Analysis'!$AN$6:$AN$85,0)),"")</f>
        <v>Selling and short</v>
      </c>
      <c r="F57" s="9" t="str">
        <f aca="false">IFERROR(INDEX('Option Analysis'!$AD$6:$AD$85,MATCH(52,'Option Analysis'!$AN$6:$AN$85,0)),"")</f>
        <v>End of life.</v>
      </c>
      <c r="G57" s="14" t="n">
        <f aca="false">IFERROR(INDEX('Option Analysis'!$AL$6:$AL$85,MATCH(52,'Option Analysis'!$AN$6:$AN$85,0)),"")</f>
        <v>0</v>
      </c>
      <c r="H57" s="14" t="n">
        <f aca="false">IFERROR(INDEX('Option Analysis'!$AK$6:$AK$85,MATCH(52,'Option Analysis'!$AN$6:$AN$85,0)),"")</f>
        <v>0</v>
      </c>
      <c r="I57" s="14" t="n">
        <f aca="false">IFERROR(INDEX('Option Analysis'!$AI$6:$AI$85,MATCH(52,'Option Analysis'!$AN$6:$AN$85,0)),"")</f>
        <v>0</v>
      </c>
      <c r="J57" s="14" t="n">
        <f aca="false">IFERROR(INDEX('Option Analysis'!$AJ$6:$AJ$85,MATCH(52,'Option Analysis'!$AN$6:$AN$85,0)),"")</f>
        <v>0</v>
      </c>
      <c r="K57" s="25" t="n">
        <f aca="false">IFERROR(INDEX('Option Analysis'!$S$6:$S$85,MATCH(52,'Option Analysis'!$AN$6:$AN$85,0)),"")</f>
        <v>2.92747837658017</v>
      </c>
      <c r="L57" s="13" t="n">
        <f aca="false">IFERROR(INDEX('Option Analysis'!$Q$6:$Q$85,MATCH(52,'Option Analysis'!$AN$6:$AN$85,0)),"")</f>
        <v>0.861198738170347</v>
      </c>
      <c r="M57" s="9" t="str">
        <f aca="false">IFERROR(INDEX('Option Analysis'!$AM$6:$AM$85,MATCH(52,'Option Analysis'!$AN$6:$AN$85,0)),"")</f>
        <v>Let it sell out</v>
      </c>
      <c r="N57" s="9" t="str">
        <f aca="false">IFERROR(INDEX('Option Analysis'!$AF$6:$AF$85,MATCH(52,'Option Analysis'!$AN$6:$AN$85,0)),"")</f>
        <v>Merchandiser</v>
      </c>
      <c r="O57" s="9" t="str">
        <f aca="false">IF(A57="","",IF(IFERROR(INDEX('Option Analysis'!$AM$6:$AM$85,MATCH(52,'Option Analysis'!$AN$6:$AN$85,0)),"")=IFERROR(INDEX('Option Analysis'!$AE$6:$AE$85,MATCH(52,'Option Analysis'!$AN$6:$AN$85,0)),""),"",IFERROR(INDEX('Option Analysis'!$AE$6:$AE$85,MATCH(52,'Option Analysis'!$AN$6:$AN$85,0)),"")))</f>
        <v/>
      </c>
      <c r="P57" s="25" t="n">
        <f aca="false">IFERROR(INDEX('Option Analysis'!$M$6:$M$85,MATCH(52,'Option Analysis'!$AN$6:$AN$85,0)),"")</f>
        <v>16.7</v>
      </c>
      <c r="Q57" s="25" t="n">
        <f aca="false">IFERROR(INDEX('Option Analysis'!$AU$6:$AU$85,MATCH(52,'Option Analysis'!$AN$6:$AN$85,0)),"")</f>
        <v>16</v>
      </c>
      <c r="R57" s="9" t="n">
        <f aca="false">IFERROR(INDEX('Option Analysis'!$AV$6:$AV$85,MATCH(52,'Option Analysis'!$AN$6:$AN$85,0)),"")</f>
        <v>8</v>
      </c>
    </row>
    <row r="58" customFormat="false" ht="15" hidden="false" customHeight="false" outlineLevel="0" collapsed="false">
      <c r="A58" s="9" t="n">
        <f aca="false">IF(ISNUMBER(MATCH(53,'Option Analysis'!$AN$6:$AN$85,0)),53,"")</f>
        <v>53</v>
      </c>
      <c r="B58" s="9" t="str">
        <f aca="false">IFERROR(INDEX('Option Analysis'!$A$6:$A$85,MATCH(53,'Option Analysis'!$AN$6:$AN$85,0)),"")</f>
        <v>OPT036</v>
      </c>
      <c r="C58" s="9" t="str">
        <f aca="false">IFERROR(INDEX('Option Analysis'!$B$6:$B$85,MATCH(53,'Option Analysis'!$AN$6:$AN$85,0)),"")</f>
        <v>Check overshirt Cobalt</v>
      </c>
      <c r="D58" s="9" t="str">
        <f aca="false">IFERROR(INDEX('Option Analysis'!$C$6:$C$85,MATCH(53,'Option Analysis'!$AN$6:$AN$85,0)),"")</f>
        <v>Shirts</v>
      </c>
      <c r="E58" s="9" t="str">
        <f aca="false">IFERROR(INDEX('Option Analysis'!$AC$6:$AC$85,MATCH(53,'Option Analysis'!$AN$6:$AN$85,0)),"")</f>
        <v>Selling and short</v>
      </c>
      <c r="F58" s="9" t="str">
        <f aca="false">IFERROR(INDEX('Option Analysis'!$AD$6:$AD$85,MATCH(53,'Option Analysis'!$AN$6:$AN$85,0)),"")</f>
        <v/>
      </c>
      <c r="G58" s="14" t="n">
        <f aca="false">IFERROR(INDEX('Option Analysis'!$AL$6:$AL$85,MATCH(53,'Option Analysis'!$AN$6:$AN$85,0)),"")</f>
        <v>0</v>
      </c>
      <c r="H58" s="14" t="n">
        <f aca="false">IFERROR(INDEX('Option Analysis'!$AK$6:$AK$85,MATCH(53,'Option Analysis'!$AN$6:$AN$85,0)),"")</f>
        <v>0</v>
      </c>
      <c r="I58" s="14" t="n">
        <f aca="false">IFERROR(INDEX('Option Analysis'!$AI$6:$AI$85,MATCH(53,'Option Analysis'!$AN$6:$AN$85,0)),"")</f>
        <v>0</v>
      </c>
      <c r="J58" s="14" t="n">
        <f aca="false">IFERROR(INDEX('Option Analysis'!$AJ$6:$AJ$85,MATCH(53,'Option Analysis'!$AN$6:$AN$85,0)),"")</f>
        <v>0</v>
      </c>
      <c r="K58" s="25" t="n">
        <f aca="false">IFERROR(INDEX('Option Analysis'!$S$6:$S$85,MATCH(53,'Option Analysis'!$AN$6:$AN$85,0)),"")</f>
        <v>7.75308641975309</v>
      </c>
      <c r="L58" s="13" t="n">
        <f aca="false">IFERROR(INDEX('Option Analysis'!$Q$6:$Q$85,MATCH(53,'Option Analysis'!$AN$6:$AN$85,0)),"")</f>
        <v>0.748397435897436</v>
      </c>
      <c r="M58" s="9" t="str">
        <f aca="false">IFERROR(INDEX('Option Analysis'!$AM$6:$AM$85,MATCH(53,'Option Analysis'!$AN$6:$AN$85,0)),"")</f>
        <v>Reorder</v>
      </c>
      <c r="N58" s="9" t="str">
        <f aca="false">IFERROR(INDEX('Option Analysis'!$AF$6:$AF$85,MATCH(53,'Option Analysis'!$AN$6:$AN$85,0)),"")</f>
        <v>Merchandiser</v>
      </c>
      <c r="O58" s="9" t="str">
        <f aca="false">IF(A58="","",IF(IFERROR(INDEX('Option Analysis'!$AM$6:$AM$85,MATCH(53,'Option Analysis'!$AN$6:$AN$85,0)),"")=IFERROR(INDEX('Option Analysis'!$AE$6:$AE$85,MATCH(53,'Option Analysis'!$AN$6:$AN$85,0)),""),"",IFERROR(INDEX('Option Analysis'!$AE$6:$AE$85,MATCH(53,'Option Analysis'!$AN$6:$AN$85,0)),"")))</f>
        <v/>
      </c>
      <c r="P58" s="25" t="n">
        <f aca="false">IFERROR(INDEX('Option Analysis'!$M$6:$M$85,MATCH(53,'Option Analysis'!$AN$6:$AN$85,0)),"")</f>
        <v>22.5</v>
      </c>
      <c r="Q58" s="25" t="n">
        <f aca="false">IFERROR(INDEX('Option Analysis'!$AU$6:$AU$85,MATCH(53,'Option Analysis'!$AN$6:$AN$85,0)),"")</f>
        <v>21.5</v>
      </c>
      <c r="R58" s="9" t="n">
        <f aca="false">IFERROR(INDEX('Option Analysis'!$AV$6:$AV$85,MATCH(53,'Option Analysis'!$AN$6:$AN$85,0)),"")</f>
        <v>2</v>
      </c>
    </row>
    <row r="59" customFormat="false" ht="15" hidden="false" customHeight="false" outlineLevel="0" collapsed="false">
      <c r="A59" s="9" t="n">
        <f aca="false">IF(ISNUMBER(MATCH(54,'Option Analysis'!$AN$6:$AN$85,0)),54,"")</f>
        <v>54</v>
      </c>
      <c r="B59" s="9" t="str">
        <f aca="false">IFERROR(INDEX('Option Analysis'!$A$6:$A$85,MATCH(54,'Option Analysis'!$AN$6:$AN$85,0)),"")</f>
        <v>OPT035</v>
      </c>
      <c r="C59" s="9" t="str">
        <f aca="false">IFERROR(INDEX('Option Analysis'!$B$6:$B$85,MATCH(54,'Option Analysis'!$AN$6:$AN$85,0)),"")</f>
        <v>Button-down shirt Pink</v>
      </c>
      <c r="D59" s="9" t="str">
        <f aca="false">IFERROR(INDEX('Option Analysis'!$C$6:$C$85,MATCH(54,'Option Analysis'!$AN$6:$AN$85,0)),"")</f>
        <v>Shirts</v>
      </c>
      <c r="E59" s="9" t="str">
        <f aca="false">IFERROR(INDEX('Option Analysis'!$AC$6:$AC$85,MATCH(54,'Option Analysis'!$AN$6:$AN$85,0)),"")</f>
        <v>Slow and short</v>
      </c>
      <c r="F59" s="9" t="str">
        <f aca="false">IFERROR(INDEX('Option Analysis'!$AD$6:$AD$85,MATCH(54,'Option Analysis'!$AN$6:$AN$85,0)),"")</f>
        <v/>
      </c>
      <c r="G59" s="14" t="n">
        <f aca="false">IFERROR(INDEX('Option Analysis'!$AL$6:$AL$85,MATCH(54,'Option Analysis'!$AN$6:$AN$85,0)),"")</f>
        <v>0</v>
      </c>
      <c r="H59" s="14" t="n">
        <f aca="false">IFERROR(INDEX('Option Analysis'!$AK$6:$AK$85,MATCH(54,'Option Analysis'!$AN$6:$AN$85,0)),"")</f>
        <v>0</v>
      </c>
      <c r="I59" s="14" t="n">
        <f aca="false">IFERROR(INDEX('Option Analysis'!$AI$6:$AI$85,MATCH(54,'Option Analysis'!$AN$6:$AN$85,0)),"")</f>
        <v>0</v>
      </c>
      <c r="J59" s="14" t="n">
        <f aca="false">IFERROR(INDEX('Option Analysis'!$AJ$6:$AJ$85,MATCH(54,'Option Analysis'!$AN$6:$AN$85,0)),"")</f>
        <v>0</v>
      </c>
      <c r="K59" s="25" t="n">
        <f aca="false">IFERROR(INDEX('Option Analysis'!$S$6:$S$85,MATCH(54,'Option Analysis'!$AN$6:$AN$85,0)),"")</f>
        <v>9.33977455716586</v>
      </c>
      <c r="L59" s="13" t="n">
        <f aca="false">IFERROR(INDEX('Option Analysis'!$Q$6:$Q$85,MATCH(54,'Option Analysis'!$AN$6:$AN$85,0)),"")</f>
        <v>0.707070707070707</v>
      </c>
      <c r="M59" s="9" t="str">
        <f aca="false">IFERROR(INDEX('Option Analysis'!$AM$6:$AM$85,MATCH(54,'Option Analysis'!$AN$6:$AN$85,0)),"")</f>
        <v>Check availability and findability before judging demand</v>
      </c>
      <c r="N59" s="9" t="str">
        <f aca="false">IFERROR(INDEX('Option Analysis'!$AF$6:$AF$85,MATCH(54,'Option Analysis'!$AN$6:$AN$85,0)),"")</f>
        <v>Merchandiser</v>
      </c>
      <c r="O59" s="9" t="str">
        <f aca="false">IF(A59="","",IF(IFERROR(INDEX('Option Analysis'!$AM$6:$AM$85,MATCH(54,'Option Analysis'!$AN$6:$AN$85,0)),"")=IFERROR(INDEX('Option Analysis'!$AE$6:$AE$85,MATCH(54,'Option Analysis'!$AN$6:$AN$85,0)),""),"",IFERROR(INDEX('Option Analysis'!$AE$6:$AE$85,MATCH(54,'Option Analysis'!$AN$6:$AN$85,0)),"")))</f>
        <v/>
      </c>
      <c r="P59" s="25" t="n">
        <f aca="false">IFERROR(INDEX('Option Analysis'!$M$6:$M$85,MATCH(54,'Option Analysis'!$AN$6:$AN$85,0)),"")</f>
        <v>13.8</v>
      </c>
      <c r="Q59" s="25" t="n">
        <f aca="false">IFERROR(INDEX('Option Analysis'!$AU$6:$AU$85,MATCH(54,'Option Analysis'!$AN$6:$AN$85,0)),"")</f>
        <v>13.25</v>
      </c>
      <c r="R59" s="9" t="n">
        <f aca="false">IFERROR(INDEX('Option Analysis'!$AV$6:$AV$85,MATCH(54,'Option Analysis'!$AN$6:$AN$85,0)),"")</f>
        <v>10</v>
      </c>
    </row>
    <row r="60" customFormat="false" ht="15" hidden="false" customHeight="false" outlineLevel="0" collapsed="false">
      <c r="A60" s="9" t="n">
        <f aca="false">IF(ISNUMBER(MATCH(55,'Option Analysis'!$AN$6:$AN$85,0)),55,"")</f>
        <v>55</v>
      </c>
      <c r="B60" s="9" t="str">
        <f aca="false">IFERROR(INDEX('Option Analysis'!$A$6:$A$85,MATCH(55,'Option Analysis'!$AN$6:$AN$85,0)),"")</f>
        <v>OPT032</v>
      </c>
      <c r="C60" s="9" t="str">
        <f aca="false">IFERROR(INDEX('Option Analysis'!$B$6:$B$85,MATCH(55,'Option Analysis'!$AN$6:$AN$85,0)),"")</f>
        <v>Flannel shirt Sand</v>
      </c>
      <c r="D60" s="9" t="str">
        <f aca="false">IFERROR(INDEX('Option Analysis'!$C$6:$C$85,MATCH(55,'Option Analysis'!$AN$6:$AN$85,0)),"")</f>
        <v>Shirts</v>
      </c>
      <c r="E60" s="9" t="str">
        <f aca="false">IFERROR(INDEX('Option Analysis'!$AC$6:$AC$85,MATCH(55,'Option Analysis'!$AN$6:$AN$85,0)),"")</f>
        <v>Selling and short</v>
      </c>
      <c r="F60" s="9" t="str">
        <f aca="false">IFERROR(INDEX('Option Analysis'!$AD$6:$AD$85,MATCH(55,'Option Analysis'!$AN$6:$AN$85,0)),"")</f>
        <v/>
      </c>
      <c r="G60" s="14" t="n">
        <f aca="false">IFERROR(INDEX('Option Analysis'!$AL$6:$AL$85,MATCH(55,'Option Analysis'!$AN$6:$AN$85,0)),"")</f>
        <v>0</v>
      </c>
      <c r="H60" s="14" t="n">
        <f aca="false">IFERROR(INDEX('Option Analysis'!$AK$6:$AK$85,MATCH(55,'Option Analysis'!$AN$6:$AN$85,0)),"")</f>
        <v>0</v>
      </c>
      <c r="I60" s="14" t="n">
        <f aca="false">IFERROR(INDEX('Option Analysis'!$AI$6:$AI$85,MATCH(55,'Option Analysis'!$AN$6:$AN$85,0)),"")</f>
        <v>0</v>
      </c>
      <c r="J60" s="14" t="n">
        <f aca="false">IFERROR(INDEX('Option Analysis'!$AJ$6:$AJ$85,MATCH(55,'Option Analysis'!$AN$6:$AN$85,0)),"")</f>
        <v>0</v>
      </c>
      <c r="K60" s="25" t="n">
        <f aca="false">IFERROR(INDEX('Option Analysis'!$S$6:$S$85,MATCH(55,'Option Analysis'!$AN$6:$AN$85,0)),"")</f>
        <v>5.74074074074074</v>
      </c>
      <c r="L60" s="13" t="n">
        <f aca="false">IFERROR(INDEX('Option Analysis'!$Q$6:$Q$85,MATCH(55,'Option Analysis'!$AN$6:$AN$85,0)),"")</f>
        <v>0.790540540540541</v>
      </c>
      <c r="M60" s="9" t="str">
        <f aca="false">IFERROR(INDEX('Option Analysis'!$AM$6:$AM$85,MATCH(55,'Option Analysis'!$AN$6:$AN$85,0)),"")</f>
        <v>Reorder</v>
      </c>
      <c r="N60" s="9" t="str">
        <f aca="false">IFERROR(INDEX('Option Analysis'!$AF$6:$AF$85,MATCH(55,'Option Analysis'!$AN$6:$AN$85,0)),"")</f>
        <v>Merchandiser</v>
      </c>
      <c r="O60" s="9" t="str">
        <f aca="false">IF(A60="","",IF(IFERROR(INDEX('Option Analysis'!$AM$6:$AM$85,MATCH(55,'Option Analysis'!$AN$6:$AN$85,0)),"")=IFERROR(INDEX('Option Analysis'!$AE$6:$AE$85,MATCH(55,'Option Analysis'!$AN$6:$AN$85,0)),""),"",IFERROR(INDEX('Option Analysis'!$AE$6:$AE$85,MATCH(55,'Option Analysis'!$AN$6:$AN$85,0)),"")))</f>
        <v/>
      </c>
      <c r="P60" s="25" t="n">
        <f aca="false">IFERROR(INDEX('Option Analysis'!$M$6:$M$85,MATCH(55,'Option Analysis'!$AN$6:$AN$85,0)),"")</f>
        <v>12</v>
      </c>
      <c r="Q60" s="25" t="n">
        <f aca="false">IFERROR(INDEX('Option Analysis'!$AU$6:$AU$85,MATCH(55,'Option Analysis'!$AN$6:$AN$85,0)),"")</f>
        <v>11.75</v>
      </c>
      <c r="R60" s="9" t="n">
        <f aca="false">IFERROR(INDEX('Option Analysis'!$AV$6:$AV$85,MATCH(55,'Option Analysis'!$AN$6:$AN$85,0)),"")</f>
        <v>11</v>
      </c>
    </row>
    <row r="61" customFormat="false" ht="15" hidden="false" customHeight="false" outlineLevel="0" collapsed="false">
      <c r="A61" s="9" t="n">
        <f aca="false">IF(ISNUMBER(MATCH(56,'Option Analysis'!$AN$6:$AN$85,0)),56,"")</f>
        <v>56</v>
      </c>
      <c r="B61" s="9" t="str">
        <f aca="false">IFERROR(INDEX('Option Analysis'!$A$6:$A$85,MATCH(56,'Option Analysis'!$AN$6:$AN$85,0)),"")</f>
        <v>OPT026</v>
      </c>
      <c r="C61" s="9" t="str">
        <f aca="false">IFERROR(INDEX('Option Analysis'!$B$6:$B$85,MATCH(56,'Option Analysis'!$AN$6:$AN$85,0)),"")</f>
        <v>Lambswool crew Tan</v>
      </c>
      <c r="D61" s="9" t="str">
        <f aca="false">IFERROR(INDEX('Option Analysis'!$C$6:$C$85,MATCH(56,'Option Analysis'!$AN$6:$AN$85,0)),"")</f>
        <v>Knitwear</v>
      </c>
      <c r="E61" s="9" t="str">
        <f aca="false">IFERROR(INDEX('Option Analysis'!$AC$6:$AC$85,MATCH(56,'Option Analysis'!$AN$6:$AN$85,0)),"")</f>
        <v>Slow, covered</v>
      </c>
      <c r="F61" s="9" t="str">
        <f aca="false">IFERROR(INDEX('Option Analysis'!$AD$6:$AD$85,MATCH(56,'Option Analysis'!$AN$6:$AN$85,0)),"")</f>
        <v/>
      </c>
      <c r="G61" s="14" t="n">
        <f aca="false">IFERROR(INDEX('Option Analysis'!$AL$6:$AL$85,MATCH(56,'Option Analysis'!$AN$6:$AN$85,0)),"")</f>
        <v>0</v>
      </c>
      <c r="H61" s="14" t="n">
        <f aca="false">IFERROR(INDEX('Option Analysis'!$AK$6:$AK$85,MATCH(56,'Option Analysis'!$AN$6:$AN$85,0)),"")</f>
        <v>0</v>
      </c>
      <c r="I61" s="14" t="n">
        <f aca="false">IFERROR(INDEX('Option Analysis'!$AI$6:$AI$85,MATCH(56,'Option Analysis'!$AN$6:$AN$85,0)),"")</f>
        <v>0</v>
      </c>
      <c r="J61" s="14" t="n">
        <f aca="false">IFERROR(INDEX('Option Analysis'!$AJ$6:$AJ$85,MATCH(56,'Option Analysis'!$AN$6:$AN$85,0)),"")</f>
        <v>0</v>
      </c>
      <c r="K61" s="25" t="n">
        <f aca="false">IFERROR(INDEX('Option Analysis'!$S$6:$S$85,MATCH(56,'Option Analysis'!$AN$6:$AN$85,0)),"")</f>
        <v>9.50994662785056</v>
      </c>
      <c r="L61" s="13" t="n">
        <f aca="false">IFERROR(INDEX('Option Analysis'!$Q$6:$Q$85,MATCH(56,'Option Analysis'!$AN$6:$AN$85,0)),"")</f>
        <v>0.717579250720461</v>
      </c>
      <c r="M61" s="9" t="str">
        <f aca="false">IFERROR(INDEX('Option Analysis'!$AM$6:$AM$85,MATCH(56,'Option Analysis'!$AN$6:$AN$85,0)),"")</f>
        <v>Watch; re-merchandise if it does not move</v>
      </c>
      <c r="N61" s="9" t="str">
        <f aca="false">IFERROR(INDEX('Option Analysis'!$AF$6:$AF$85,MATCH(56,'Option Analysis'!$AN$6:$AN$85,0)),"")</f>
        <v>Trading Manager</v>
      </c>
      <c r="O61" s="9" t="str">
        <f aca="false">IF(A61="","",IF(IFERROR(INDEX('Option Analysis'!$AM$6:$AM$85,MATCH(56,'Option Analysis'!$AN$6:$AN$85,0)),"")=IFERROR(INDEX('Option Analysis'!$AE$6:$AE$85,MATCH(56,'Option Analysis'!$AN$6:$AN$85,0)),""),"",IFERROR(INDEX('Option Analysis'!$AE$6:$AE$85,MATCH(56,'Option Analysis'!$AN$6:$AN$85,0)),"")))</f>
        <v/>
      </c>
      <c r="P61" s="25" t="n">
        <f aca="false">IFERROR(INDEX('Option Analysis'!$M$6:$M$85,MATCH(56,'Option Analysis'!$AN$6:$AN$85,0)),"")</f>
        <v>22.9</v>
      </c>
      <c r="Q61" s="25" t="n">
        <f aca="false">IFERROR(INDEX('Option Analysis'!$AU$6:$AU$85,MATCH(56,'Option Analysis'!$AN$6:$AN$85,0)),"")</f>
        <v>22.5</v>
      </c>
      <c r="R61" s="9" t="n">
        <f aca="false">IFERROR(INDEX('Option Analysis'!$AV$6:$AV$85,MATCH(56,'Option Analysis'!$AN$6:$AN$85,0)),"")</f>
        <v>5</v>
      </c>
    </row>
    <row r="62" customFormat="false" ht="15" hidden="false" customHeight="false" outlineLevel="0" collapsed="false">
      <c r="A62" s="9" t="n">
        <f aca="false">IF(ISNUMBER(MATCH(57,'Option Analysis'!$AN$6:$AN$85,0)),57,"")</f>
        <v>57</v>
      </c>
      <c r="B62" s="9" t="str">
        <f aca="false">IFERROR(INDEX('Option Analysis'!$A$6:$A$85,MATCH(57,'Option Analysis'!$AN$6:$AN$85,0)),"")</f>
        <v>OPT023</v>
      </c>
      <c r="C62" s="9" t="str">
        <f aca="false">IFERROR(INDEX('Option Analysis'!$B$6:$B$85,MATCH(57,'Option Analysis'!$AN$6:$AN$85,0)),"")</f>
        <v>Shawl cardigan Mustard</v>
      </c>
      <c r="D62" s="9" t="str">
        <f aca="false">IFERROR(INDEX('Option Analysis'!$C$6:$C$85,MATCH(57,'Option Analysis'!$AN$6:$AN$85,0)),"")</f>
        <v>Knitwear</v>
      </c>
      <c r="E62" s="9" t="str">
        <f aca="false">IFERROR(INDEX('Option Analysis'!$AC$6:$AC$85,MATCH(57,'Option Analysis'!$AN$6:$AN$85,0)),"")</f>
        <v>Selling, covered</v>
      </c>
      <c r="F62" s="9" t="str">
        <f aca="false">IFERROR(INDEX('Option Analysis'!$AD$6:$AD$85,MATCH(57,'Option Analysis'!$AN$6:$AN$85,0)),"")</f>
        <v/>
      </c>
      <c r="G62" s="14" t="n">
        <f aca="false">IFERROR(INDEX('Option Analysis'!$AL$6:$AL$85,MATCH(57,'Option Analysis'!$AN$6:$AN$85,0)),"")</f>
        <v>0</v>
      </c>
      <c r="H62" s="14" t="n">
        <f aca="false">IFERROR(INDEX('Option Analysis'!$AK$6:$AK$85,MATCH(57,'Option Analysis'!$AN$6:$AN$85,0)),"")</f>
        <v>0</v>
      </c>
      <c r="I62" s="14" t="n">
        <f aca="false">IFERROR(INDEX('Option Analysis'!$AI$6:$AI$85,MATCH(57,'Option Analysis'!$AN$6:$AN$85,0)),"")</f>
        <v>0</v>
      </c>
      <c r="J62" s="14" t="n">
        <f aca="false">IFERROR(INDEX('Option Analysis'!$AJ$6:$AJ$85,MATCH(57,'Option Analysis'!$AN$6:$AN$85,0)),"")</f>
        <v>0</v>
      </c>
      <c r="K62" s="25" t="n">
        <f aca="false">IFERROR(INDEX('Option Analysis'!$S$6:$S$85,MATCH(57,'Option Analysis'!$AN$6:$AN$85,0)),"")</f>
        <v>9.1324200913242</v>
      </c>
      <c r="L62" s="13" t="n">
        <f aca="false">IFERROR(INDEX('Option Analysis'!$Q$6:$Q$85,MATCH(57,'Option Analysis'!$AN$6:$AN$85,0)),"")</f>
        <v>0.733333333333333</v>
      </c>
      <c r="M62" s="9" t="str">
        <f aca="false">IFERROR(INDEX('Option Analysis'!$AM$6:$AM$85,MATCH(57,'Option Analysis'!$AN$6:$AN$85,0)),"")</f>
        <v>Hold</v>
      </c>
      <c r="N62" s="9" t="str">
        <f aca="false">IFERROR(INDEX('Option Analysis'!$AF$6:$AF$85,MATCH(57,'Option Analysis'!$AN$6:$AN$85,0)),"")</f>
        <v>Merchandiser</v>
      </c>
      <c r="O62" s="9" t="str">
        <f aca="false">IF(A62="","",IF(IFERROR(INDEX('Option Analysis'!$AM$6:$AM$85,MATCH(57,'Option Analysis'!$AN$6:$AN$85,0)),"")=IFERROR(INDEX('Option Analysis'!$AE$6:$AE$85,MATCH(57,'Option Analysis'!$AN$6:$AN$85,0)),""),"",IFERROR(INDEX('Option Analysis'!$AE$6:$AE$85,MATCH(57,'Option Analysis'!$AN$6:$AN$85,0)),"")))</f>
        <v/>
      </c>
      <c r="P62" s="25" t="n">
        <f aca="false">IFERROR(INDEX('Option Analysis'!$M$6:$M$85,MATCH(57,'Option Analysis'!$AN$6:$AN$85,0)),"")</f>
        <v>14.6</v>
      </c>
      <c r="Q62" s="25" t="n">
        <f aca="false">IFERROR(INDEX('Option Analysis'!$AU$6:$AU$85,MATCH(57,'Option Analysis'!$AN$6:$AN$85,0)),"")</f>
        <v>14.25</v>
      </c>
      <c r="R62" s="9" t="n">
        <f aca="false">IFERROR(INDEX('Option Analysis'!$AV$6:$AV$85,MATCH(57,'Option Analysis'!$AN$6:$AN$85,0)),"")</f>
        <v>9</v>
      </c>
    </row>
    <row r="63" customFormat="false" ht="15" hidden="false" customHeight="false" outlineLevel="0" collapsed="false">
      <c r="A63" s="9" t="n">
        <f aca="false">IF(ISNUMBER(MATCH(58,'Option Analysis'!$AN$6:$AN$85,0)),58,"")</f>
        <v>58</v>
      </c>
      <c r="B63" s="9" t="str">
        <f aca="false">IFERROR(INDEX('Option Analysis'!$A$6:$A$85,MATCH(58,'Option Analysis'!$AN$6:$AN$85,0)),"")</f>
        <v>OPT016</v>
      </c>
      <c r="C63" s="9" t="str">
        <f aca="false">IFERROR(INDEX('Option Analysis'!$B$6:$B$85,MATCH(58,'Option Analysis'!$AN$6:$AN$85,0)),"")</f>
        <v>Lambswool crew Burgundy</v>
      </c>
      <c r="D63" s="9" t="str">
        <f aca="false">IFERROR(INDEX('Option Analysis'!$C$6:$C$85,MATCH(58,'Option Analysis'!$AN$6:$AN$85,0)),"")</f>
        <v>Knitwear</v>
      </c>
      <c r="E63" s="9" t="str">
        <f aca="false">IFERROR(INDEX('Option Analysis'!$AC$6:$AC$85,MATCH(58,'Option Analysis'!$AN$6:$AN$85,0)),"")</f>
        <v>Selling and short</v>
      </c>
      <c r="F63" s="9" t="str">
        <f aca="false">IFERROR(INDEX('Option Analysis'!$AD$6:$AD$85,MATCH(58,'Option Analysis'!$AN$6:$AN$85,0)),"")</f>
        <v>Covering for 1 sold-out line(s).</v>
      </c>
      <c r="G63" s="14" t="n">
        <f aca="false">IFERROR(INDEX('Option Analysis'!$AL$6:$AL$85,MATCH(58,'Option Analysis'!$AN$6:$AN$85,0)),"")</f>
        <v>0</v>
      </c>
      <c r="H63" s="14" t="n">
        <f aca="false">IFERROR(INDEX('Option Analysis'!$AK$6:$AK$85,MATCH(58,'Option Analysis'!$AN$6:$AN$85,0)),"")</f>
        <v>0</v>
      </c>
      <c r="I63" s="14" t="n">
        <f aca="false">IFERROR(INDEX('Option Analysis'!$AI$6:$AI$85,MATCH(58,'Option Analysis'!$AN$6:$AN$85,0)),"")</f>
        <v>0</v>
      </c>
      <c r="J63" s="14" t="n">
        <f aca="false">IFERROR(INDEX('Option Analysis'!$AJ$6:$AJ$85,MATCH(58,'Option Analysis'!$AN$6:$AN$85,0)),"")</f>
        <v>0</v>
      </c>
      <c r="K63" s="25" t="n">
        <f aca="false">IFERROR(INDEX('Option Analysis'!$S$6:$S$85,MATCH(58,'Option Analysis'!$AN$6:$AN$85,0)),"")</f>
        <v>2.04375359815774</v>
      </c>
      <c r="L63" s="13" t="n">
        <f aca="false">IFERROR(INDEX('Option Analysis'!$Q$6:$Q$85,MATCH(58,'Option Analysis'!$AN$6:$AN$85,0)),"")</f>
        <v>0.879045996592845</v>
      </c>
      <c r="M63" s="9" t="str">
        <f aca="false">IFERROR(INDEX('Option Analysis'!$AM$6:$AM$85,MATCH(58,'Option Analysis'!$AN$6:$AN$85,0)),"")</f>
        <v>Check how much of its rate is borrowed from a sold-out line before reordering</v>
      </c>
      <c r="N63" s="9" t="str">
        <f aca="false">IFERROR(INDEX('Option Analysis'!$AF$6:$AF$85,MATCH(58,'Option Analysis'!$AN$6:$AN$85,0)),"")</f>
        <v>Merchandiser</v>
      </c>
      <c r="O63" s="9" t="str">
        <f aca="false">IF(A63="","",IF(IFERROR(INDEX('Option Analysis'!$AM$6:$AM$85,MATCH(58,'Option Analysis'!$AN$6:$AN$85,0)),"")=IFERROR(INDEX('Option Analysis'!$AE$6:$AE$85,MATCH(58,'Option Analysis'!$AN$6:$AN$85,0)),""),"",IFERROR(INDEX('Option Analysis'!$AE$6:$AE$85,MATCH(58,'Option Analysis'!$AN$6:$AN$85,0)),"")))</f>
        <v/>
      </c>
      <c r="P63" s="25" t="n">
        <f aca="false">IFERROR(INDEX('Option Analysis'!$M$6:$M$85,MATCH(58,'Option Analysis'!$AN$6:$AN$85,0)),"")</f>
        <v>38.6</v>
      </c>
      <c r="Q63" s="25" t="n">
        <f aca="false">IFERROR(INDEX('Option Analysis'!$AU$6:$AU$85,MATCH(58,'Option Analysis'!$AN$6:$AN$85,0)),"")</f>
        <v>37.75</v>
      </c>
      <c r="R63" s="9" t="n">
        <f aca="false">IFERROR(INDEX('Option Analysis'!$AV$6:$AV$85,MATCH(58,'Option Analysis'!$AN$6:$AN$85,0)),"")</f>
        <v>1</v>
      </c>
    </row>
    <row r="64" customFormat="false" ht="15" hidden="false" customHeight="false" outlineLevel="0" collapsed="false">
      <c r="A64" s="9" t="n">
        <f aca="false">IF(ISNUMBER(MATCH(59,'Option Analysis'!$AN$6:$AN$85,0)),59,"")</f>
        <v>59</v>
      </c>
      <c r="B64" s="9" t="str">
        <f aca="false">IFERROR(INDEX('Option Analysis'!$A$6:$A$85,MATCH(59,'Option Analysis'!$AN$6:$AN$85,0)),"")</f>
        <v>OPT006</v>
      </c>
      <c r="C64" s="9" t="str">
        <f aca="false">IFERROR(INDEX('Option Analysis'!$B$6:$B$85,MATCH(59,'Option Analysis'!$AN$6:$AN$85,0)),"")</f>
        <v>Overcoat Rust</v>
      </c>
      <c r="D64" s="9" t="str">
        <f aca="false">IFERROR(INDEX('Option Analysis'!$C$6:$C$85,MATCH(59,'Option Analysis'!$AN$6:$AN$85,0)),"")</f>
        <v>Outerwear</v>
      </c>
      <c r="E64" s="9" t="str">
        <f aca="false">IFERROR(INDEX('Option Analysis'!$AC$6:$AC$85,MATCH(59,'Option Analysis'!$AN$6:$AN$85,0)),"")</f>
        <v>Slow and short</v>
      </c>
      <c r="F64" s="9" t="str">
        <f aca="false">IFERROR(INDEX('Option Analysis'!$AD$6:$AD$85,MATCH(59,'Option Analysis'!$AN$6:$AN$85,0)),"")</f>
        <v/>
      </c>
      <c r="G64" s="14" t="n">
        <f aca="false">IFERROR(INDEX('Option Analysis'!$AL$6:$AL$85,MATCH(59,'Option Analysis'!$AN$6:$AN$85,0)),"")</f>
        <v>0</v>
      </c>
      <c r="H64" s="14" t="n">
        <f aca="false">IFERROR(INDEX('Option Analysis'!$AK$6:$AK$85,MATCH(59,'Option Analysis'!$AN$6:$AN$85,0)),"")</f>
        <v>0</v>
      </c>
      <c r="I64" s="14" t="n">
        <f aca="false">IFERROR(INDEX('Option Analysis'!$AI$6:$AI$85,MATCH(59,'Option Analysis'!$AN$6:$AN$85,0)),"")</f>
        <v>0</v>
      </c>
      <c r="J64" s="14" t="n">
        <f aca="false">IFERROR(INDEX('Option Analysis'!$AJ$6:$AJ$85,MATCH(59,'Option Analysis'!$AN$6:$AN$85,0)),"")</f>
        <v>0</v>
      </c>
      <c r="K64" s="25" t="n">
        <f aca="false">IFERROR(INDEX('Option Analysis'!$S$6:$S$85,MATCH(59,'Option Analysis'!$AN$6:$AN$85,0)),"")</f>
        <v>2.77777777777778</v>
      </c>
      <c r="L64" s="13" t="n">
        <f aca="false">IFERROR(INDEX('Option Analysis'!$Q$6:$Q$85,MATCH(59,'Option Analysis'!$AN$6:$AN$85,0)),"")</f>
        <v>0.390007457121551</v>
      </c>
      <c r="M64" s="9" t="str">
        <f aca="false">IFERROR(INDEX('Option Analysis'!$AM$6:$AM$85,MATCH(59,'Option Analysis'!$AN$6:$AN$85,0)),"")</f>
        <v>Check availability and findability before judging demand</v>
      </c>
      <c r="N64" s="9" t="str">
        <f aca="false">IFERROR(INDEX('Option Analysis'!$AF$6:$AF$85,MATCH(59,'Option Analysis'!$AN$6:$AN$85,0)),"")</f>
        <v>Merchandiser</v>
      </c>
      <c r="O64" s="9" t="str">
        <f aca="false">IF(A64="","",IF(IFERROR(INDEX('Option Analysis'!$AM$6:$AM$85,MATCH(59,'Option Analysis'!$AN$6:$AN$85,0)),"")=IFERROR(INDEX('Option Analysis'!$AE$6:$AE$85,MATCH(59,'Option Analysis'!$AN$6:$AN$85,0)),""),"",IFERROR(INDEX('Option Analysis'!$AE$6:$AE$85,MATCH(59,'Option Analysis'!$AN$6:$AN$85,0)),"")))</f>
        <v/>
      </c>
      <c r="P64" s="25" t="n">
        <f aca="false">IFERROR(INDEX('Option Analysis'!$M$6:$M$85,MATCH(59,'Option Analysis'!$AN$6:$AN$85,0)),"")</f>
        <v>14.8</v>
      </c>
      <c r="Q64" s="25" t="n">
        <f aca="false">IFERROR(INDEX('Option Analysis'!$AU$6:$AU$85,MATCH(59,'Option Analysis'!$AN$6:$AN$85,0)),"")</f>
        <v>14.5</v>
      </c>
      <c r="R64" s="9" t="n">
        <f aca="false">IFERROR(INDEX('Option Analysis'!$AV$6:$AV$85,MATCH(59,'Option Analysis'!$AN$6:$AN$85,0)),"")</f>
        <v>7</v>
      </c>
    </row>
    <row r="65" customFormat="false" ht="15" hidden="false" customHeight="false" outlineLevel="0" collapsed="false">
      <c r="A65" s="9" t="n">
        <f aca="false">IF(ISNUMBER(MATCH(60,'Option Analysis'!$AN$6:$AN$85,0)),60,"")</f>
        <v>60</v>
      </c>
      <c r="B65" s="9" t="str">
        <f aca="false">IFERROR(INDEX('Option Analysis'!$A$6:$A$85,MATCH(60,'Option Analysis'!$AN$6:$AN$85,0)),"")</f>
        <v>OPT005</v>
      </c>
      <c r="C65" s="9" t="str">
        <f aca="false">IFERROR(INDEX('Option Analysis'!$B$6:$B$85,MATCH(60,'Option Analysis'!$AN$6:$AN$85,0)),"")</f>
        <v>Puffer jacket Burgundy</v>
      </c>
      <c r="D65" s="9" t="str">
        <f aca="false">IFERROR(INDEX('Option Analysis'!$C$6:$C$85,MATCH(60,'Option Analysis'!$AN$6:$AN$85,0)),"")</f>
        <v>Outerwear</v>
      </c>
      <c r="E65" s="9" t="str">
        <f aca="false">IFERROR(INDEX('Option Analysis'!$AC$6:$AC$85,MATCH(60,'Option Analysis'!$AN$6:$AN$85,0)),"")</f>
        <v>Slow and short</v>
      </c>
      <c r="F65" s="9" t="str">
        <f aca="false">IFERROR(INDEX('Option Analysis'!$AD$6:$AD$85,MATCH(60,'Option Analysis'!$AN$6:$AN$85,0)),"")</f>
        <v/>
      </c>
      <c r="G65" s="14" t="n">
        <f aca="false">IFERROR(INDEX('Option Analysis'!$AL$6:$AL$85,MATCH(60,'Option Analysis'!$AN$6:$AN$85,0)),"")</f>
        <v>0</v>
      </c>
      <c r="H65" s="14" t="n">
        <f aca="false">IFERROR(INDEX('Option Analysis'!$AK$6:$AK$85,MATCH(60,'Option Analysis'!$AN$6:$AN$85,0)),"")</f>
        <v>0</v>
      </c>
      <c r="I65" s="14" t="n">
        <f aca="false">IFERROR(INDEX('Option Analysis'!$AI$6:$AI$85,MATCH(60,'Option Analysis'!$AN$6:$AN$85,0)),"")</f>
        <v>0</v>
      </c>
      <c r="J65" s="14" t="n">
        <f aca="false">IFERROR(INDEX('Option Analysis'!$AJ$6:$AJ$85,MATCH(60,'Option Analysis'!$AN$6:$AN$85,0)),"")</f>
        <v>0</v>
      </c>
      <c r="K65" s="25" t="n">
        <f aca="false">IFERROR(INDEX('Option Analysis'!$S$6:$S$85,MATCH(60,'Option Analysis'!$AN$6:$AN$85,0)),"")</f>
        <v>2.85423037716616</v>
      </c>
      <c r="L65" s="13" t="n">
        <f aca="false">IFERROR(INDEX('Option Analysis'!$Q$6:$Q$85,MATCH(60,'Option Analysis'!$AN$6:$AN$85,0)),"")</f>
        <v>0.464419475655431</v>
      </c>
      <c r="M65" s="9" t="str">
        <f aca="false">IFERROR(INDEX('Option Analysis'!$AM$6:$AM$85,MATCH(60,'Option Analysis'!$AN$6:$AN$85,0)),"")</f>
        <v>Check availability and findability before judging demand</v>
      </c>
      <c r="N65" s="9" t="str">
        <f aca="false">IFERROR(INDEX('Option Analysis'!$AF$6:$AF$85,MATCH(60,'Option Analysis'!$AN$6:$AN$85,0)),"")</f>
        <v>Merchandiser</v>
      </c>
      <c r="O65" s="9" t="str">
        <f aca="false">IF(A65="","",IF(IFERROR(INDEX('Option Analysis'!$AM$6:$AM$85,MATCH(60,'Option Analysis'!$AN$6:$AN$85,0)),"")=IFERROR(INDEX('Option Analysis'!$AE$6:$AE$85,MATCH(60,'Option Analysis'!$AN$6:$AN$85,0)),""),"",IFERROR(INDEX('Option Analysis'!$AE$6:$AE$85,MATCH(60,'Option Analysis'!$AN$6:$AN$85,0)),"")))</f>
        <v/>
      </c>
      <c r="P65" s="25" t="n">
        <f aca="false">IFERROR(INDEX('Option Analysis'!$M$6:$M$85,MATCH(60,'Option Analysis'!$AN$6:$AN$85,0)),"")</f>
        <v>10.9</v>
      </c>
      <c r="Q65" s="25" t="n">
        <f aca="false">IFERROR(INDEX('Option Analysis'!$AU$6:$AU$85,MATCH(60,'Option Analysis'!$AN$6:$AN$85,0)),"")</f>
        <v>10.25</v>
      </c>
      <c r="R65" s="9" t="n">
        <f aca="false">IFERROR(INDEX('Option Analysis'!$AV$6:$AV$85,MATCH(60,'Option Analysis'!$AN$6:$AN$85,0)),"")</f>
        <v>11</v>
      </c>
    </row>
    <row r="66" customFormat="false" ht="15" hidden="false" customHeight="false" outlineLevel="0" collapsed="false">
      <c r="A66" s="9" t="str">
        <f aca="false">IF(ISNUMBER(MATCH(61,'Option Analysis'!$AN$6:$AN$85,0)),61,"")</f>
        <v/>
      </c>
      <c r="B66" s="9" t="str">
        <f aca="false">IFERROR(INDEX('Option Analysis'!$A$6:$A$85,MATCH(61,'Option Analysis'!$AN$6:$AN$85,0)),"")</f>
        <v/>
      </c>
      <c r="C66" s="9" t="str">
        <f aca="false">IFERROR(INDEX('Option Analysis'!$B$6:$B$85,MATCH(61,'Option Analysis'!$AN$6:$AN$85,0)),"")</f>
        <v/>
      </c>
      <c r="D66" s="9" t="str">
        <f aca="false">IFERROR(INDEX('Option Analysis'!$C$6:$C$85,MATCH(61,'Option Analysis'!$AN$6:$AN$85,0)),"")</f>
        <v/>
      </c>
      <c r="E66" s="9" t="str">
        <f aca="false">IFERROR(INDEX('Option Analysis'!$AC$6:$AC$85,MATCH(61,'Option Analysis'!$AN$6:$AN$85,0)),"")</f>
        <v/>
      </c>
      <c r="F66" s="9" t="str">
        <f aca="false">IFERROR(INDEX('Option Analysis'!$AD$6:$AD$85,MATCH(61,'Option Analysis'!$AN$6:$AN$85,0)),"")</f>
        <v/>
      </c>
      <c r="G66" s="14" t="str">
        <f aca="false">IFERROR(INDEX('Option Analysis'!$AL$6:$AL$85,MATCH(61,'Option Analysis'!$AN$6:$AN$85,0)),"")</f>
        <v/>
      </c>
      <c r="H66" s="14" t="str">
        <f aca="false">IFERROR(INDEX('Option Analysis'!$AK$6:$AK$85,MATCH(61,'Option Analysis'!$AN$6:$AN$85,0)),"")</f>
        <v/>
      </c>
      <c r="I66" s="14" t="str">
        <f aca="false">IFERROR(INDEX('Option Analysis'!$AI$6:$AI$85,MATCH(61,'Option Analysis'!$AN$6:$AN$85,0)),"")</f>
        <v/>
      </c>
      <c r="J66" s="14" t="str">
        <f aca="false">IFERROR(INDEX('Option Analysis'!$AJ$6:$AJ$85,MATCH(61,'Option Analysis'!$AN$6:$AN$85,0)),"")</f>
        <v/>
      </c>
      <c r="K66" s="25" t="str">
        <f aca="false">IFERROR(INDEX('Option Analysis'!$S$6:$S$85,MATCH(61,'Option Analysis'!$AN$6:$AN$85,0)),"")</f>
        <v/>
      </c>
      <c r="L66" s="13" t="str">
        <f aca="false">IFERROR(INDEX('Option Analysis'!$Q$6:$Q$85,MATCH(61,'Option Analysis'!$AN$6:$AN$85,0)),"")</f>
        <v/>
      </c>
      <c r="M66" s="9" t="str">
        <f aca="false">IFERROR(INDEX('Option Analysis'!$AM$6:$AM$85,MATCH(61,'Option Analysis'!$AN$6:$AN$85,0)),"")</f>
        <v/>
      </c>
      <c r="N66" s="9" t="str">
        <f aca="false">IFERROR(INDEX('Option Analysis'!$AF$6:$AF$85,MATCH(61,'Option Analysis'!$AN$6:$AN$85,0)),"")</f>
        <v/>
      </c>
      <c r="O66" s="9" t="str">
        <f aca="false">IF(A66="","",IF(IFERROR(INDEX('Option Analysis'!$AM$6:$AM$85,MATCH(61,'Option Analysis'!$AN$6:$AN$85,0)),"")=IFERROR(INDEX('Option Analysis'!$AE$6:$AE$85,MATCH(61,'Option Analysis'!$AN$6:$AN$85,0)),""),"",IFERROR(INDEX('Option Analysis'!$AE$6:$AE$85,MATCH(61,'Option Analysis'!$AN$6:$AN$85,0)),"")))</f>
        <v/>
      </c>
      <c r="P66" s="25" t="str">
        <f aca="false">IFERROR(INDEX('Option Analysis'!$M$6:$M$85,MATCH(61,'Option Analysis'!$AN$6:$AN$85,0)),"")</f>
        <v/>
      </c>
      <c r="Q66" s="25" t="str">
        <f aca="false">IFERROR(INDEX('Option Analysis'!$AU$6:$AU$85,MATCH(61,'Option Analysis'!$AN$6:$AN$85,0)),"")</f>
        <v/>
      </c>
      <c r="R66" s="9" t="str">
        <f aca="false">IFERROR(INDEX('Option Analysis'!$AV$6:$AV$85,MATCH(61,'Option Analysis'!$AN$6:$AN$85,0)),"")</f>
        <v/>
      </c>
    </row>
    <row r="67" customFormat="false" ht="15" hidden="false" customHeight="false" outlineLevel="0" collapsed="false">
      <c r="A67" s="9" t="str">
        <f aca="false">IF(ISNUMBER(MATCH(62,'Option Analysis'!$AN$6:$AN$85,0)),62,"")</f>
        <v/>
      </c>
      <c r="B67" s="9" t="str">
        <f aca="false">IFERROR(INDEX('Option Analysis'!$A$6:$A$85,MATCH(62,'Option Analysis'!$AN$6:$AN$85,0)),"")</f>
        <v/>
      </c>
      <c r="C67" s="9" t="str">
        <f aca="false">IFERROR(INDEX('Option Analysis'!$B$6:$B$85,MATCH(62,'Option Analysis'!$AN$6:$AN$85,0)),"")</f>
        <v/>
      </c>
      <c r="D67" s="9" t="str">
        <f aca="false">IFERROR(INDEX('Option Analysis'!$C$6:$C$85,MATCH(62,'Option Analysis'!$AN$6:$AN$85,0)),"")</f>
        <v/>
      </c>
      <c r="E67" s="9" t="str">
        <f aca="false">IFERROR(INDEX('Option Analysis'!$AC$6:$AC$85,MATCH(62,'Option Analysis'!$AN$6:$AN$85,0)),"")</f>
        <v/>
      </c>
      <c r="F67" s="9" t="str">
        <f aca="false">IFERROR(INDEX('Option Analysis'!$AD$6:$AD$85,MATCH(62,'Option Analysis'!$AN$6:$AN$85,0)),"")</f>
        <v/>
      </c>
      <c r="G67" s="14" t="str">
        <f aca="false">IFERROR(INDEX('Option Analysis'!$AL$6:$AL$85,MATCH(62,'Option Analysis'!$AN$6:$AN$85,0)),"")</f>
        <v/>
      </c>
      <c r="H67" s="14" t="str">
        <f aca="false">IFERROR(INDEX('Option Analysis'!$AK$6:$AK$85,MATCH(62,'Option Analysis'!$AN$6:$AN$85,0)),"")</f>
        <v/>
      </c>
      <c r="I67" s="14" t="str">
        <f aca="false">IFERROR(INDEX('Option Analysis'!$AI$6:$AI$85,MATCH(62,'Option Analysis'!$AN$6:$AN$85,0)),"")</f>
        <v/>
      </c>
      <c r="J67" s="14" t="str">
        <f aca="false">IFERROR(INDEX('Option Analysis'!$AJ$6:$AJ$85,MATCH(62,'Option Analysis'!$AN$6:$AN$85,0)),"")</f>
        <v/>
      </c>
      <c r="K67" s="25" t="str">
        <f aca="false">IFERROR(INDEX('Option Analysis'!$S$6:$S$85,MATCH(62,'Option Analysis'!$AN$6:$AN$85,0)),"")</f>
        <v/>
      </c>
      <c r="L67" s="13" t="str">
        <f aca="false">IFERROR(INDEX('Option Analysis'!$Q$6:$Q$85,MATCH(62,'Option Analysis'!$AN$6:$AN$85,0)),"")</f>
        <v/>
      </c>
      <c r="M67" s="9" t="str">
        <f aca="false">IFERROR(INDEX('Option Analysis'!$AM$6:$AM$85,MATCH(62,'Option Analysis'!$AN$6:$AN$85,0)),"")</f>
        <v/>
      </c>
      <c r="N67" s="9" t="str">
        <f aca="false">IFERROR(INDEX('Option Analysis'!$AF$6:$AF$85,MATCH(62,'Option Analysis'!$AN$6:$AN$85,0)),"")</f>
        <v/>
      </c>
      <c r="O67" s="9" t="str">
        <f aca="false">IF(A67="","",IF(IFERROR(INDEX('Option Analysis'!$AM$6:$AM$85,MATCH(62,'Option Analysis'!$AN$6:$AN$85,0)),"")=IFERROR(INDEX('Option Analysis'!$AE$6:$AE$85,MATCH(62,'Option Analysis'!$AN$6:$AN$85,0)),""),"",IFERROR(INDEX('Option Analysis'!$AE$6:$AE$85,MATCH(62,'Option Analysis'!$AN$6:$AN$85,0)),"")))</f>
        <v/>
      </c>
      <c r="P67" s="25" t="str">
        <f aca="false">IFERROR(INDEX('Option Analysis'!$M$6:$M$85,MATCH(62,'Option Analysis'!$AN$6:$AN$85,0)),"")</f>
        <v/>
      </c>
      <c r="Q67" s="25" t="str">
        <f aca="false">IFERROR(INDEX('Option Analysis'!$AU$6:$AU$85,MATCH(62,'Option Analysis'!$AN$6:$AN$85,0)),"")</f>
        <v/>
      </c>
      <c r="R67" s="9" t="str">
        <f aca="false">IFERROR(INDEX('Option Analysis'!$AV$6:$AV$85,MATCH(62,'Option Analysis'!$AN$6:$AN$85,0)),"")</f>
        <v/>
      </c>
    </row>
    <row r="68" customFormat="false" ht="15" hidden="false" customHeight="false" outlineLevel="0" collapsed="false">
      <c r="A68" s="9" t="str">
        <f aca="false">IF(ISNUMBER(MATCH(63,'Option Analysis'!$AN$6:$AN$85,0)),63,"")</f>
        <v/>
      </c>
      <c r="B68" s="9" t="str">
        <f aca="false">IFERROR(INDEX('Option Analysis'!$A$6:$A$85,MATCH(63,'Option Analysis'!$AN$6:$AN$85,0)),"")</f>
        <v/>
      </c>
      <c r="C68" s="9" t="str">
        <f aca="false">IFERROR(INDEX('Option Analysis'!$B$6:$B$85,MATCH(63,'Option Analysis'!$AN$6:$AN$85,0)),"")</f>
        <v/>
      </c>
      <c r="D68" s="9" t="str">
        <f aca="false">IFERROR(INDEX('Option Analysis'!$C$6:$C$85,MATCH(63,'Option Analysis'!$AN$6:$AN$85,0)),"")</f>
        <v/>
      </c>
      <c r="E68" s="9" t="str">
        <f aca="false">IFERROR(INDEX('Option Analysis'!$AC$6:$AC$85,MATCH(63,'Option Analysis'!$AN$6:$AN$85,0)),"")</f>
        <v/>
      </c>
      <c r="F68" s="9" t="str">
        <f aca="false">IFERROR(INDEX('Option Analysis'!$AD$6:$AD$85,MATCH(63,'Option Analysis'!$AN$6:$AN$85,0)),"")</f>
        <v/>
      </c>
      <c r="G68" s="14" t="str">
        <f aca="false">IFERROR(INDEX('Option Analysis'!$AL$6:$AL$85,MATCH(63,'Option Analysis'!$AN$6:$AN$85,0)),"")</f>
        <v/>
      </c>
      <c r="H68" s="14" t="str">
        <f aca="false">IFERROR(INDEX('Option Analysis'!$AK$6:$AK$85,MATCH(63,'Option Analysis'!$AN$6:$AN$85,0)),"")</f>
        <v/>
      </c>
      <c r="I68" s="14" t="str">
        <f aca="false">IFERROR(INDEX('Option Analysis'!$AI$6:$AI$85,MATCH(63,'Option Analysis'!$AN$6:$AN$85,0)),"")</f>
        <v/>
      </c>
      <c r="J68" s="14" t="str">
        <f aca="false">IFERROR(INDEX('Option Analysis'!$AJ$6:$AJ$85,MATCH(63,'Option Analysis'!$AN$6:$AN$85,0)),"")</f>
        <v/>
      </c>
      <c r="K68" s="25" t="str">
        <f aca="false">IFERROR(INDEX('Option Analysis'!$S$6:$S$85,MATCH(63,'Option Analysis'!$AN$6:$AN$85,0)),"")</f>
        <v/>
      </c>
      <c r="L68" s="13" t="str">
        <f aca="false">IFERROR(INDEX('Option Analysis'!$Q$6:$Q$85,MATCH(63,'Option Analysis'!$AN$6:$AN$85,0)),"")</f>
        <v/>
      </c>
      <c r="M68" s="9" t="str">
        <f aca="false">IFERROR(INDEX('Option Analysis'!$AM$6:$AM$85,MATCH(63,'Option Analysis'!$AN$6:$AN$85,0)),"")</f>
        <v/>
      </c>
      <c r="N68" s="9" t="str">
        <f aca="false">IFERROR(INDEX('Option Analysis'!$AF$6:$AF$85,MATCH(63,'Option Analysis'!$AN$6:$AN$85,0)),"")</f>
        <v/>
      </c>
      <c r="O68" s="9" t="str">
        <f aca="false">IF(A68="","",IF(IFERROR(INDEX('Option Analysis'!$AM$6:$AM$85,MATCH(63,'Option Analysis'!$AN$6:$AN$85,0)),"")=IFERROR(INDEX('Option Analysis'!$AE$6:$AE$85,MATCH(63,'Option Analysis'!$AN$6:$AN$85,0)),""),"",IFERROR(INDEX('Option Analysis'!$AE$6:$AE$85,MATCH(63,'Option Analysis'!$AN$6:$AN$85,0)),"")))</f>
        <v/>
      </c>
      <c r="P68" s="25" t="str">
        <f aca="false">IFERROR(INDEX('Option Analysis'!$M$6:$M$85,MATCH(63,'Option Analysis'!$AN$6:$AN$85,0)),"")</f>
        <v/>
      </c>
      <c r="Q68" s="25" t="str">
        <f aca="false">IFERROR(INDEX('Option Analysis'!$AU$6:$AU$85,MATCH(63,'Option Analysis'!$AN$6:$AN$85,0)),"")</f>
        <v/>
      </c>
      <c r="R68" s="9" t="str">
        <f aca="false">IFERROR(INDEX('Option Analysis'!$AV$6:$AV$85,MATCH(63,'Option Analysis'!$AN$6:$AN$85,0)),"")</f>
        <v/>
      </c>
    </row>
    <row r="69" customFormat="false" ht="15" hidden="false" customHeight="false" outlineLevel="0" collapsed="false">
      <c r="A69" s="9" t="str">
        <f aca="false">IF(ISNUMBER(MATCH(64,'Option Analysis'!$AN$6:$AN$85,0)),64,"")</f>
        <v/>
      </c>
      <c r="B69" s="9" t="str">
        <f aca="false">IFERROR(INDEX('Option Analysis'!$A$6:$A$85,MATCH(64,'Option Analysis'!$AN$6:$AN$85,0)),"")</f>
        <v/>
      </c>
      <c r="C69" s="9" t="str">
        <f aca="false">IFERROR(INDEX('Option Analysis'!$B$6:$B$85,MATCH(64,'Option Analysis'!$AN$6:$AN$85,0)),"")</f>
        <v/>
      </c>
      <c r="D69" s="9" t="str">
        <f aca="false">IFERROR(INDEX('Option Analysis'!$C$6:$C$85,MATCH(64,'Option Analysis'!$AN$6:$AN$85,0)),"")</f>
        <v/>
      </c>
      <c r="E69" s="9" t="str">
        <f aca="false">IFERROR(INDEX('Option Analysis'!$AC$6:$AC$85,MATCH(64,'Option Analysis'!$AN$6:$AN$85,0)),"")</f>
        <v/>
      </c>
      <c r="F69" s="9" t="str">
        <f aca="false">IFERROR(INDEX('Option Analysis'!$AD$6:$AD$85,MATCH(64,'Option Analysis'!$AN$6:$AN$85,0)),"")</f>
        <v/>
      </c>
      <c r="G69" s="14" t="str">
        <f aca="false">IFERROR(INDEX('Option Analysis'!$AL$6:$AL$85,MATCH(64,'Option Analysis'!$AN$6:$AN$85,0)),"")</f>
        <v/>
      </c>
      <c r="H69" s="14" t="str">
        <f aca="false">IFERROR(INDEX('Option Analysis'!$AK$6:$AK$85,MATCH(64,'Option Analysis'!$AN$6:$AN$85,0)),"")</f>
        <v/>
      </c>
      <c r="I69" s="14" t="str">
        <f aca="false">IFERROR(INDEX('Option Analysis'!$AI$6:$AI$85,MATCH(64,'Option Analysis'!$AN$6:$AN$85,0)),"")</f>
        <v/>
      </c>
      <c r="J69" s="14" t="str">
        <f aca="false">IFERROR(INDEX('Option Analysis'!$AJ$6:$AJ$85,MATCH(64,'Option Analysis'!$AN$6:$AN$85,0)),"")</f>
        <v/>
      </c>
      <c r="K69" s="25" t="str">
        <f aca="false">IFERROR(INDEX('Option Analysis'!$S$6:$S$85,MATCH(64,'Option Analysis'!$AN$6:$AN$85,0)),"")</f>
        <v/>
      </c>
      <c r="L69" s="13" t="str">
        <f aca="false">IFERROR(INDEX('Option Analysis'!$Q$6:$Q$85,MATCH(64,'Option Analysis'!$AN$6:$AN$85,0)),"")</f>
        <v/>
      </c>
      <c r="M69" s="9" t="str">
        <f aca="false">IFERROR(INDEX('Option Analysis'!$AM$6:$AM$85,MATCH(64,'Option Analysis'!$AN$6:$AN$85,0)),"")</f>
        <v/>
      </c>
      <c r="N69" s="9" t="str">
        <f aca="false">IFERROR(INDEX('Option Analysis'!$AF$6:$AF$85,MATCH(64,'Option Analysis'!$AN$6:$AN$85,0)),"")</f>
        <v/>
      </c>
      <c r="O69" s="9" t="str">
        <f aca="false">IF(A69="","",IF(IFERROR(INDEX('Option Analysis'!$AM$6:$AM$85,MATCH(64,'Option Analysis'!$AN$6:$AN$85,0)),"")=IFERROR(INDEX('Option Analysis'!$AE$6:$AE$85,MATCH(64,'Option Analysis'!$AN$6:$AN$85,0)),""),"",IFERROR(INDEX('Option Analysis'!$AE$6:$AE$85,MATCH(64,'Option Analysis'!$AN$6:$AN$85,0)),"")))</f>
        <v/>
      </c>
      <c r="P69" s="25" t="str">
        <f aca="false">IFERROR(INDEX('Option Analysis'!$M$6:$M$85,MATCH(64,'Option Analysis'!$AN$6:$AN$85,0)),"")</f>
        <v/>
      </c>
      <c r="Q69" s="25" t="str">
        <f aca="false">IFERROR(INDEX('Option Analysis'!$AU$6:$AU$85,MATCH(64,'Option Analysis'!$AN$6:$AN$85,0)),"")</f>
        <v/>
      </c>
      <c r="R69" s="9" t="str">
        <f aca="false">IFERROR(INDEX('Option Analysis'!$AV$6:$AV$85,MATCH(64,'Option Analysis'!$AN$6:$AN$85,0)),"")</f>
        <v/>
      </c>
    </row>
    <row r="70" customFormat="false" ht="15" hidden="false" customHeight="false" outlineLevel="0" collapsed="false">
      <c r="A70" s="9" t="str">
        <f aca="false">IF(ISNUMBER(MATCH(65,'Option Analysis'!$AN$6:$AN$85,0)),65,"")</f>
        <v/>
      </c>
      <c r="B70" s="9" t="str">
        <f aca="false">IFERROR(INDEX('Option Analysis'!$A$6:$A$85,MATCH(65,'Option Analysis'!$AN$6:$AN$85,0)),"")</f>
        <v/>
      </c>
      <c r="C70" s="9" t="str">
        <f aca="false">IFERROR(INDEX('Option Analysis'!$B$6:$B$85,MATCH(65,'Option Analysis'!$AN$6:$AN$85,0)),"")</f>
        <v/>
      </c>
      <c r="D70" s="9" t="str">
        <f aca="false">IFERROR(INDEX('Option Analysis'!$C$6:$C$85,MATCH(65,'Option Analysis'!$AN$6:$AN$85,0)),"")</f>
        <v/>
      </c>
      <c r="E70" s="9" t="str">
        <f aca="false">IFERROR(INDEX('Option Analysis'!$AC$6:$AC$85,MATCH(65,'Option Analysis'!$AN$6:$AN$85,0)),"")</f>
        <v/>
      </c>
      <c r="F70" s="9" t="str">
        <f aca="false">IFERROR(INDEX('Option Analysis'!$AD$6:$AD$85,MATCH(65,'Option Analysis'!$AN$6:$AN$85,0)),"")</f>
        <v/>
      </c>
      <c r="G70" s="14" t="str">
        <f aca="false">IFERROR(INDEX('Option Analysis'!$AL$6:$AL$85,MATCH(65,'Option Analysis'!$AN$6:$AN$85,0)),"")</f>
        <v/>
      </c>
      <c r="H70" s="14" t="str">
        <f aca="false">IFERROR(INDEX('Option Analysis'!$AK$6:$AK$85,MATCH(65,'Option Analysis'!$AN$6:$AN$85,0)),"")</f>
        <v/>
      </c>
      <c r="I70" s="14" t="str">
        <f aca="false">IFERROR(INDEX('Option Analysis'!$AI$6:$AI$85,MATCH(65,'Option Analysis'!$AN$6:$AN$85,0)),"")</f>
        <v/>
      </c>
      <c r="J70" s="14" t="str">
        <f aca="false">IFERROR(INDEX('Option Analysis'!$AJ$6:$AJ$85,MATCH(65,'Option Analysis'!$AN$6:$AN$85,0)),"")</f>
        <v/>
      </c>
      <c r="K70" s="25" t="str">
        <f aca="false">IFERROR(INDEX('Option Analysis'!$S$6:$S$85,MATCH(65,'Option Analysis'!$AN$6:$AN$85,0)),"")</f>
        <v/>
      </c>
      <c r="L70" s="13" t="str">
        <f aca="false">IFERROR(INDEX('Option Analysis'!$Q$6:$Q$85,MATCH(65,'Option Analysis'!$AN$6:$AN$85,0)),"")</f>
        <v/>
      </c>
      <c r="M70" s="9" t="str">
        <f aca="false">IFERROR(INDEX('Option Analysis'!$AM$6:$AM$85,MATCH(65,'Option Analysis'!$AN$6:$AN$85,0)),"")</f>
        <v/>
      </c>
      <c r="N70" s="9" t="str">
        <f aca="false">IFERROR(INDEX('Option Analysis'!$AF$6:$AF$85,MATCH(65,'Option Analysis'!$AN$6:$AN$85,0)),"")</f>
        <v/>
      </c>
      <c r="O70" s="9" t="str">
        <f aca="false">IF(A70="","",IF(IFERROR(INDEX('Option Analysis'!$AM$6:$AM$85,MATCH(65,'Option Analysis'!$AN$6:$AN$85,0)),"")=IFERROR(INDEX('Option Analysis'!$AE$6:$AE$85,MATCH(65,'Option Analysis'!$AN$6:$AN$85,0)),""),"",IFERROR(INDEX('Option Analysis'!$AE$6:$AE$85,MATCH(65,'Option Analysis'!$AN$6:$AN$85,0)),"")))</f>
        <v/>
      </c>
      <c r="P70" s="25" t="str">
        <f aca="false">IFERROR(INDEX('Option Analysis'!$M$6:$M$85,MATCH(65,'Option Analysis'!$AN$6:$AN$85,0)),"")</f>
        <v/>
      </c>
      <c r="Q70" s="25" t="str">
        <f aca="false">IFERROR(INDEX('Option Analysis'!$AU$6:$AU$85,MATCH(65,'Option Analysis'!$AN$6:$AN$85,0)),"")</f>
        <v/>
      </c>
      <c r="R70" s="9" t="str">
        <f aca="false">IFERROR(INDEX('Option Analysis'!$AV$6:$AV$85,MATCH(65,'Option Analysis'!$AN$6:$AN$85,0)),"")</f>
        <v/>
      </c>
    </row>
    <row r="71" customFormat="false" ht="15" hidden="false" customHeight="false" outlineLevel="0" collapsed="false">
      <c r="A71" s="9" t="str">
        <f aca="false">IF(ISNUMBER(MATCH(66,'Option Analysis'!$AN$6:$AN$85,0)),66,"")</f>
        <v/>
      </c>
      <c r="B71" s="9" t="str">
        <f aca="false">IFERROR(INDEX('Option Analysis'!$A$6:$A$85,MATCH(66,'Option Analysis'!$AN$6:$AN$85,0)),"")</f>
        <v/>
      </c>
      <c r="C71" s="9" t="str">
        <f aca="false">IFERROR(INDEX('Option Analysis'!$B$6:$B$85,MATCH(66,'Option Analysis'!$AN$6:$AN$85,0)),"")</f>
        <v/>
      </c>
      <c r="D71" s="9" t="str">
        <f aca="false">IFERROR(INDEX('Option Analysis'!$C$6:$C$85,MATCH(66,'Option Analysis'!$AN$6:$AN$85,0)),"")</f>
        <v/>
      </c>
      <c r="E71" s="9" t="str">
        <f aca="false">IFERROR(INDEX('Option Analysis'!$AC$6:$AC$85,MATCH(66,'Option Analysis'!$AN$6:$AN$85,0)),"")</f>
        <v/>
      </c>
      <c r="F71" s="9" t="str">
        <f aca="false">IFERROR(INDEX('Option Analysis'!$AD$6:$AD$85,MATCH(66,'Option Analysis'!$AN$6:$AN$85,0)),"")</f>
        <v/>
      </c>
      <c r="G71" s="14" t="str">
        <f aca="false">IFERROR(INDEX('Option Analysis'!$AL$6:$AL$85,MATCH(66,'Option Analysis'!$AN$6:$AN$85,0)),"")</f>
        <v/>
      </c>
      <c r="H71" s="14" t="str">
        <f aca="false">IFERROR(INDEX('Option Analysis'!$AK$6:$AK$85,MATCH(66,'Option Analysis'!$AN$6:$AN$85,0)),"")</f>
        <v/>
      </c>
      <c r="I71" s="14" t="str">
        <f aca="false">IFERROR(INDEX('Option Analysis'!$AI$6:$AI$85,MATCH(66,'Option Analysis'!$AN$6:$AN$85,0)),"")</f>
        <v/>
      </c>
      <c r="J71" s="14" t="str">
        <f aca="false">IFERROR(INDEX('Option Analysis'!$AJ$6:$AJ$85,MATCH(66,'Option Analysis'!$AN$6:$AN$85,0)),"")</f>
        <v/>
      </c>
      <c r="K71" s="25" t="str">
        <f aca="false">IFERROR(INDEX('Option Analysis'!$S$6:$S$85,MATCH(66,'Option Analysis'!$AN$6:$AN$85,0)),"")</f>
        <v/>
      </c>
      <c r="L71" s="13" t="str">
        <f aca="false">IFERROR(INDEX('Option Analysis'!$Q$6:$Q$85,MATCH(66,'Option Analysis'!$AN$6:$AN$85,0)),"")</f>
        <v/>
      </c>
      <c r="M71" s="9" t="str">
        <f aca="false">IFERROR(INDEX('Option Analysis'!$AM$6:$AM$85,MATCH(66,'Option Analysis'!$AN$6:$AN$85,0)),"")</f>
        <v/>
      </c>
      <c r="N71" s="9" t="str">
        <f aca="false">IFERROR(INDEX('Option Analysis'!$AF$6:$AF$85,MATCH(66,'Option Analysis'!$AN$6:$AN$85,0)),"")</f>
        <v/>
      </c>
      <c r="O71" s="9" t="str">
        <f aca="false">IF(A71="","",IF(IFERROR(INDEX('Option Analysis'!$AM$6:$AM$85,MATCH(66,'Option Analysis'!$AN$6:$AN$85,0)),"")=IFERROR(INDEX('Option Analysis'!$AE$6:$AE$85,MATCH(66,'Option Analysis'!$AN$6:$AN$85,0)),""),"",IFERROR(INDEX('Option Analysis'!$AE$6:$AE$85,MATCH(66,'Option Analysis'!$AN$6:$AN$85,0)),"")))</f>
        <v/>
      </c>
      <c r="P71" s="25" t="str">
        <f aca="false">IFERROR(INDEX('Option Analysis'!$M$6:$M$85,MATCH(66,'Option Analysis'!$AN$6:$AN$85,0)),"")</f>
        <v/>
      </c>
      <c r="Q71" s="25" t="str">
        <f aca="false">IFERROR(INDEX('Option Analysis'!$AU$6:$AU$85,MATCH(66,'Option Analysis'!$AN$6:$AN$85,0)),"")</f>
        <v/>
      </c>
      <c r="R71" s="9" t="str">
        <f aca="false">IFERROR(INDEX('Option Analysis'!$AV$6:$AV$85,MATCH(66,'Option Analysis'!$AN$6:$AN$85,0)),"")</f>
        <v/>
      </c>
    </row>
    <row r="72" customFormat="false" ht="15" hidden="false" customHeight="false" outlineLevel="0" collapsed="false">
      <c r="A72" s="9" t="str">
        <f aca="false">IF(ISNUMBER(MATCH(67,'Option Analysis'!$AN$6:$AN$85,0)),67,"")</f>
        <v/>
      </c>
      <c r="B72" s="9" t="str">
        <f aca="false">IFERROR(INDEX('Option Analysis'!$A$6:$A$85,MATCH(67,'Option Analysis'!$AN$6:$AN$85,0)),"")</f>
        <v/>
      </c>
      <c r="C72" s="9" t="str">
        <f aca="false">IFERROR(INDEX('Option Analysis'!$B$6:$B$85,MATCH(67,'Option Analysis'!$AN$6:$AN$85,0)),"")</f>
        <v/>
      </c>
      <c r="D72" s="9" t="str">
        <f aca="false">IFERROR(INDEX('Option Analysis'!$C$6:$C$85,MATCH(67,'Option Analysis'!$AN$6:$AN$85,0)),"")</f>
        <v/>
      </c>
      <c r="E72" s="9" t="str">
        <f aca="false">IFERROR(INDEX('Option Analysis'!$AC$6:$AC$85,MATCH(67,'Option Analysis'!$AN$6:$AN$85,0)),"")</f>
        <v/>
      </c>
      <c r="F72" s="9" t="str">
        <f aca="false">IFERROR(INDEX('Option Analysis'!$AD$6:$AD$85,MATCH(67,'Option Analysis'!$AN$6:$AN$85,0)),"")</f>
        <v/>
      </c>
      <c r="G72" s="14" t="str">
        <f aca="false">IFERROR(INDEX('Option Analysis'!$AL$6:$AL$85,MATCH(67,'Option Analysis'!$AN$6:$AN$85,0)),"")</f>
        <v/>
      </c>
      <c r="H72" s="14" t="str">
        <f aca="false">IFERROR(INDEX('Option Analysis'!$AK$6:$AK$85,MATCH(67,'Option Analysis'!$AN$6:$AN$85,0)),"")</f>
        <v/>
      </c>
      <c r="I72" s="14" t="str">
        <f aca="false">IFERROR(INDEX('Option Analysis'!$AI$6:$AI$85,MATCH(67,'Option Analysis'!$AN$6:$AN$85,0)),"")</f>
        <v/>
      </c>
      <c r="J72" s="14" t="str">
        <f aca="false">IFERROR(INDEX('Option Analysis'!$AJ$6:$AJ$85,MATCH(67,'Option Analysis'!$AN$6:$AN$85,0)),"")</f>
        <v/>
      </c>
      <c r="K72" s="25" t="str">
        <f aca="false">IFERROR(INDEX('Option Analysis'!$S$6:$S$85,MATCH(67,'Option Analysis'!$AN$6:$AN$85,0)),"")</f>
        <v/>
      </c>
      <c r="L72" s="13" t="str">
        <f aca="false">IFERROR(INDEX('Option Analysis'!$Q$6:$Q$85,MATCH(67,'Option Analysis'!$AN$6:$AN$85,0)),"")</f>
        <v/>
      </c>
      <c r="M72" s="9" t="str">
        <f aca="false">IFERROR(INDEX('Option Analysis'!$AM$6:$AM$85,MATCH(67,'Option Analysis'!$AN$6:$AN$85,0)),"")</f>
        <v/>
      </c>
      <c r="N72" s="9" t="str">
        <f aca="false">IFERROR(INDEX('Option Analysis'!$AF$6:$AF$85,MATCH(67,'Option Analysis'!$AN$6:$AN$85,0)),"")</f>
        <v/>
      </c>
      <c r="O72" s="9" t="str">
        <f aca="false">IF(A72="","",IF(IFERROR(INDEX('Option Analysis'!$AM$6:$AM$85,MATCH(67,'Option Analysis'!$AN$6:$AN$85,0)),"")=IFERROR(INDEX('Option Analysis'!$AE$6:$AE$85,MATCH(67,'Option Analysis'!$AN$6:$AN$85,0)),""),"",IFERROR(INDEX('Option Analysis'!$AE$6:$AE$85,MATCH(67,'Option Analysis'!$AN$6:$AN$85,0)),"")))</f>
        <v/>
      </c>
      <c r="P72" s="25" t="str">
        <f aca="false">IFERROR(INDEX('Option Analysis'!$M$6:$M$85,MATCH(67,'Option Analysis'!$AN$6:$AN$85,0)),"")</f>
        <v/>
      </c>
      <c r="Q72" s="25" t="str">
        <f aca="false">IFERROR(INDEX('Option Analysis'!$AU$6:$AU$85,MATCH(67,'Option Analysis'!$AN$6:$AN$85,0)),"")</f>
        <v/>
      </c>
      <c r="R72" s="9" t="str">
        <f aca="false">IFERROR(INDEX('Option Analysis'!$AV$6:$AV$85,MATCH(67,'Option Analysis'!$AN$6:$AN$85,0)),"")</f>
        <v/>
      </c>
    </row>
    <row r="73" customFormat="false" ht="15" hidden="false" customHeight="false" outlineLevel="0" collapsed="false">
      <c r="A73" s="9" t="str">
        <f aca="false">IF(ISNUMBER(MATCH(68,'Option Analysis'!$AN$6:$AN$85,0)),68,"")</f>
        <v/>
      </c>
      <c r="B73" s="9" t="str">
        <f aca="false">IFERROR(INDEX('Option Analysis'!$A$6:$A$85,MATCH(68,'Option Analysis'!$AN$6:$AN$85,0)),"")</f>
        <v/>
      </c>
      <c r="C73" s="9" t="str">
        <f aca="false">IFERROR(INDEX('Option Analysis'!$B$6:$B$85,MATCH(68,'Option Analysis'!$AN$6:$AN$85,0)),"")</f>
        <v/>
      </c>
      <c r="D73" s="9" t="str">
        <f aca="false">IFERROR(INDEX('Option Analysis'!$C$6:$C$85,MATCH(68,'Option Analysis'!$AN$6:$AN$85,0)),"")</f>
        <v/>
      </c>
      <c r="E73" s="9" t="str">
        <f aca="false">IFERROR(INDEX('Option Analysis'!$AC$6:$AC$85,MATCH(68,'Option Analysis'!$AN$6:$AN$85,0)),"")</f>
        <v/>
      </c>
      <c r="F73" s="9" t="str">
        <f aca="false">IFERROR(INDEX('Option Analysis'!$AD$6:$AD$85,MATCH(68,'Option Analysis'!$AN$6:$AN$85,0)),"")</f>
        <v/>
      </c>
      <c r="G73" s="14" t="str">
        <f aca="false">IFERROR(INDEX('Option Analysis'!$AL$6:$AL$85,MATCH(68,'Option Analysis'!$AN$6:$AN$85,0)),"")</f>
        <v/>
      </c>
      <c r="H73" s="14" t="str">
        <f aca="false">IFERROR(INDEX('Option Analysis'!$AK$6:$AK$85,MATCH(68,'Option Analysis'!$AN$6:$AN$85,0)),"")</f>
        <v/>
      </c>
      <c r="I73" s="14" t="str">
        <f aca="false">IFERROR(INDEX('Option Analysis'!$AI$6:$AI$85,MATCH(68,'Option Analysis'!$AN$6:$AN$85,0)),"")</f>
        <v/>
      </c>
      <c r="J73" s="14" t="str">
        <f aca="false">IFERROR(INDEX('Option Analysis'!$AJ$6:$AJ$85,MATCH(68,'Option Analysis'!$AN$6:$AN$85,0)),"")</f>
        <v/>
      </c>
      <c r="K73" s="25" t="str">
        <f aca="false">IFERROR(INDEX('Option Analysis'!$S$6:$S$85,MATCH(68,'Option Analysis'!$AN$6:$AN$85,0)),"")</f>
        <v/>
      </c>
      <c r="L73" s="13" t="str">
        <f aca="false">IFERROR(INDEX('Option Analysis'!$Q$6:$Q$85,MATCH(68,'Option Analysis'!$AN$6:$AN$85,0)),"")</f>
        <v/>
      </c>
      <c r="M73" s="9" t="str">
        <f aca="false">IFERROR(INDEX('Option Analysis'!$AM$6:$AM$85,MATCH(68,'Option Analysis'!$AN$6:$AN$85,0)),"")</f>
        <v/>
      </c>
      <c r="N73" s="9" t="str">
        <f aca="false">IFERROR(INDEX('Option Analysis'!$AF$6:$AF$85,MATCH(68,'Option Analysis'!$AN$6:$AN$85,0)),"")</f>
        <v/>
      </c>
      <c r="O73" s="9" t="str">
        <f aca="false">IF(A73="","",IF(IFERROR(INDEX('Option Analysis'!$AM$6:$AM$85,MATCH(68,'Option Analysis'!$AN$6:$AN$85,0)),"")=IFERROR(INDEX('Option Analysis'!$AE$6:$AE$85,MATCH(68,'Option Analysis'!$AN$6:$AN$85,0)),""),"",IFERROR(INDEX('Option Analysis'!$AE$6:$AE$85,MATCH(68,'Option Analysis'!$AN$6:$AN$85,0)),"")))</f>
        <v/>
      </c>
      <c r="P73" s="25" t="str">
        <f aca="false">IFERROR(INDEX('Option Analysis'!$M$6:$M$85,MATCH(68,'Option Analysis'!$AN$6:$AN$85,0)),"")</f>
        <v/>
      </c>
      <c r="Q73" s="25" t="str">
        <f aca="false">IFERROR(INDEX('Option Analysis'!$AU$6:$AU$85,MATCH(68,'Option Analysis'!$AN$6:$AN$85,0)),"")</f>
        <v/>
      </c>
      <c r="R73" s="9" t="str">
        <f aca="false">IFERROR(INDEX('Option Analysis'!$AV$6:$AV$85,MATCH(68,'Option Analysis'!$AN$6:$AN$85,0)),"")</f>
        <v/>
      </c>
    </row>
    <row r="74" customFormat="false" ht="15" hidden="false" customHeight="false" outlineLevel="0" collapsed="false">
      <c r="A74" s="9" t="str">
        <f aca="false">IF(ISNUMBER(MATCH(69,'Option Analysis'!$AN$6:$AN$85,0)),69,"")</f>
        <v/>
      </c>
      <c r="B74" s="9" t="str">
        <f aca="false">IFERROR(INDEX('Option Analysis'!$A$6:$A$85,MATCH(69,'Option Analysis'!$AN$6:$AN$85,0)),"")</f>
        <v/>
      </c>
      <c r="C74" s="9" t="str">
        <f aca="false">IFERROR(INDEX('Option Analysis'!$B$6:$B$85,MATCH(69,'Option Analysis'!$AN$6:$AN$85,0)),"")</f>
        <v/>
      </c>
      <c r="D74" s="9" t="str">
        <f aca="false">IFERROR(INDEX('Option Analysis'!$C$6:$C$85,MATCH(69,'Option Analysis'!$AN$6:$AN$85,0)),"")</f>
        <v/>
      </c>
      <c r="E74" s="9" t="str">
        <f aca="false">IFERROR(INDEX('Option Analysis'!$AC$6:$AC$85,MATCH(69,'Option Analysis'!$AN$6:$AN$85,0)),"")</f>
        <v/>
      </c>
      <c r="F74" s="9" t="str">
        <f aca="false">IFERROR(INDEX('Option Analysis'!$AD$6:$AD$85,MATCH(69,'Option Analysis'!$AN$6:$AN$85,0)),"")</f>
        <v/>
      </c>
      <c r="G74" s="14" t="str">
        <f aca="false">IFERROR(INDEX('Option Analysis'!$AL$6:$AL$85,MATCH(69,'Option Analysis'!$AN$6:$AN$85,0)),"")</f>
        <v/>
      </c>
      <c r="H74" s="14" t="str">
        <f aca="false">IFERROR(INDEX('Option Analysis'!$AK$6:$AK$85,MATCH(69,'Option Analysis'!$AN$6:$AN$85,0)),"")</f>
        <v/>
      </c>
      <c r="I74" s="14" t="str">
        <f aca="false">IFERROR(INDEX('Option Analysis'!$AI$6:$AI$85,MATCH(69,'Option Analysis'!$AN$6:$AN$85,0)),"")</f>
        <v/>
      </c>
      <c r="J74" s="14" t="str">
        <f aca="false">IFERROR(INDEX('Option Analysis'!$AJ$6:$AJ$85,MATCH(69,'Option Analysis'!$AN$6:$AN$85,0)),"")</f>
        <v/>
      </c>
      <c r="K74" s="25" t="str">
        <f aca="false">IFERROR(INDEX('Option Analysis'!$S$6:$S$85,MATCH(69,'Option Analysis'!$AN$6:$AN$85,0)),"")</f>
        <v/>
      </c>
      <c r="L74" s="13" t="str">
        <f aca="false">IFERROR(INDEX('Option Analysis'!$Q$6:$Q$85,MATCH(69,'Option Analysis'!$AN$6:$AN$85,0)),"")</f>
        <v/>
      </c>
      <c r="M74" s="9" t="str">
        <f aca="false">IFERROR(INDEX('Option Analysis'!$AM$6:$AM$85,MATCH(69,'Option Analysis'!$AN$6:$AN$85,0)),"")</f>
        <v/>
      </c>
      <c r="N74" s="9" t="str">
        <f aca="false">IFERROR(INDEX('Option Analysis'!$AF$6:$AF$85,MATCH(69,'Option Analysis'!$AN$6:$AN$85,0)),"")</f>
        <v/>
      </c>
      <c r="O74" s="9" t="str">
        <f aca="false">IF(A74="","",IF(IFERROR(INDEX('Option Analysis'!$AM$6:$AM$85,MATCH(69,'Option Analysis'!$AN$6:$AN$85,0)),"")=IFERROR(INDEX('Option Analysis'!$AE$6:$AE$85,MATCH(69,'Option Analysis'!$AN$6:$AN$85,0)),""),"",IFERROR(INDEX('Option Analysis'!$AE$6:$AE$85,MATCH(69,'Option Analysis'!$AN$6:$AN$85,0)),"")))</f>
        <v/>
      </c>
      <c r="P74" s="25" t="str">
        <f aca="false">IFERROR(INDEX('Option Analysis'!$M$6:$M$85,MATCH(69,'Option Analysis'!$AN$6:$AN$85,0)),"")</f>
        <v/>
      </c>
      <c r="Q74" s="25" t="str">
        <f aca="false">IFERROR(INDEX('Option Analysis'!$AU$6:$AU$85,MATCH(69,'Option Analysis'!$AN$6:$AN$85,0)),"")</f>
        <v/>
      </c>
      <c r="R74" s="9" t="str">
        <f aca="false">IFERROR(INDEX('Option Analysis'!$AV$6:$AV$85,MATCH(69,'Option Analysis'!$AN$6:$AN$85,0)),"")</f>
        <v/>
      </c>
    </row>
    <row r="75" customFormat="false" ht="15" hidden="false" customHeight="false" outlineLevel="0" collapsed="false">
      <c r="A75" s="9" t="str">
        <f aca="false">IF(ISNUMBER(MATCH(70,'Option Analysis'!$AN$6:$AN$85,0)),70,"")</f>
        <v/>
      </c>
      <c r="B75" s="9" t="str">
        <f aca="false">IFERROR(INDEX('Option Analysis'!$A$6:$A$85,MATCH(70,'Option Analysis'!$AN$6:$AN$85,0)),"")</f>
        <v/>
      </c>
      <c r="C75" s="9" t="str">
        <f aca="false">IFERROR(INDEX('Option Analysis'!$B$6:$B$85,MATCH(70,'Option Analysis'!$AN$6:$AN$85,0)),"")</f>
        <v/>
      </c>
      <c r="D75" s="9" t="str">
        <f aca="false">IFERROR(INDEX('Option Analysis'!$C$6:$C$85,MATCH(70,'Option Analysis'!$AN$6:$AN$85,0)),"")</f>
        <v/>
      </c>
      <c r="E75" s="9" t="str">
        <f aca="false">IFERROR(INDEX('Option Analysis'!$AC$6:$AC$85,MATCH(70,'Option Analysis'!$AN$6:$AN$85,0)),"")</f>
        <v/>
      </c>
      <c r="F75" s="9" t="str">
        <f aca="false">IFERROR(INDEX('Option Analysis'!$AD$6:$AD$85,MATCH(70,'Option Analysis'!$AN$6:$AN$85,0)),"")</f>
        <v/>
      </c>
      <c r="G75" s="14" t="str">
        <f aca="false">IFERROR(INDEX('Option Analysis'!$AL$6:$AL$85,MATCH(70,'Option Analysis'!$AN$6:$AN$85,0)),"")</f>
        <v/>
      </c>
      <c r="H75" s="14" t="str">
        <f aca="false">IFERROR(INDEX('Option Analysis'!$AK$6:$AK$85,MATCH(70,'Option Analysis'!$AN$6:$AN$85,0)),"")</f>
        <v/>
      </c>
      <c r="I75" s="14" t="str">
        <f aca="false">IFERROR(INDEX('Option Analysis'!$AI$6:$AI$85,MATCH(70,'Option Analysis'!$AN$6:$AN$85,0)),"")</f>
        <v/>
      </c>
      <c r="J75" s="14" t="str">
        <f aca="false">IFERROR(INDEX('Option Analysis'!$AJ$6:$AJ$85,MATCH(70,'Option Analysis'!$AN$6:$AN$85,0)),"")</f>
        <v/>
      </c>
      <c r="K75" s="25" t="str">
        <f aca="false">IFERROR(INDEX('Option Analysis'!$S$6:$S$85,MATCH(70,'Option Analysis'!$AN$6:$AN$85,0)),"")</f>
        <v/>
      </c>
      <c r="L75" s="13" t="str">
        <f aca="false">IFERROR(INDEX('Option Analysis'!$Q$6:$Q$85,MATCH(70,'Option Analysis'!$AN$6:$AN$85,0)),"")</f>
        <v/>
      </c>
      <c r="M75" s="9" t="str">
        <f aca="false">IFERROR(INDEX('Option Analysis'!$AM$6:$AM$85,MATCH(70,'Option Analysis'!$AN$6:$AN$85,0)),"")</f>
        <v/>
      </c>
      <c r="N75" s="9" t="str">
        <f aca="false">IFERROR(INDEX('Option Analysis'!$AF$6:$AF$85,MATCH(70,'Option Analysis'!$AN$6:$AN$85,0)),"")</f>
        <v/>
      </c>
      <c r="O75" s="9" t="str">
        <f aca="false">IF(A75="","",IF(IFERROR(INDEX('Option Analysis'!$AM$6:$AM$85,MATCH(70,'Option Analysis'!$AN$6:$AN$85,0)),"")=IFERROR(INDEX('Option Analysis'!$AE$6:$AE$85,MATCH(70,'Option Analysis'!$AN$6:$AN$85,0)),""),"",IFERROR(INDEX('Option Analysis'!$AE$6:$AE$85,MATCH(70,'Option Analysis'!$AN$6:$AN$85,0)),"")))</f>
        <v/>
      </c>
      <c r="P75" s="25" t="str">
        <f aca="false">IFERROR(INDEX('Option Analysis'!$M$6:$M$85,MATCH(70,'Option Analysis'!$AN$6:$AN$85,0)),"")</f>
        <v/>
      </c>
      <c r="Q75" s="25" t="str">
        <f aca="false">IFERROR(INDEX('Option Analysis'!$AU$6:$AU$85,MATCH(70,'Option Analysis'!$AN$6:$AN$85,0)),"")</f>
        <v/>
      </c>
      <c r="R75" s="9" t="str">
        <f aca="false">IFERROR(INDEX('Option Analysis'!$AV$6:$AV$85,MATCH(70,'Option Analysis'!$AN$6:$AN$85,0)),"")</f>
        <v/>
      </c>
    </row>
    <row r="76" customFormat="false" ht="15" hidden="false" customHeight="false" outlineLevel="0" collapsed="false">
      <c r="A76" s="9" t="str">
        <f aca="false">IF(ISNUMBER(MATCH(71,'Option Analysis'!$AN$6:$AN$85,0)),71,"")</f>
        <v/>
      </c>
      <c r="B76" s="9" t="str">
        <f aca="false">IFERROR(INDEX('Option Analysis'!$A$6:$A$85,MATCH(71,'Option Analysis'!$AN$6:$AN$85,0)),"")</f>
        <v/>
      </c>
      <c r="C76" s="9" t="str">
        <f aca="false">IFERROR(INDEX('Option Analysis'!$B$6:$B$85,MATCH(71,'Option Analysis'!$AN$6:$AN$85,0)),"")</f>
        <v/>
      </c>
      <c r="D76" s="9" t="str">
        <f aca="false">IFERROR(INDEX('Option Analysis'!$C$6:$C$85,MATCH(71,'Option Analysis'!$AN$6:$AN$85,0)),"")</f>
        <v/>
      </c>
      <c r="E76" s="9" t="str">
        <f aca="false">IFERROR(INDEX('Option Analysis'!$AC$6:$AC$85,MATCH(71,'Option Analysis'!$AN$6:$AN$85,0)),"")</f>
        <v/>
      </c>
      <c r="F76" s="9" t="str">
        <f aca="false">IFERROR(INDEX('Option Analysis'!$AD$6:$AD$85,MATCH(71,'Option Analysis'!$AN$6:$AN$85,0)),"")</f>
        <v/>
      </c>
      <c r="G76" s="14" t="str">
        <f aca="false">IFERROR(INDEX('Option Analysis'!$AL$6:$AL$85,MATCH(71,'Option Analysis'!$AN$6:$AN$85,0)),"")</f>
        <v/>
      </c>
      <c r="H76" s="14" t="str">
        <f aca="false">IFERROR(INDEX('Option Analysis'!$AK$6:$AK$85,MATCH(71,'Option Analysis'!$AN$6:$AN$85,0)),"")</f>
        <v/>
      </c>
      <c r="I76" s="14" t="str">
        <f aca="false">IFERROR(INDEX('Option Analysis'!$AI$6:$AI$85,MATCH(71,'Option Analysis'!$AN$6:$AN$85,0)),"")</f>
        <v/>
      </c>
      <c r="J76" s="14" t="str">
        <f aca="false">IFERROR(INDEX('Option Analysis'!$AJ$6:$AJ$85,MATCH(71,'Option Analysis'!$AN$6:$AN$85,0)),"")</f>
        <v/>
      </c>
      <c r="K76" s="25" t="str">
        <f aca="false">IFERROR(INDEX('Option Analysis'!$S$6:$S$85,MATCH(71,'Option Analysis'!$AN$6:$AN$85,0)),"")</f>
        <v/>
      </c>
      <c r="L76" s="13" t="str">
        <f aca="false">IFERROR(INDEX('Option Analysis'!$Q$6:$Q$85,MATCH(71,'Option Analysis'!$AN$6:$AN$85,0)),"")</f>
        <v/>
      </c>
      <c r="M76" s="9" t="str">
        <f aca="false">IFERROR(INDEX('Option Analysis'!$AM$6:$AM$85,MATCH(71,'Option Analysis'!$AN$6:$AN$85,0)),"")</f>
        <v/>
      </c>
      <c r="N76" s="9" t="str">
        <f aca="false">IFERROR(INDEX('Option Analysis'!$AF$6:$AF$85,MATCH(71,'Option Analysis'!$AN$6:$AN$85,0)),"")</f>
        <v/>
      </c>
      <c r="O76" s="9" t="str">
        <f aca="false">IF(A76="","",IF(IFERROR(INDEX('Option Analysis'!$AM$6:$AM$85,MATCH(71,'Option Analysis'!$AN$6:$AN$85,0)),"")=IFERROR(INDEX('Option Analysis'!$AE$6:$AE$85,MATCH(71,'Option Analysis'!$AN$6:$AN$85,0)),""),"",IFERROR(INDEX('Option Analysis'!$AE$6:$AE$85,MATCH(71,'Option Analysis'!$AN$6:$AN$85,0)),"")))</f>
        <v/>
      </c>
      <c r="P76" s="25" t="str">
        <f aca="false">IFERROR(INDEX('Option Analysis'!$M$6:$M$85,MATCH(71,'Option Analysis'!$AN$6:$AN$85,0)),"")</f>
        <v/>
      </c>
      <c r="Q76" s="25" t="str">
        <f aca="false">IFERROR(INDEX('Option Analysis'!$AU$6:$AU$85,MATCH(71,'Option Analysis'!$AN$6:$AN$85,0)),"")</f>
        <v/>
      </c>
      <c r="R76" s="9" t="str">
        <f aca="false">IFERROR(INDEX('Option Analysis'!$AV$6:$AV$85,MATCH(71,'Option Analysis'!$AN$6:$AN$85,0)),"")</f>
        <v/>
      </c>
    </row>
    <row r="77" customFormat="false" ht="15" hidden="false" customHeight="false" outlineLevel="0" collapsed="false">
      <c r="A77" s="9" t="str">
        <f aca="false">IF(ISNUMBER(MATCH(72,'Option Analysis'!$AN$6:$AN$85,0)),72,"")</f>
        <v/>
      </c>
      <c r="B77" s="9" t="str">
        <f aca="false">IFERROR(INDEX('Option Analysis'!$A$6:$A$85,MATCH(72,'Option Analysis'!$AN$6:$AN$85,0)),"")</f>
        <v/>
      </c>
      <c r="C77" s="9" t="str">
        <f aca="false">IFERROR(INDEX('Option Analysis'!$B$6:$B$85,MATCH(72,'Option Analysis'!$AN$6:$AN$85,0)),"")</f>
        <v/>
      </c>
      <c r="D77" s="9" t="str">
        <f aca="false">IFERROR(INDEX('Option Analysis'!$C$6:$C$85,MATCH(72,'Option Analysis'!$AN$6:$AN$85,0)),"")</f>
        <v/>
      </c>
      <c r="E77" s="9" t="str">
        <f aca="false">IFERROR(INDEX('Option Analysis'!$AC$6:$AC$85,MATCH(72,'Option Analysis'!$AN$6:$AN$85,0)),"")</f>
        <v/>
      </c>
      <c r="F77" s="9" t="str">
        <f aca="false">IFERROR(INDEX('Option Analysis'!$AD$6:$AD$85,MATCH(72,'Option Analysis'!$AN$6:$AN$85,0)),"")</f>
        <v/>
      </c>
      <c r="G77" s="14" t="str">
        <f aca="false">IFERROR(INDEX('Option Analysis'!$AL$6:$AL$85,MATCH(72,'Option Analysis'!$AN$6:$AN$85,0)),"")</f>
        <v/>
      </c>
      <c r="H77" s="14" t="str">
        <f aca="false">IFERROR(INDEX('Option Analysis'!$AK$6:$AK$85,MATCH(72,'Option Analysis'!$AN$6:$AN$85,0)),"")</f>
        <v/>
      </c>
      <c r="I77" s="14" t="str">
        <f aca="false">IFERROR(INDEX('Option Analysis'!$AI$6:$AI$85,MATCH(72,'Option Analysis'!$AN$6:$AN$85,0)),"")</f>
        <v/>
      </c>
      <c r="J77" s="14" t="str">
        <f aca="false">IFERROR(INDEX('Option Analysis'!$AJ$6:$AJ$85,MATCH(72,'Option Analysis'!$AN$6:$AN$85,0)),"")</f>
        <v/>
      </c>
      <c r="K77" s="25" t="str">
        <f aca="false">IFERROR(INDEX('Option Analysis'!$S$6:$S$85,MATCH(72,'Option Analysis'!$AN$6:$AN$85,0)),"")</f>
        <v/>
      </c>
      <c r="L77" s="13" t="str">
        <f aca="false">IFERROR(INDEX('Option Analysis'!$Q$6:$Q$85,MATCH(72,'Option Analysis'!$AN$6:$AN$85,0)),"")</f>
        <v/>
      </c>
      <c r="M77" s="9" t="str">
        <f aca="false">IFERROR(INDEX('Option Analysis'!$AM$6:$AM$85,MATCH(72,'Option Analysis'!$AN$6:$AN$85,0)),"")</f>
        <v/>
      </c>
      <c r="N77" s="9" t="str">
        <f aca="false">IFERROR(INDEX('Option Analysis'!$AF$6:$AF$85,MATCH(72,'Option Analysis'!$AN$6:$AN$85,0)),"")</f>
        <v/>
      </c>
      <c r="O77" s="9" t="str">
        <f aca="false">IF(A77="","",IF(IFERROR(INDEX('Option Analysis'!$AM$6:$AM$85,MATCH(72,'Option Analysis'!$AN$6:$AN$85,0)),"")=IFERROR(INDEX('Option Analysis'!$AE$6:$AE$85,MATCH(72,'Option Analysis'!$AN$6:$AN$85,0)),""),"",IFERROR(INDEX('Option Analysis'!$AE$6:$AE$85,MATCH(72,'Option Analysis'!$AN$6:$AN$85,0)),"")))</f>
        <v/>
      </c>
      <c r="P77" s="25" t="str">
        <f aca="false">IFERROR(INDEX('Option Analysis'!$M$6:$M$85,MATCH(72,'Option Analysis'!$AN$6:$AN$85,0)),"")</f>
        <v/>
      </c>
      <c r="Q77" s="25" t="str">
        <f aca="false">IFERROR(INDEX('Option Analysis'!$AU$6:$AU$85,MATCH(72,'Option Analysis'!$AN$6:$AN$85,0)),"")</f>
        <v/>
      </c>
      <c r="R77" s="9" t="str">
        <f aca="false">IFERROR(INDEX('Option Analysis'!$AV$6:$AV$85,MATCH(72,'Option Analysis'!$AN$6:$AN$85,0)),"")</f>
        <v/>
      </c>
    </row>
    <row r="78" customFormat="false" ht="15" hidden="false" customHeight="false" outlineLevel="0" collapsed="false">
      <c r="A78" s="9" t="str">
        <f aca="false">IF(ISNUMBER(MATCH(73,'Option Analysis'!$AN$6:$AN$85,0)),73,"")</f>
        <v/>
      </c>
      <c r="B78" s="9" t="str">
        <f aca="false">IFERROR(INDEX('Option Analysis'!$A$6:$A$85,MATCH(73,'Option Analysis'!$AN$6:$AN$85,0)),"")</f>
        <v/>
      </c>
      <c r="C78" s="9" t="str">
        <f aca="false">IFERROR(INDEX('Option Analysis'!$B$6:$B$85,MATCH(73,'Option Analysis'!$AN$6:$AN$85,0)),"")</f>
        <v/>
      </c>
      <c r="D78" s="9" t="str">
        <f aca="false">IFERROR(INDEX('Option Analysis'!$C$6:$C$85,MATCH(73,'Option Analysis'!$AN$6:$AN$85,0)),"")</f>
        <v/>
      </c>
      <c r="E78" s="9" t="str">
        <f aca="false">IFERROR(INDEX('Option Analysis'!$AC$6:$AC$85,MATCH(73,'Option Analysis'!$AN$6:$AN$85,0)),"")</f>
        <v/>
      </c>
      <c r="F78" s="9" t="str">
        <f aca="false">IFERROR(INDEX('Option Analysis'!$AD$6:$AD$85,MATCH(73,'Option Analysis'!$AN$6:$AN$85,0)),"")</f>
        <v/>
      </c>
      <c r="G78" s="14" t="str">
        <f aca="false">IFERROR(INDEX('Option Analysis'!$AL$6:$AL$85,MATCH(73,'Option Analysis'!$AN$6:$AN$85,0)),"")</f>
        <v/>
      </c>
      <c r="H78" s="14" t="str">
        <f aca="false">IFERROR(INDEX('Option Analysis'!$AK$6:$AK$85,MATCH(73,'Option Analysis'!$AN$6:$AN$85,0)),"")</f>
        <v/>
      </c>
      <c r="I78" s="14" t="str">
        <f aca="false">IFERROR(INDEX('Option Analysis'!$AI$6:$AI$85,MATCH(73,'Option Analysis'!$AN$6:$AN$85,0)),"")</f>
        <v/>
      </c>
      <c r="J78" s="14" t="str">
        <f aca="false">IFERROR(INDEX('Option Analysis'!$AJ$6:$AJ$85,MATCH(73,'Option Analysis'!$AN$6:$AN$85,0)),"")</f>
        <v/>
      </c>
      <c r="K78" s="25" t="str">
        <f aca="false">IFERROR(INDEX('Option Analysis'!$S$6:$S$85,MATCH(73,'Option Analysis'!$AN$6:$AN$85,0)),"")</f>
        <v/>
      </c>
      <c r="L78" s="13" t="str">
        <f aca="false">IFERROR(INDEX('Option Analysis'!$Q$6:$Q$85,MATCH(73,'Option Analysis'!$AN$6:$AN$85,0)),"")</f>
        <v/>
      </c>
      <c r="M78" s="9" t="str">
        <f aca="false">IFERROR(INDEX('Option Analysis'!$AM$6:$AM$85,MATCH(73,'Option Analysis'!$AN$6:$AN$85,0)),"")</f>
        <v/>
      </c>
      <c r="N78" s="9" t="str">
        <f aca="false">IFERROR(INDEX('Option Analysis'!$AF$6:$AF$85,MATCH(73,'Option Analysis'!$AN$6:$AN$85,0)),"")</f>
        <v/>
      </c>
      <c r="O78" s="9" t="str">
        <f aca="false">IF(A78="","",IF(IFERROR(INDEX('Option Analysis'!$AM$6:$AM$85,MATCH(73,'Option Analysis'!$AN$6:$AN$85,0)),"")=IFERROR(INDEX('Option Analysis'!$AE$6:$AE$85,MATCH(73,'Option Analysis'!$AN$6:$AN$85,0)),""),"",IFERROR(INDEX('Option Analysis'!$AE$6:$AE$85,MATCH(73,'Option Analysis'!$AN$6:$AN$85,0)),"")))</f>
        <v/>
      </c>
      <c r="P78" s="25" t="str">
        <f aca="false">IFERROR(INDEX('Option Analysis'!$M$6:$M$85,MATCH(73,'Option Analysis'!$AN$6:$AN$85,0)),"")</f>
        <v/>
      </c>
      <c r="Q78" s="25" t="str">
        <f aca="false">IFERROR(INDEX('Option Analysis'!$AU$6:$AU$85,MATCH(73,'Option Analysis'!$AN$6:$AN$85,0)),"")</f>
        <v/>
      </c>
      <c r="R78" s="9" t="str">
        <f aca="false">IFERROR(INDEX('Option Analysis'!$AV$6:$AV$85,MATCH(73,'Option Analysis'!$AN$6:$AN$85,0)),"")</f>
        <v/>
      </c>
    </row>
    <row r="79" customFormat="false" ht="15" hidden="false" customHeight="false" outlineLevel="0" collapsed="false">
      <c r="A79" s="9" t="str">
        <f aca="false">IF(ISNUMBER(MATCH(74,'Option Analysis'!$AN$6:$AN$85,0)),74,"")</f>
        <v/>
      </c>
      <c r="B79" s="9" t="str">
        <f aca="false">IFERROR(INDEX('Option Analysis'!$A$6:$A$85,MATCH(74,'Option Analysis'!$AN$6:$AN$85,0)),"")</f>
        <v/>
      </c>
      <c r="C79" s="9" t="str">
        <f aca="false">IFERROR(INDEX('Option Analysis'!$B$6:$B$85,MATCH(74,'Option Analysis'!$AN$6:$AN$85,0)),"")</f>
        <v/>
      </c>
      <c r="D79" s="9" t="str">
        <f aca="false">IFERROR(INDEX('Option Analysis'!$C$6:$C$85,MATCH(74,'Option Analysis'!$AN$6:$AN$85,0)),"")</f>
        <v/>
      </c>
      <c r="E79" s="9" t="str">
        <f aca="false">IFERROR(INDEX('Option Analysis'!$AC$6:$AC$85,MATCH(74,'Option Analysis'!$AN$6:$AN$85,0)),"")</f>
        <v/>
      </c>
      <c r="F79" s="9" t="str">
        <f aca="false">IFERROR(INDEX('Option Analysis'!$AD$6:$AD$85,MATCH(74,'Option Analysis'!$AN$6:$AN$85,0)),"")</f>
        <v/>
      </c>
      <c r="G79" s="14" t="str">
        <f aca="false">IFERROR(INDEX('Option Analysis'!$AL$6:$AL$85,MATCH(74,'Option Analysis'!$AN$6:$AN$85,0)),"")</f>
        <v/>
      </c>
      <c r="H79" s="14" t="str">
        <f aca="false">IFERROR(INDEX('Option Analysis'!$AK$6:$AK$85,MATCH(74,'Option Analysis'!$AN$6:$AN$85,0)),"")</f>
        <v/>
      </c>
      <c r="I79" s="14" t="str">
        <f aca="false">IFERROR(INDEX('Option Analysis'!$AI$6:$AI$85,MATCH(74,'Option Analysis'!$AN$6:$AN$85,0)),"")</f>
        <v/>
      </c>
      <c r="J79" s="14" t="str">
        <f aca="false">IFERROR(INDEX('Option Analysis'!$AJ$6:$AJ$85,MATCH(74,'Option Analysis'!$AN$6:$AN$85,0)),"")</f>
        <v/>
      </c>
      <c r="K79" s="25" t="str">
        <f aca="false">IFERROR(INDEX('Option Analysis'!$S$6:$S$85,MATCH(74,'Option Analysis'!$AN$6:$AN$85,0)),"")</f>
        <v/>
      </c>
      <c r="L79" s="13" t="str">
        <f aca="false">IFERROR(INDEX('Option Analysis'!$Q$6:$Q$85,MATCH(74,'Option Analysis'!$AN$6:$AN$85,0)),"")</f>
        <v/>
      </c>
      <c r="M79" s="9" t="str">
        <f aca="false">IFERROR(INDEX('Option Analysis'!$AM$6:$AM$85,MATCH(74,'Option Analysis'!$AN$6:$AN$85,0)),"")</f>
        <v/>
      </c>
      <c r="N79" s="9" t="str">
        <f aca="false">IFERROR(INDEX('Option Analysis'!$AF$6:$AF$85,MATCH(74,'Option Analysis'!$AN$6:$AN$85,0)),"")</f>
        <v/>
      </c>
      <c r="O79" s="9" t="str">
        <f aca="false">IF(A79="","",IF(IFERROR(INDEX('Option Analysis'!$AM$6:$AM$85,MATCH(74,'Option Analysis'!$AN$6:$AN$85,0)),"")=IFERROR(INDEX('Option Analysis'!$AE$6:$AE$85,MATCH(74,'Option Analysis'!$AN$6:$AN$85,0)),""),"",IFERROR(INDEX('Option Analysis'!$AE$6:$AE$85,MATCH(74,'Option Analysis'!$AN$6:$AN$85,0)),"")))</f>
        <v/>
      </c>
      <c r="P79" s="25" t="str">
        <f aca="false">IFERROR(INDEX('Option Analysis'!$M$6:$M$85,MATCH(74,'Option Analysis'!$AN$6:$AN$85,0)),"")</f>
        <v/>
      </c>
      <c r="Q79" s="25" t="str">
        <f aca="false">IFERROR(INDEX('Option Analysis'!$AU$6:$AU$85,MATCH(74,'Option Analysis'!$AN$6:$AN$85,0)),"")</f>
        <v/>
      </c>
      <c r="R79" s="9" t="str">
        <f aca="false">IFERROR(INDEX('Option Analysis'!$AV$6:$AV$85,MATCH(74,'Option Analysis'!$AN$6:$AN$85,0)),"")</f>
        <v/>
      </c>
    </row>
    <row r="80" customFormat="false" ht="15" hidden="false" customHeight="false" outlineLevel="0" collapsed="false">
      <c r="A80" s="9" t="str">
        <f aca="false">IF(ISNUMBER(MATCH(75,'Option Analysis'!$AN$6:$AN$85,0)),75,"")</f>
        <v/>
      </c>
      <c r="B80" s="9" t="str">
        <f aca="false">IFERROR(INDEX('Option Analysis'!$A$6:$A$85,MATCH(75,'Option Analysis'!$AN$6:$AN$85,0)),"")</f>
        <v/>
      </c>
      <c r="C80" s="9" t="str">
        <f aca="false">IFERROR(INDEX('Option Analysis'!$B$6:$B$85,MATCH(75,'Option Analysis'!$AN$6:$AN$85,0)),"")</f>
        <v/>
      </c>
      <c r="D80" s="9" t="str">
        <f aca="false">IFERROR(INDEX('Option Analysis'!$C$6:$C$85,MATCH(75,'Option Analysis'!$AN$6:$AN$85,0)),"")</f>
        <v/>
      </c>
      <c r="E80" s="9" t="str">
        <f aca="false">IFERROR(INDEX('Option Analysis'!$AC$6:$AC$85,MATCH(75,'Option Analysis'!$AN$6:$AN$85,0)),"")</f>
        <v/>
      </c>
      <c r="F80" s="9" t="str">
        <f aca="false">IFERROR(INDEX('Option Analysis'!$AD$6:$AD$85,MATCH(75,'Option Analysis'!$AN$6:$AN$85,0)),"")</f>
        <v/>
      </c>
      <c r="G80" s="14" t="str">
        <f aca="false">IFERROR(INDEX('Option Analysis'!$AL$6:$AL$85,MATCH(75,'Option Analysis'!$AN$6:$AN$85,0)),"")</f>
        <v/>
      </c>
      <c r="H80" s="14" t="str">
        <f aca="false">IFERROR(INDEX('Option Analysis'!$AK$6:$AK$85,MATCH(75,'Option Analysis'!$AN$6:$AN$85,0)),"")</f>
        <v/>
      </c>
      <c r="I80" s="14" t="str">
        <f aca="false">IFERROR(INDEX('Option Analysis'!$AI$6:$AI$85,MATCH(75,'Option Analysis'!$AN$6:$AN$85,0)),"")</f>
        <v/>
      </c>
      <c r="J80" s="14" t="str">
        <f aca="false">IFERROR(INDEX('Option Analysis'!$AJ$6:$AJ$85,MATCH(75,'Option Analysis'!$AN$6:$AN$85,0)),"")</f>
        <v/>
      </c>
      <c r="K80" s="25" t="str">
        <f aca="false">IFERROR(INDEX('Option Analysis'!$S$6:$S$85,MATCH(75,'Option Analysis'!$AN$6:$AN$85,0)),"")</f>
        <v/>
      </c>
      <c r="L80" s="13" t="str">
        <f aca="false">IFERROR(INDEX('Option Analysis'!$Q$6:$Q$85,MATCH(75,'Option Analysis'!$AN$6:$AN$85,0)),"")</f>
        <v/>
      </c>
      <c r="M80" s="9" t="str">
        <f aca="false">IFERROR(INDEX('Option Analysis'!$AM$6:$AM$85,MATCH(75,'Option Analysis'!$AN$6:$AN$85,0)),"")</f>
        <v/>
      </c>
      <c r="N80" s="9" t="str">
        <f aca="false">IFERROR(INDEX('Option Analysis'!$AF$6:$AF$85,MATCH(75,'Option Analysis'!$AN$6:$AN$85,0)),"")</f>
        <v/>
      </c>
      <c r="O80" s="9" t="str">
        <f aca="false">IF(A80="","",IF(IFERROR(INDEX('Option Analysis'!$AM$6:$AM$85,MATCH(75,'Option Analysis'!$AN$6:$AN$85,0)),"")=IFERROR(INDEX('Option Analysis'!$AE$6:$AE$85,MATCH(75,'Option Analysis'!$AN$6:$AN$85,0)),""),"",IFERROR(INDEX('Option Analysis'!$AE$6:$AE$85,MATCH(75,'Option Analysis'!$AN$6:$AN$85,0)),"")))</f>
        <v/>
      </c>
      <c r="P80" s="25" t="str">
        <f aca="false">IFERROR(INDEX('Option Analysis'!$M$6:$M$85,MATCH(75,'Option Analysis'!$AN$6:$AN$85,0)),"")</f>
        <v/>
      </c>
      <c r="Q80" s="25" t="str">
        <f aca="false">IFERROR(INDEX('Option Analysis'!$AU$6:$AU$85,MATCH(75,'Option Analysis'!$AN$6:$AN$85,0)),"")</f>
        <v/>
      </c>
      <c r="R80" s="9" t="str">
        <f aca="false">IFERROR(INDEX('Option Analysis'!$AV$6:$AV$85,MATCH(75,'Option Analysis'!$AN$6:$AN$85,0)),"")</f>
        <v/>
      </c>
    </row>
    <row r="81" customFormat="false" ht="15" hidden="false" customHeight="false" outlineLevel="0" collapsed="false">
      <c r="A81" s="9" t="str">
        <f aca="false">IF(ISNUMBER(MATCH(76,'Option Analysis'!$AN$6:$AN$85,0)),76,"")</f>
        <v/>
      </c>
      <c r="B81" s="9" t="str">
        <f aca="false">IFERROR(INDEX('Option Analysis'!$A$6:$A$85,MATCH(76,'Option Analysis'!$AN$6:$AN$85,0)),"")</f>
        <v/>
      </c>
      <c r="C81" s="9" t="str">
        <f aca="false">IFERROR(INDEX('Option Analysis'!$B$6:$B$85,MATCH(76,'Option Analysis'!$AN$6:$AN$85,0)),"")</f>
        <v/>
      </c>
      <c r="D81" s="9" t="str">
        <f aca="false">IFERROR(INDEX('Option Analysis'!$C$6:$C$85,MATCH(76,'Option Analysis'!$AN$6:$AN$85,0)),"")</f>
        <v/>
      </c>
      <c r="E81" s="9" t="str">
        <f aca="false">IFERROR(INDEX('Option Analysis'!$AC$6:$AC$85,MATCH(76,'Option Analysis'!$AN$6:$AN$85,0)),"")</f>
        <v/>
      </c>
      <c r="F81" s="9" t="str">
        <f aca="false">IFERROR(INDEX('Option Analysis'!$AD$6:$AD$85,MATCH(76,'Option Analysis'!$AN$6:$AN$85,0)),"")</f>
        <v/>
      </c>
      <c r="G81" s="14" t="str">
        <f aca="false">IFERROR(INDEX('Option Analysis'!$AL$6:$AL$85,MATCH(76,'Option Analysis'!$AN$6:$AN$85,0)),"")</f>
        <v/>
      </c>
      <c r="H81" s="14" t="str">
        <f aca="false">IFERROR(INDEX('Option Analysis'!$AK$6:$AK$85,MATCH(76,'Option Analysis'!$AN$6:$AN$85,0)),"")</f>
        <v/>
      </c>
      <c r="I81" s="14" t="str">
        <f aca="false">IFERROR(INDEX('Option Analysis'!$AI$6:$AI$85,MATCH(76,'Option Analysis'!$AN$6:$AN$85,0)),"")</f>
        <v/>
      </c>
      <c r="J81" s="14" t="str">
        <f aca="false">IFERROR(INDEX('Option Analysis'!$AJ$6:$AJ$85,MATCH(76,'Option Analysis'!$AN$6:$AN$85,0)),"")</f>
        <v/>
      </c>
      <c r="K81" s="25" t="str">
        <f aca="false">IFERROR(INDEX('Option Analysis'!$S$6:$S$85,MATCH(76,'Option Analysis'!$AN$6:$AN$85,0)),"")</f>
        <v/>
      </c>
      <c r="L81" s="13" t="str">
        <f aca="false">IFERROR(INDEX('Option Analysis'!$Q$6:$Q$85,MATCH(76,'Option Analysis'!$AN$6:$AN$85,0)),"")</f>
        <v/>
      </c>
      <c r="M81" s="9" t="str">
        <f aca="false">IFERROR(INDEX('Option Analysis'!$AM$6:$AM$85,MATCH(76,'Option Analysis'!$AN$6:$AN$85,0)),"")</f>
        <v/>
      </c>
      <c r="N81" s="9" t="str">
        <f aca="false">IFERROR(INDEX('Option Analysis'!$AF$6:$AF$85,MATCH(76,'Option Analysis'!$AN$6:$AN$85,0)),"")</f>
        <v/>
      </c>
      <c r="O81" s="9" t="str">
        <f aca="false">IF(A81="","",IF(IFERROR(INDEX('Option Analysis'!$AM$6:$AM$85,MATCH(76,'Option Analysis'!$AN$6:$AN$85,0)),"")=IFERROR(INDEX('Option Analysis'!$AE$6:$AE$85,MATCH(76,'Option Analysis'!$AN$6:$AN$85,0)),""),"",IFERROR(INDEX('Option Analysis'!$AE$6:$AE$85,MATCH(76,'Option Analysis'!$AN$6:$AN$85,0)),"")))</f>
        <v/>
      </c>
      <c r="P81" s="25" t="str">
        <f aca="false">IFERROR(INDEX('Option Analysis'!$M$6:$M$85,MATCH(76,'Option Analysis'!$AN$6:$AN$85,0)),"")</f>
        <v/>
      </c>
      <c r="Q81" s="25" t="str">
        <f aca="false">IFERROR(INDEX('Option Analysis'!$AU$6:$AU$85,MATCH(76,'Option Analysis'!$AN$6:$AN$85,0)),"")</f>
        <v/>
      </c>
      <c r="R81" s="9" t="str">
        <f aca="false">IFERROR(INDEX('Option Analysis'!$AV$6:$AV$85,MATCH(76,'Option Analysis'!$AN$6:$AN$85,0)),"")</f>
        <v/>
      </c>
    </row>
    <row r="82" customFormat="false" ht="15" hidden="false" customHeight="false" outlineLevel="0" collapsed="false">
      <c r="A82" s="9" t="str">
        <f aca="false">IF(ISNUMBER(MATCH(77,'Option Analysis'!$AN$6:$AN$85,0)),77,"")</f>
        <v/>
      </c>
      <c r="B82" s="9" t="str">
        <f aca="false">IFERROR(INDEX('Option Analysis'!$A$6:$A$85,MATCH(77,'Option Analysis'!$AN$6:$AN$85,0)),"")</f>
        <v/>
      </c>
      <c r="C82" s="9" t="str">
        <f aca="false">IFERROR(INDEX('Option Analysis'!$B$6:$B$85,MATCH(77,'Option Analysis'!$AN$6:$AN$85,0)),"")</f>
        <v/>
      </c>
      <c r="D82" s="9" t="str">
        <f aca="false">IFERROR(INDEX('Option Analysis'!$C$6:$C$85,MATCH(77,'Option Analysis'!$AN$6:$AN$85,0)),"")</f>
        <v/>
      </c>
      <c r="E82" s="9" t="str">
        <f aca="false">IFERROR(INDEX('Option Analysis'!$AC$6:$AC$85,MATCH(77,'Option Analysis'!$AN$6:$AN$85,0)),"")</f>
        <v/>
      </c>
      <c r="F82" s="9" t="str">
        <f aca="false">IFERROR(INDEX('Option Analysis'!$AD$6:$AD$85,MATCH(77,'Option Analysis'!$AN$6:$AN$85,0)),"")</f>
        <v/>
      </c>
      <c r="G82" s="14" t="str">
        <f aca="false">IFERROR(INDEX('Option Analysis'!$AL$6:$AL$85,MATCH(77,'Option Analysis'!$AN$6:$AN$85,0)),"")</f>
        <v/>
      </c>
      <c r="H82" s="14" t="str">
        <f aca="false">IFERROR(INDEX('Option Analysis'!$AK$6:$AK$85,MATCH(77,'Option Analysis'!$AN$6:$AN$85,0)),"")</f>
        <v/>
      </c>
      <c r="I82" s="14" t="str">
        <f aca="false">IFERROR(INDEX('Option Analysis'!$AI$6:$AI$85,MATCH(77,'Option Analysis'!$AN$6:$AN$85,0)),"")</f>
        <v/>
      </c>
      <c r="J82" s="14" t="str">
        <f aca="false">IFERROR(INDEX('Option Analysis'!$AJ$6:$AJ$85,MATCH(77,'Option Analysis'!$AN$6:$AN$85,0)),"")</f>
        <v/>
      </c>
      <c r="K82" s="25" t="str">
        <f aca="false">IFERROR(INDEX('Option Analysis'!$S$6:$S$85,MATCH(77,'Option Analysis'!$AN$6:$AN$85,0)),"")</f>
        <v/>
      </c>
      <c r="L82" s="13" t="str">
        <f aca="false">IFERROR(INDEX('Option Analysis'!$Q$6:$Q$85,MATCH(77,'Option Analysis'!$AN$6:$AN$85,0)),"")</f>
        <v/>
      </c>
      <c r="M82" s="9" t="str">
        <f aca="false">IFERROR(INDEX('Option Analysis'!$AM$6:$AM$85,MATCH(77,'Option Analysis'!$AN$6:$AN$85,0)),"")</f>
        <v/>
      </c>
      <c r="N82" s="9" t="str">
        <f aca="false">IFERROR(INDEX('Option Analysis'!$AF$6:$AF$85,MATCH(77,'Option Analysis'!$AN$6:$AN$85,0)),"")</f>
        <v/>
      </c>
      <c r="O82" s="9" t="str">
        <f aca="false">IF(A82="","",IF(IFERROR(INDEX('Option Analysis'!$AM$6:$AM$85,MATCH(77,'Option Analysis'!$AN$6:$AN$85,0)),"")=IFERROR(INDEX('Option Analysis'!$AE$6:$AE$85,MATCH(77,'Option Analysis'!$AN$6:$AN$85,0)),""),"",IFERROR(INDEX('Option Analysis'!$AE$6:$AE$85,MATCH(77,'Option Analysis'!$AN$6:$AN$85,0)),"")))</f>
        <v/>
      </c>
      <c r="P82" s="25" t="str">
        <f aca="false">IFERROR(INDEX('Option Analysis'!$M$6:$M$85,MATCH(77,'Option Analysis'!$AN$6:$AN$85,0)),"")</f>
        <v/>
      </c>
      <c r="Q82" s="25" t="str">
        <f aca="false">IFERROR(INDEX('Option Analysis'!$AU$6:$AU$85,MATCH(77,'Option Analysis'!$AN$6:$AN$85,0)),"")</f>
        <v/>
      </c>
      <c r="R82" s="9" t="str">
        <f aca="false">IFERROR(INDEX('Option Analysis'!$AV$6:$AV$85,MATCH(77,'Option Analysis'!$AN$6:$AN$85,0)),"")</f>
        <v/>
      </c>
    </row>
    <row r="83" customFormat="false" ht="15" hidden="false" customHeight="false" outlineLevel="0" collapsed="false">
      <c r="A83" s="9" t="str">
        <f aca="false">IF(ISNUMBER(MATCH(78,'Option Analysis'!$AN$6:$AN$85,0)),78,"")</f>
        <v/>
      </c>
      <c r="B83" s="9" t="str">
        <f aca="false">IFERROR(INDEX('Option Analysis'!$A$6:$A$85,MATCH(78,'Option Analysis'!$AN$6:$AN$85,0)),"")</f>
        <v/>
      </c>
      <c r="C83" s="9" t="str">
        <f aca="false">IFERROR(INDEX('Option Analysis'!$B$6:$B$85,MATCH(78,'Option Analysis'!$AN$6:$AN$85,0)),"")</f>
        <v/>
      </c>
      <c r="D83" s="9" t="str">
        <f aca="false">IFERROR(INDEX('Option Analysis'!$C$6:$C$85,MATCH(78,'Option Analysis'!$AN$6:$AN$85,0)),"")</f>
        <v/>
      </c>
      <c r="E83" s="9" t="str">
        <f aca="false">IFERROR(INDEX('Option Analysis'!$AC$6:$AC$85,MATCH(78,'Option Analysis'!$AN$6:$AN$85,0)),"")</f>
        <v/>
      </c>
      <c r="F83" s="9" t="str">
        <f aca="false">IFERROR(INDEX('Option Analysis'!$AD$6:$AD$85,MATCH(78,'Option Analysis'!$AN$6:$AN$85,0)),"")</f>
        <v/>
      </c>
      <c r="G83" s="14" t="str">
        <f aca="false">IFERROR(INDEX('Option Analysis'!$AL$6:$AL$85,MATCH(78,'Option Analysis'!$AN$6:$AN$85,0)),"")</f>
        <v/>
      </c>
      <c r="H83" s="14" t="str">
        <f aca="false">IFERROR(INDEX('Option Analysis'!$AK$6:$AK$85,MATCH(78,'Option Analysis'!$AN$6:$AN$85,0)),"")</f>
        <v/>
      </c>
      <c r="I83" s="14" t="str">
        <f aca="false">IFERROR(INDEX('Option Analysis'!$AI$6:$AI$85,MATCH(78,'Option Analysis'!$AN$6:$AN$85,0)),"")</f>
        <v/>
      </c>
      <c r="J83" s="14" t="str">
        <f aca="false">IFERROR(INDEX('Option Analysis'!$AJ$6:$AJ$85,MATCH(78,'Option Analysis'!$AN$6:$AN$85,0)),"")</f>
        <v/>
      </c>
      <c r="K83" s="25" t="str">
        <f aca="false">IFERROR(INDEX('Option Analysis'!$S$6:$S$85,MATCH(78,'Option Analysis'!$AN$6:$AN$85,0)),"")</f>
        <v/>
      </c>
      <c r="L83" s="13" t="str">
        <f aca="false">IFERROR(INDEX('Option Analysis'!$Q$6:$Q$85,MATCH(78,'Option Analysis'!$AN$6:$AN$85,0)),"")</f>
        <v/>
      </c>
      <c r="M83" s="9" t="str">
        <f aca="false">IFERROR(INDEX('Option Analysis'!$AM$6:$AM$85,MATCH(78,'Option Analysis'!$AN$6:$AN$85,0)),"")</f>
        <v/>
      </c>
      <c r="N83" s="9" t="str">
        <f aca="false">IFERROR(INDEX('Option Analysis'!$AF$6:$AF$85,MATCH(78,'Option Analysis'!$AN$6:$AN$85,0)),"")</f>
        <v/>
      </c>
      <c r="O83" s="9" t="str">
        <f aca="false">IF(A83="","",IF(IFERROR(INDEX('Option Analysis'!$AM$6:$AM$85,MATCH(78,'Option Analysis'!$AN$6:$AN$85,0)),"")=IFERROR(INDEX('Option Analysis'!$AE$6:$AE$85,MATCH(78,'Option Analysis'!$AN$6:$AN$85,0)),""),"",IFERROR(INDEX('Option Analysis'!$AE$6:$AE$85,MATCH(78,'Option Analysis'!$AN$6:$AN$85,0)),"")))</f>
        <v/>
      </c>
      <c r="P83" s="25" t="str">
        <f aca="false">IFERROR(INDEX('Option Analysis'!$M$6:$M$85,MATCH(78,'Option Analysis'!$AN$6:$AN$85,0)),"")</f>
        <v/>
      </c>
      <c r="Q83" s="25" t="str">
        <f aca="false">IFERROR(INDEX('Option Analysis'!$AU$6:$AU$85,MATCH(78,'Option Analysis'!$AN$6:$AN$85,0)),"")</f>
        <v/>
      </c>
      <c r="R83" s="9" t="str">
        <f aca="false">IFERROR(INDEX('Option Analysis'!$AV$6:$AV$85,MATCH(78,'Option Analysis'!$AN$6:$AN$85,0)),"")</f>
        <v/>
      </c>
    </row>
    <row r="84" customFormat="false" ht="15" hidden="false" customHeight="false" outlineLevel="0" collapsed="false">
      <c r="A84" s="9" t="str">
        <f aca="false">IF(ISNUMBER(MATCH(79,'Option Analysis'!$AN$6:$AN$85,0)),79,"")</f>
        <v/>
      </c>
      <c r="B84" s="9" t="str">
        <f aca="false">IFERROR(INDEX('Option Analysis'!$A$6:$A$85,MATCH(79,'Option Analysis'!$AN$6:$AN$85,0)),"")</f>
        <v/>
      </c>
      <c r="C84" s="9" t="str">
        <f aca="false">IFERROR(INDEX('Option Analysis'!$B$6:$B$85,MATCH(79,'Option Analysis'!$AN$6:$AN$85,0)),"")</f>
        <v/>
      </c>
      <c r="D84" s="9" t="str">
        <f aca="false">IFERROR(INDEX('Option Analysis'!$C$6:$C$85,MATCH(79,'Option Analysis'!$AN$6:$AN$85,0)),"")</f>
        <v/>
      </c>
      <c r="E84" s="9" t="str">
        <f aca="false">IFERROR(INDEX('Option Analysis'!$AC$6:$AC$85,MATCH(79,'Option Analysis'!$AN$6:$AN$85,0)),"")</f>
        <v/>
      </c>
      <c r="F84" s="9" t="str">
        <f aca="false">IFERROR(INDEX('Option Analysis'!$AD$6:$AD$85,MATCH(79,'Option Analysis'!$AN$6:$AN$85,0)),"")</f>
        <v/>
      </c>
      <c r="G84" s="14" t="str">
        <f aca="false">IFERROR(INDEX('Option Analysis'!$AL$6:$AL$85,MATCH(79,'Option Analysis'!$AN$6:$AN$85,0)),"")</f>
        <v/>
      </c>
      <c r="H84" s="14" t="str">
        <f aca="false">IFERROR(INDEX('Option Analysis'!$AK$6:$AK$85,MATCH(79,'Option Analysis'!$AN$6:$AN$85,0)),"")</f>
        <v/>
      </c>
      <c r="I84" s="14" t="str">
        <f aca="false">IFERROR(INDEX('Option Analysis'!$AI$6:$AI$85,MATCH(79,'Option Analysis'!$AN$6:$AN$85,0)),"")</f>
        <v/>
      </c>
      <c r="J84" s="14" t="str">
        <f aca="false">IFERROR(INDEX('Option Analysis'!$AJ$6:$AJ$85,MATCH(79,'Option Analysis'!$AN$6:$AN$85,0)),"")</f>
        <v/>
      </c>
      <c r="K84" s="25" t="str">
        <f aca="false">IFERROR(INDEX('Option Analysis'!$S$6:$S$85,MATCH(79,'Option Analysis'!$AN$6:$AN$85,0)),"")</f>
        <v/>
      </c>
      <c r="L84" s="13" t="str">
        <f aca="false">IFERROR(INDEX('Option Analysis'!$Q$6:$Q$85,MATCH(79,'Option Analysis'!$AN$6:$AN$85,0)),"")</f>
        <v/>
      </c>
      <c r="M84" s="9" t="str">
        <f aca="false">IFERROR(INDEX('Option Analysis'!$AM$6:$AM$85,MATCH(79,'Option Analysis'!$AN$6:$AN$85,0)),"")</f>
        <v/>
      </c>
      <c r="N84" s="9" t="str">
        <f aca="false">IFERROR(INDEX('Option Analysis'!$AF$6:$AF$85,MATCH(79,'Option Analysis'!$AN$6:$AN$85,0)),"")</f>
        <v/>
      </c>
      <c r="O84" s="9" t="str">
        <f aca="false">IF(A84="","",IF(IFERROR(INDEX('Option Analysis'!$AM$6:$AM$85,MATCH(79,'Option Analysis'!$AN$6:$AN$85,0)),"")=IFERROR(INDEX('Option Analysis'!$AE$6:$AE$85,MATCH(79,'Option Analysis'!$AN$6:$AN$85,0)),""),"",IFERROR(INDEX('Option Analysis'!$AE$6:$AE$85,MATCH(79,'Option Analysis'!$AN$6:$AN$85,0)),"")))</f>
        <v/>
      </c>
      <c r="P84" s="25" t="str">
        <f aca="false">IFERROR(INDEX('Option Analysis'!$M$6:$M$85,MATCH(79,'Option Analysis'!$AN$6:$AN$85,0)),"")</f>
        <v/>
      </c>
      <c r="Q84" s="25" t="str">
        <f aca="false">IFERROR(INDEX('Option Analysis'!$AU$6:$AU$85,MATCH(79,'Option Analysis'!$AN$6:$AN$85,0)),"")</f>
        <v/>
      </c>
      <c r="R84" s="9" t="str">
        <f aca="false">IFERROR(INDEX('Option Analysis'!$AV$6:$AV$85,MATCH(79,'Option Analysis'!$AN$6:$AN$85,0)),"")</f>
        <v/>
      </c>
    </row>
    <row r="85" customFormat="false" ht="15" hidden="false" customHeight="false" outlineLevel="0" collapsed="false">
      <c r="A85" s="9" t="str">
        <f aca="false">IF(ISNUMBER(MATCH(80,'Option Analysis'!$AN$6:$AN$85,0)),80,"")</f>
        <v/>
      </c>
      <c r="B85" s="9" t="str">
        <f aca="false">IFERROR(INDEX('Option Analysis'!$A$6:$A$85,MATCH(80,'Option Analysis'!$AN$6:$AN$85,0)),"")</f>
        <v/>
      </c>
      <c r="C85" s="9" t="str">
        <f aca="false">IFERROR(INDEX('Option Analysis'!$B$6:$B$85,MATCH(80,'Option Analysis'!$AN$6:$AN$85,0)),"")</f>
        <v/>
      </c>
      <c r="D85" s="9" t="str">
        <f aca="false">IFERROR(INDEX('Option Analysis'!$C$6:$C$85,MATCH(80,'Option Analysis'!$AN$6:$AN$85,0)),"")</f>
        <v/>
      </c>
      <c r="E85" s="9" t="str">
        <f aca="false">IFERROR(INDEX('Option Analysis'!$AC$6:$AC$85,MATCH(80,'Option Analysis'!$AN$6:$AN$85,0)),"")</f>
        <v/>
      </c>
      <c r="F85" s="9" t="str">
        <f aca="false">IFERROR(INDEX('Option Analysis'!$AD$6:$AD$85,MATCH(80,'Option Analysis'!$AN$6:$AN$85,0)),"")</f>
        <v/>
      </c>
      <c r="G85" s="14" t="str">
        <f aca="false">IFERROR(INDEX('Option Analysis'!$AL$6:$AL$85,MATCH(80,'Option Analysis'!$AN$6:$AN$85,0)),"")</f>
        <v/>
      </c>
      <c r="H85" s="14" t="str">
        <f aca="false">IFERROR(INDEX('Option Analysis'!$AK$6:$AK$85,MATCH(80,'Option Analysis'!$AN$6:$AN$85,0)),"")</f>
        <v/>
      </c>
      <c r="I85" s="14" t="str">
        <f aca="false">IFERROR(INDEX('Option Analysis'!$AI$6:$AI$85,MATCH(80,'Option Analysis'!$AN$6:$AN$85,0)),"")</f>
        <v/>
      </c>
      <c r="J85" s="14" t="str">
        <f aca="false">IFERROR(INDEX('Option Analysis'!$AJ$6:$AJ$85,MATCH(80,'Option Analysis'!$AN$6:$AN$85,0)),"")</f>
        <v/>
      </c>
      <c r="K85" s="25" t="str">
        <f aca="false">IFERROR(INDEX('Option Analysis'!$S$6:$S$85,MATCH(80,'Option Analysis'!$AN$6:$AN$85,0)),"")</f>
        <v/>
      </c>
      <c r="L85" s="13" t="str">
        <f aca="false">IFERROR(INDEX('Option Analysis'!$Q$6:$Q$85,MATCH(80,'Option Analysis'!$AN$6:$AN$85,0)),"")</f>
        <v/>
      </c>
      <c r="M85" s="9" t="str">
        <f aca="false">IFERROR(INDEX('Option Analysis'!$AM$6:$AM$85,MATCH(80,'Option Analysis'!$AN$6:$AN$85,0)),"")</f>
        <v/>
      </c>
      <c r="N85" s="9" t="str">
        <f aca="false">IFERROR(INDEX('Option Analysis'!$AF$6:$AF$85,MATCH(80,'Option Analysis'!$AN$6:$AN$85,0)),"")</f>
        <v/>
      </c>
      <c r="O85" s="9" t="str">
        <f aca="false">IF(A85="","",IF(IFERROR(INDEX('Option Analysis'!$AM$6:$AM$85,MATCH(80,'Option Analysis'!$AN$6:$AN$85,0)),"")=IFERROR(INDEX('Option Analysis'!$AE$6:$AE$85,MATCH(80,'Option Analysis'!$AN$6:$AN$85,0)),""),"",IFERROR(INDEX('Option Analysis'!$AE$6:$AE$85,MATCH(80,'Option Analysis'!$AN$6:$AN$85,0)),"")))</f>
        <v/>
      </c>
      <c r="P85" s="25" t="str">
        <f aca="false">IFERROR(INDEX('Option Analysis'!$M$6:$M$85,MATCH(80,'Option Analysis'!$AN$6:$AN$85,0)),"")</f>
        <v/>
      </c>
      <c r="Q85" s="25" t="str">
        <f aca="false">IFERROR(INDEX('Option Analysis'!$AU$6:$AU$85,MATCH(80,'Option Analysis'!$AN$6:$AN$85,0)),"")</f>
        <v/>
      </c>
      <c r="R85" s="9" t="str">
        <f aca="false">IFERROR(INDEX('Option Analysis'!$AV$6:$AV$85,MATCH(80,'Option Analysis'!$AN$6:$AN$85,0)),"")</f>
        <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1" min="2" style="0" width="13"/>
  </cols>
  <sheetData>
    <row r="1" customFormat="false" ht="17.35" hidden="false" customHeight="false" outlineLevel="0" collapsed="false">
      <c r="A1" s="1" t="s">
        <v>755</v>
      </c>
    </row>
    <row r="2" customFormat="false" ht="15" hidden="false" customHeight="false" outlineLevel="0" collapsed="false">
      <c r="A2" s="2" t="s">
        <v>756</v>
      </c>
    </row>
    <row r="4" customFormat="false" ht="15" hidden="false" customHeight="false" outlineLevel="0" collapsed="false">
      <c r="A4" s="10" t="s">
        <v>757</v>
      </c>
      <c r="B4" s="10"/>
      <c r="C4" s="10"/>
      <c r="D4" s="10"/>
      <c r="E4" s="10"/>
      <c r="F4" s="10"/>
      <c r="G4" s="10"/>
      <c r="H4" s="10"/>
      <c r="I4" s="10"/>
      <c r="J4" s="10"/>
      <c r="K4" s="10"/>
    </row>
    <row r="5" customFormat="false" ht="36" hidden="false" customHeight="true" outlineLevel="0" collapsed="false">
      <c r="A5" s="15" t="s">
        <v>758</v>
      </c>
      <c r="B5" s="15" t="s">
        <v>759</v>
      </c>
      <c r="C5" s="15" t="s">
        <v>714</v>
      </c>
      <c r="D5" s="15" t="s">
        <v>718</v>
      </c>
      <c r="E5" s="15" t="s">
        <v>717</v>
      </c>
      <c r="F5" s="15" t="s">
        <v>760</v>
      </c>
      <c r="G5" s="15" t="s">
        <v>761</v>
      </c>
      <c r="H5" s="15" t="s">
        <v>762</v>
      </c>
      <c r="I5" s="15" t="s">
        <v>328</v>
      </c>
      <c r="J5" s="15" t="s">
        <v>731</v>
      </c>
      <c r="K5" s="15" t="s">
        <v>763</v>
      </c>
    </row>
    <row r="6" customFormat="false" ht="15" hidden="false" customHeight="false" outlineLevel="0" collapsed="false">
      <c r="A6" s="16" t="s">
        <v>179</v>
      </c>
      <c r="B6" s="12" t="n">
        <f aca="false">IF(A6="","",SUMIFS('Option Analysis'!$G$6:$G$85,'Option Analysis'!$C$6:$C$85,$A6))</f>
        <v>3798</v>
      </c>
      <c r="C6" s="25" t="n">
        <f aca="false">IF(A6="","",SUMIFS('Option Analysis'!$N$6:$N$85,'Option Analysis'!$C$6:$C$85,$A6))</f>
        <v>223.65</v>
      </c>
      <c r="D6" s="26" t="n">
        <f aca="false">IF(A6="","",IF(C6&lt;=0,0,B6/C6))</f>
        <v>16.9818913480885</v>
      </c>
      <c r="E6" s="13" t="n">
        <f aca="false">IF(A6="","",IFERROR(SUMIFS('Option Analysis'!$O$6:$O$85,'Option Analysis'!$C$6:$C$85,$A6)/(SUMIFS('Option Analysis'!$E$6:$E$85,'Option Analysis'!$C$6:$C$85,$A6)-SUMIFS('Option Analysis'!$F$6:$F$85,'Option Analysis'!$C$6:$C$85,$A6)),0))</f>
        <v>0.552830838065737</v>
      </c>
      <c r="F6" s="13" t="n">
        <f aca="false">IF(A6="","",IFERROR(SUMPRODUCT(('Option Analysis'!$C$6:$C$85=$A6)*('Option Analysis'!$M$6:$M$85&gt;0)*'Option Analysis'!$M$6:$M$85*'Option Analysis'!$Y$6:$Y$85)/SUMPRODUCT(('Option Analysis'!$C$6:$C$85=$A6)*('Option Analysis'!$M$6:$M$85&gt;0)*'Option Analysis'!$M$6:$M$85),0))</f>
        <v>0.974245472837022</v>
      </c>
      <c r="G6" s="9" t="n">
        <f aca="false">IF(A6="","",COUNTIFS('Option Analysis'!$C$6:$C$85,$A6,'Option Analysis'!$W$6:$W$85,"Y"))</f>
        <v>1</v>
      </c>
      <c r="H6" s="9" t="n">
        <f aca="false">IF(A6="","",COUNTIFS('Option Analysis'!$C$6:$C$85,$A6,'Option Analysis'!$X$6:$X$85,"Y"))</f>
        <v>1</v>
      </c>
      <c r="I6" s="14" t="n">
        <f aca="false">IF(A6="","",SUMIFS('Option Analysis'!$AG$6:$AG$85,'Option Analysis'!$C$6:$C$85,$A6))</f>
        <v>271304.8</v>
      </c>
      <c r="J6" s="14" t="n">
        <f aca="false">IF(A6="","",SUMIFS('Option Analysis'!$AI$6:$AI$85,'Option Analysis'!$C$6:$C$85,$A6))</f>
        <v>241879.68</v>
      </c>
      <c r="K6" s="14" t="n">
        <f aca="false">IF(A6="","",SUMIFS('Option Analysis'!$AK$6:$AK$85,'Option Analysis'!$C$6:$C$85,$A6))</f>
        <v>5670</v>
      </c>
    </row>
    <row r="7" customFormat="false" ht="15" hidden="false" customHeight="false" outlineLevel="0" collapsed="false">
      <c r="A7" s="16" t="s">
        <v>232</v>
      </c>
      <c r="B7" s="12" t="n">
        <f aca="false">IF(A7="","",SUMIFS('Option Analysis'!$G$6:$G$85,'Option Analysis'!$C$6:$C$85,$A7))</f>
        <v>3695</v>
      </c>
      <c r="C7" s="25" t="n">
        <f aca="false">IF(A7="","",SUMIFS('Option Analysis'!$N$6:$N$85,'Option Analysis'!$C$6:$C$85,$A7))</f>
        <v>229.41</v>
      </c>
      <c r="D7" s="26" t="n">
        <f aca="false">IF(A7="","",IF(C7&lt;=0,0,B7/C7))</f>
        <v>16.1065341528268</v>
      </c>
      <c r="E7" s="13" t="n">
        <f aca="false">IF(A7="","",IFERROR(SUMIFS('Option Analysis'!$O$6:$O$85,'Option Analysis'!$C$6:$C$85,$A7)/(SUMIFS('Option Analysis'!$E$6:$E$85,'Option Analysis'!$C$6:$C$85,$A7)-SUMIFS('Option Analysis'!$F$6:$F$85,'Option Analysis'!$C$6:$C$85,$A7)),0))</f>
        <v>0.614421371178128</v>
      </c>
      <c r="F7" s="13" t="n">
        <f aca="false">IF(A7="","",IFERROR(SUMPRODUCT(('Option Analysis'!$C$6:$C$85=$A7)*('Option Analysis'!$M$6:$M$85&gt;0)*'Option Analysis'!$M$6:$M$85*'Option Analysis'!$Y$6:$Y$85)/SUMPRODUCT(('Option Analysis'!$C$6:$C$85=$A7)*('Option Analysis'!$M$6:$M$85&gt;0)*'Option Analysis'!$M$6:$M$85),0))</f>
        <v>0.957630443311103</v>
      </c>
      <c r="G7" s="9" t="n">
        <f aca="false">IF(A7="","",COUNTIFS('Option Analysis'!$C$6:$C$85,$A7,'Option Analysis'!$W$6:$W$85,"Y"))</f>
        <v>1</v>
      </c>
      <c r="H7" s="9" t="n">
        <f aca="false">IF(A7="","",COUNTIFS('Option Analysis'!$C$6:$C$85,$A7,'Option Analysis'!$X$6:$X$85,"Y"))</f>
        <v>1</v>
      </c>
      <c r="I7" s="14" t="n">
        <f aca="false">IF(A7="","",SUMIFS('Option Analysis'!$AG$6:$AG$85,'Option Analysis'!$C$6:$C$85,$A7))</f>
        <v>113887.9</v>
      </c>
      <c r="J7" s="14" t="n">
        <f aca="false">IF(A7="","",SUMIFS('Option Analysis'!$AI$6:$AI$85,'Option Analysis'!$C$6:$C$85,$A7))</f>
        <v>93384.72</v>
      </c>
      <c r="K7" s="14" t="n">
        <f aca="false">IF(A7="","",SUMIFS('Option Analysis'!$AK$6:$AK$85,'Option Analysis'!$C$6:$C$85,$A7))</f>
        <v>2227</v>
      </c>
    </row>
    <row r="8" customFormat="false" ht="15" hidden="false" customHeight="false" outlineLevel="0" collapsed="false">
      <c r="A8" s="16" t="s">
        <v>261</v>
      </c>
      <c r="B8" s="12" t="n">
        <f aca="false">IF(A8="","",SUMIFS('Option Analysis'!$G$6:$G$85,'Option Analysis'!$C$6:$C$85,$A8))</f>
        <v>4176</v>
      </c>
      <c r="C8" s="25" t="n">
        <f aca="false">IF(A8="","",SUMIFS('Option Analysis'!$N$6:$N$85,'Option Analysis'!$C$6:$C$85,$A8))</f>
        <v>201.24</v>
      </c>
      <c r="D8" s="26" t="n">
        <f aca="false">IF(A8="","",IF(C8&lt;=0,0,B8/C8))</f>
        <v>20.7513416815742</v>
      </c>
      <c r="E8" s="13" t="n">
        <f aca="false">IF(A8="","",IFERROR(SUMIFS('Option Analysis'!$O$6:$O$85,'Option Analysis'!$C$6:$C$85,$A8)/(SUMIFS('Option Analysis'!$E$6:$E$85,'Option Analysis'!$C$6:$C$85,$A8)-SUMIFS('Option Analysis'!$F$6:$F$85,'Option Analysis'!$C$6:$C$85,$A8)),0))</f>
        <v>0.554179566563468</v>
      </c>
      <c r="F8" s="13" t="n">
        <f aca="false">IF(A8="","",IFERROR(SUMPRODUCT(('Option Analysis'!$C$6:$C$85=$A8)*('Option Analysis'!$M$6:$M$85&gt;0)*'Option Analysis'!$M$6:$M$85*'Option Analysis'!$Y$6:$Y$85)/SUMPRODUCT(('Option Analysis'!$C$6:$C$85=$A8)*('Option Analysis'!$M$6:$M$85&gt;0)*'Option Analysis'!$M$6:$M$85),0))</f>
        <v>0.887745974955277</v>
      </c>
      <c r="G8" s="9" t="n">
        <f aca="false">IF(A8="","",COUNTIFS('Option Analysis'!$C$6:$C$85,$A8,'Option Analysis'!$W$6:$W$85,"Y"))</f>
        <v>2</v>
      </c>
      <c r="H8" s="9" t="n">
        <f aca="false">IF(A8="","",COUNTIFS('Option Analysis'!$C$6:$C$85,$A8,'Option Analysis'!$X$6:$X$85,"Y"))</f>
        <v>1</v>
      </c>
      <c r="I8" s="14" t="n">
        <f aca="false">IF(A8="","",SUMIFS('Option Analysis'!$AG$6:$AG$85,'Option Analysis'!$C$6:$C$85,$A8))</f>
        <v>92311.5</v>
      </c>
      <c r="J8" s="14" t="n">
        <f aca="false">IF(A8="","",SUMIFS('Option Analysis'!$AI$6:$AI$85,'Option Analysis'!$C$6:$C$85,$A8))</f>
        <v>79496.16</v>
      </c>
      <c r="K8" s="14" t="n">
        <f aca="false">IF(A8="","",SUMIFS('Option Analysis'!$AK$6:$AK$85,'Option Analysis'!$C$6:$C$85,$A8))</f>
        <v>1620.5</v>
      </c>
    </row>
    <row r="9" customFormat="false" ht="15" hidden="false" customHeight="false" outlineLevel="0" collapsed="false">
      <c r="A9" s="16" t="s">
        <v>286</v>
      </c>
      <c r="B9" s="12" t="n">
        <f aca="false">IF(A9="","",SUMIFS('Option Analysis'!$G$6:$G$85,'Option Analysis'!$C$6:$C$85,$A9))</f>
        <v>2589</v>
      </c>
      <c r="C9" s="25" t="n">
        <f aca="false">IF(A9="","",SUMIFS('Option Analysis'!$N$6:$N$85,'Option Analysis'!$C$6:$C$85,$A9))</f>
        <v>198.63</v>
      </c>
      <c r="D9" s="26" t="n">
        <f aca="false">IF(A9="","",IF(C9&lt;=0,0,B9/C9))</f>
        <v>13.0342848512309</v>
      </c>
      <c r="E9" s="13" t="n">
        <f aca="false">IF(A9="","",IFERROR(SUMIFS('Option Analysis'!$O$6:$O$85,'Option Analysis'!$C$6:$C$85,$A9)/(SUMIFS('Option Analysis'!$E$6:$E$85,'Option Analysis'!$C$6:$C$85,$A9)-SUMIFS('Option Analysis'!$F$6:$F$85,'Option Analysis'!$C$6:$C$85,$A9)),0))</f>
        <v>0.676984523215177</v>
      </c>
      <c r="F9" s="13" t="n">
        <f aca="false">IF(A9="","",IFERROR(SUMPRODUCT(('Option Analysis'!$C$6:$C$85=$A9)*('Option Analysis'!$M$6:$M$85&gt;0)*'Option Analysis'!$M$6:$M$85*'Option Analysis'!$Y$6:$Y$85)/SUMPRODUCT(('Option Analysis'!$C$6:$C$85=$A9)*('Option Analysis'!$M$6:$M$85&gt;0)*'Option Analysis'!$M$6:$M$85),0))</f>
        <v>0.919800634345265</v>
      </c>
      <c r="G9" s="9" t="n">
        <f aca="false">IF(A9="","",COUNTIFS('Option Analysis'!$C$6:$C$85,$A9,'Option Analysis'!$W$6:$W$85,"Y"))</f>
        <v>3</v>
      </c>
      <c r="H9" s="9" t="n">
        <f aca="false">IF(A9="","",COUNTIFS('Option Analysis'!$C$6:$C$85,$A9,'Option Analysis'!$X$6:$X$85,"Y"))</f>
        <v>0</v>
      </c>
      <c r="I9" s="14" t="n">
        <f aca="false">IF(A9="","",SUMIFS('Option Analysis'!$AG$6:$AG$85,'Option Analysis'!$C$6:$C$85,$A9))</f>
        <v>66431.6</v>
      </c>
      <c r="J9" s="14" t="n">
        <f aca="false">IF(A9="","",SUMIFS('Option Analysis'!$AI$6:$AI$85,'Option Analysis'!$C$6:$C$85,$A9))</f>
        <v>50270.64</v>
      </c>
      <c r="K9" s="14" t="n">
        <f aca="false">IF(A9="","",SUMIFS('Option Analysis'!$AK$6:$AK$85,'Option Analysis'!$C$6:$C$85,$A9))</f>
        <v>1908.24242424242</v>
      </c>
    </row>
    <row r="10" customFormat="false" ht="15" hidden="false" customHeight="false" outlineLevel="0" collapsed="false">
      <c r="A10" s="16"/>
      <c r="B10" s="12" t="str">
        <f aca="false">IF(A10="","",SUMIFS('Option Analysis'!$G$6:$G$85,'Option Analysis'!$C$6:$C$85,$A10))</f>
        <v/>
      </c>
      <c r="C10" s="25" t="str">
        <f aca="false">IF(A10="","",SUMIFS('Option Analysis'!$N$6:$N$85,'Option Analysis'!$C$6:$C$85,$A10))</f>
        <v/>
      </c>
      <c r="D10" s="26" t="str">
        <f aca="false">IF(A10="","",IF(C10&lt;=0,0,B10/C10))</f>
        <v/>
      </c>
      <c r="E10" s="13" t="str">
        <f aca="false">IF(A10="","",IFERROR(SUMIFS('Option Analysis'!$O$6:$O$85,'Option Analysis'!$C$6:$C$85,$A10)/(SUMIFS('Option Analysis'!$E$6:$E$85,'Option Analysis'!$C$6:$C$85,$A10)-SUMIFS('Option Analysis'!$F$6:$F$85,'Option Analysis'!$C$6:$C$85,$A10)),0))</f>
        <v/>
      </c>
      <c r="F10" s="13" t="str">
        <f aca="false">IF(A10="","",IFERROR(SUMPRODUCT(('Option Analysis'!$C$6:$C$85=$A10)*('Option Analysis'!$M$6:$M$85&gt;0)*'Option Analysis'!$M$6:$M$85*'Option Analysis'!$Y$6:$Y$85)/SUMPRODUCT(('Option Analysis'!$C$6:$C$85=$A10)*('Option Analysis'!$M$6:$M$85&gt;0)*'Option Analysis'!$M$6:$M$85),0))</f>
        <v/>
      </c>
      <c r="G10" s="9" t="str">
        <f aca="false">IF(A10="","",COUNTIFS('Option Analysis'!$C$6:$C$85,$A10,'Option Analysis'!$W$6:$W$85,"Y"))</f>
        <v/>
      </c>
      <c r="H10" s="9" t="str">
        <f aca="false">IF(A10="","",COUNTIFS('Option Analysis'!$C$6:$C$85,$A10,'Option Analysis'!$X$6:$X$85,"Y"))</f>
        <v/>
      </c>
      <c r="I10" s="14" t="str">
        <f aca="false">IF(A10="","",SUMIFS('Option Analysis'!$AG$6:$AG$85,'Option Analysis'!$C$6:$C$85,$A10))</f>
        <v/>
      </c>
      <c r="J10" s="14" t="str">
        <f aca="false">IF(A10="","",SUMIFS('Option Analysis'!$AI$6:$AI$85,'Option Analysis'!$C$6:$C$85,$A10))</f>
        <v/>
      </c>
      <c r="K10" s="14" t="str">
        <f aca="false">IF(A10="","",SUMIFS('Option Analysis'!$AK$6:$AK$85,'Option Analysis'!$C$6:$C$85,$A10))</f>
        <v/>
      </c>
    </row>
    <row r="11" customFormat="false" ht="15" hidden="false" customHeight="false" outlineLevel="0" collapsed="false">
      <c r="A11" s="16"/>
      <c r="B11" s="12" t="str">
        <f aca="false">IF(A11="","",SUMIFS('Option Analysis'!$G$6:$G$85,'Option Analysis'!$C$6:$C$85,$A11))</f>
        <v/>
      </c>
      <c r="C11" s="25" t="str">
        <f aca="false">IF(A11="","",SUMIFS('Option Analysis'!$N$6:$N$85,'Option Analysis'!$C$6:$C$85,$A11))</f>
        <v/>
      </c>
      <c r="D11" s="26" t="str">
        <f aca="false">IF(A11="","",IF(C11&lt;=0,0,B11/C11))</f>
        <v/>
      </c>
      <c r="E11" s="13" t="str">
        <f aca="false">IF(A11="","",IFERROR(SUMIFS('Option Analysis'!$O$6:$O$85,'Option Analysis'!$C$6:$C$85,$A11)/(SUMIFS('Option Analysis'!$E$6:$E$85,'Option Analysis'!$C$6:$C$85,$A11)-SUMIFS('Option Analysis'!$F$6:$F$85,'Option Analysis'!$C$6:$C$85,$A11)),0))</f>
        <v/>
      </c>
      <c r="F11" s="13" t="str">
        <f aca="false">IF(A11="","",IFERROR(SUMPRODUCT(('Option Analysis'!$C$6:$C$85=$A11)*('Option Analysis'!$M$6:$M$85&gt;0)*'Option Analysis'!$M$6:$M$85*'Option Analysis'!$Y$6:$Y$85)/SUMPRODUCT(('Option Analysis'!$C$6:$C$85=$A11)*('Option Analysis'!$M$6:$M$85&gt;0)*'Option Analysis'!$M$6:$M$85),0))</f>
        <v/>
      </c>
      <c r="G11" s="9" t="str">
        <f aca="false">IF(A11="","",COUNTIFS('Option Analysis'!$C$6:$C$85,$A11,'Option Analysis'!$W$6:$W$85,"Y"))</f>
        <v/>
      </c>
      <c r="H11" s="9" t="str">
        <f aca="false">IF(A11="","",COUNTIFS('Option Analysis'!$C$6:$C$85,$A11,'Option Analysis'!$X$6:$X$85,"Y"))</f>
        <v/>
      </c>
      <c r="I11" s="14" t="str">
        <f aca="false">IF(A11="","",SUMIFS('Option Analysis'!$AG$6:$AG$85,'Option Analysis'!$C$6:$C$85,$A11))</f>
        <v/>
      </c>
      <c r="J11" s="14" t="str">
        <f aca="false">IF(A11="","",SUMIFS('Option Analysis'!$AI$6:$AI$85,'Option Analysis'!$C$6:$C$85,$A11))</f>
        <v/>
      </c>
      <c r="K11" s="14" t="str">
        <f aca="false">IF(A11="","",SUMIFS('Option Analysis'!$AK$6:$AK$85,'Option Analysis'!$C$6:$C$85,$A11))</f>
        <v/>
      </c>
    </row>
    <row r="12" customFormat="false" ht="15" hidden="false" customHeight="false" outlineLevel="0" collapsed="false">
      <c r="A12" s="16"/>
      <c r="B12" s="12" t="str">
        <f aca="false">IF(A12="","",SUMIFS('Option Analysis'!$G$6:$G$85,'Option Analysis'!$C$6:$C$85,$A12))</f>
        <v/>
      </c>
      <c r="C12" s="25" t="str">
        <f aca="false">IF(A12="","",SUMIFS('Option Analysis'!$N$6:$N$85,'Option Analysis'!$C$6:$C$85,$A12))</f>
        <v/>
      </c>
      <c r="D12" s="26" t="str">
        <f aca="false">IF(A12="","",IF(C12&lt;=0,0,B12/C12))</f>
        <v/>
      </c>
      <c r="E12" s="13" t="str">
        <f aca="false">IF(A12="","",IFERROR(SUMIFS('Option Analysis'!$O$6:$O$85,'Option Analysis'!$C$6:$C$85,$A12)/(SUMIFS('Option Analysis'!$E$6:$E$85,'Option Analysis'!$C$6:$C$85,$A12)-SUMIFS('Option Analysis'!$F$6:$F$85,'Option Analysis'!$C$6:$C$85,$A12)),0))</f>
        <v/>
      </c>
      <c r="F12" s="13" t="str">
        <f aca="false">IF(A12="","",IFERROR(SUMPRODUCT(('Option Analysis'!$C$6:$C$85=$A12)*('Option Analysis'!$M$6:$M$85&gt;0)*'Option Analysis'!$M$6:$M$85*'Option Analysis'!$Y$6:$Y$85)/SUMPRODUCT(('Option Analysis'!$C$6:$C$85=$A12)*('Option Analysis'!$M$6:$M$85&gt;0)*'Option Analysis'!$M$6:$M$85),0))</f>
        <v/>
      </c>
      <c r="G12" s="9" t="str">
        <f aca="false">IF(A12="","",COUNTIFS('Option Analysis'!$C$6:$C$85,$A12,'Option Analysis'!$W$6:$W$85,"Y"))</f>
        <v/>
      </c>
      <c r="H12" s="9" t="str">
        <f aca="false">IF(A12="","",COUNTIFS('Option Analysis'!$C$6:$C$85,$A12,'Option Analysis'!$X$6:$X$85,"Y"))</f>
        <v/>
      </c>
      <c r="I12" s="14" t="str">
        <f aca="false">IF(A12="","",SUMIFS('Option Analysis'!$AG$6:$AG$85,'Option Analysis'!$C$6:$C$85,$A12))</f>
        <v/>
      </c>
      <c r="J12" s="14" t="str">
        <f aca="false">IF(A12="","",SUMIFS('Option Analysis'!$AI$6:$AI$85,'Option Analysis'!$C$6:$C$85,$A12))</f>
        <v/>
      </c>
      <c r="K12" s="14" t="str">
        <f aca="false">IF(A12="","",SUMIFS('Option Analysis'!$AK$6:$AK$85,'Option Analysis'!$C$6:$C$85,$A12))</f>
        <v/>
      </c>
    </row>
    <row r="13" customFormat="false" ht="15" hidden="false" customHeight="false" outlineLevel="0" collapsed="false">
      <c r="A13" s="16"/>
      <c r="B13" s="12" t="str">
        <f aca="false">IF(A13="","",SUMIFS('Option Analysis'!$G$6:$G$85,'Option Analysis'!$C$6:$C$85,$A13))</f>
        <v/>
      </c>
      <c r="C13" s="25" t="str">
        <f aca="false">IF(A13="","",SUMIFS('Option Analysis'!$N$6:$N$85,'Option Analysis'!$C$6:$C$85,$A13))</f>
        <v/>
      </c>
      <c r="D13" s="26" t="str">
        <f aca="false">IF(A13="","",IF(C13&lt;=0,0,B13/C13))</f>
        <v/>
      </c>
      <c r="E13" s="13" t="str">
        <f aca="false">IF(A13="","",IFERROR(SUMIFS('Option Analysis'!$O$6:$O$85,'Option Analysis'!$C$6:$C$85,$A13)/(SUMIFS('Option Analysis'!$E$6:$E$85,'Option Analysis'!$C$6:$C$85,$A13)-SUMIFS('Option Analysis'!$F$6:$F$85,'Option Analysis'!$C$6:$C$85,$A13)),0))</f>
        <v/>
      </c>
      <c r="F13" s="13" t="str">
        <f aca="false">IF(A13="","",IFERROR(SUMPRODUCT(('Option Analysis'!$C$6:$C$85=$A13)*('Option Analysis'!$M$6:$M$85&gt;0)*'Option Analysis'!$M$6:$M$85*'Option Analysis'!$Y$6:$Y$85)/SUMPRODUCT(('Option Analysis'!$C$6:$C$85=$A13)*('Option Analysis'!$M$6:$M$85&gt;0)*'Option Analysis'!$M$6:$M$85),0))</f>
        <v/>
      </c>
      <c r="G13" s="9" t="str">
        <f aca="false">IF(A13="","",COUNTIFS('Option Analysis'!$C$6:$C$85,$A13,'Option Analysis'!$W$6:$W$85,"Y"))</f>
        <v/>
      </c>
      <c r="H13" s="9" t="str">
        <f aca="false">IF(A13="","",COUNTIFS('Option Analysis'!$C$6:$C$85,$A13,'Option Analysis'!$X$6:$X$85,"Y"))</f>
        <v/>
      </c>
      <c r="I13" s="14" t="str">
        <f aca="false">IF(A13="","",SUMIFS('Option Analysis'!$AG$6:$AG$85,'Option Analysis'!$C$6:$C$85,$A13))</f>
        <v/>
      </c>
      <c r="J13" s="14" t="str">
        <f aca="false">IF(A13="","",SUMIFS('Option Analysis'!$AI$6:$AI$85,'Option Analysis'!$C$6:$C$85,$A13))</f>
        <v/>
      </c>
      <c r="K13" s="14" t="str">
        <f aca="false">IF(A13="","",SUMIFS('Option Analysis'!$AK$6:$AK$85,'Option Analysis'!$C$6:$C$85,$A13))</f>
        <v/>
      </c>
    </row>
    <row r="15" customFormat="false" ht="15" hidden="false" customHeight="false" outlineLevel="0" collapsed="false">
      <c r="A15" s="10" t="s">
        <v>764</v>
      </c>
      <c r="B15" s="10"/>
      <c r="C15" s="10"/>
      <c r="D15" s="10"/>
      <c r="E15" s="10"/>
      <c r="F15" s="10"/>
      <c r="G15" s="10"/>
      <c r="H15" s="10"/>
      <c r="I15" s="10"/>
      <c r="J15" s="10"/>
      <c r="K15" s="10"/>
    </row>
    <row r="16" customFormat="false" ht="36" hidden="false" customHeight="true" outlineLevel="0" collapsed="false">
      <c r="A16" s="15" t="s">
        <v>758</v>
      </c>
      <c r="B16" s="15" t="s">
        <v>759</v>
      </c>
      <c r="C16" s="15" t="s">
        <v>714</v>
      </c>
      <c r="D16" s="15" t="s">
        <v>718</v>
      </c>
      <c r="E16" s="15" t="s">
        <v>717</v>
      </c>
      <c r="F16" s="15" t="s">
        <v>760</v>
      </c>
      <c r="G16" s="15" t="s">
        <v>761</v>
      </c>
      <c r="H16" s="15" t="s">
        <v>762</v>
      </c>
      <c r="I16" s="15" t="s">
        <v>328</v>
      </c>
      <c r="J16" s="15" t="s">
        <v>731</v>
      </c>
      <c r="K16" s="15" t="s">
        <v>763</v>
      </c>
    </row>
    <row r="17" customFormat="false" ht="15" hidden="false" customHeight="false" outlineLevel="0" collapsed="false">
      <c r="A17" s="16" t="s">
        <v>178</v>
      </c>
      <c r="B17" s="12" t="n">
        <f aca="false">IF(A17="","",SUMIFS('Option Analysis'!$G$6:$G$85,'Option Analysis'!$AO$6:$AO$85,$A17))</f>
        <v>1783</v>
      </c>
      <c r="C17" s="25" t="n">
        <f aca="false">IF(A17="","",SUMIFS('Option Analysis'!$N$6:$N$85,'Option Analysis'!$AO$6:$AO$85,$A17))</f>
        <v>137.88</v>
      </c>
      <c r="D17" s="26" t="n">
        <f aca="false">IF(A17="","",IF(C17&lt;=0,0,B17/C17))</f>
        <v>12.9315346678271</v>
      </c>
      <c r="E17" s="13" t="n">
        <f aca="false">IF(A17="","",IFERROR(SUMIFS('Option Analysis'!$O$6:$O$85,'Option Analysis'!$AO$6:$AO$85,$A17)/(SUMIFS('Option Analysis'!$E$6:$E$85,'Option Analysis'!$AO$6:$AO$85,$A17)-SUMIFS('Option Analysis'!$F$6:$F$85,'Option Analysis'!$AO$6:$AO$85,$A17)),0))</f>
        <v>0.602258240757603</v>
      </c>
      <c r="F17" s="13" t="n">
        <f aca="false">IF(A17="","",IFERROR(SUMPRODUCT(('Option Analysis'!$AO$6:$AO$85=$A17)*('Option Analysis'!$M$6:$M$85&gt;0)*'Option Analysis'!$M$6:$M$85*'Option Analysis'!$Y$6:$Y$85)/SUMPRODUCT(('Option Analysis'!$AO$6:$AO$85=$A17)*('Option Analysis'!$M$6:$M$85&gt;0)*'Option Analysis'!$M$6:$M$85),0))</f>
        <v>1</v>
      </c>
      <c r="G17" s="9" t="n">
        <f aca="false">IF(A17="","",COUNTIFS('Option Analysis'!$AO$6:$AO$85,$A17,'Option Analysis'!$W$6:$W$85,"Y"))</f>
        <v>0</v>
      </c>
      <c r="H17" s="9" t="n">
        <f aca="false">IF(A17="","",COUNTIFS('Option Analysis'!$AO$6:$AO$85,$A17,'Option Analysis'!$X$6:$X$85,"Y"))</f>
        <v>0</v>
      </c>
      <c r="I17" s="14" t="n">
        <f aca="false">IF(A17="","",SUMIFS('Option Analysis'!$AG$6:$AG$85,'Option Analysis'!$AO$6:$AO$85,$A17))</f>
        <v>133478.8</v>
      </c>
      <c r="J17" s="14" t="n">
        <f aca="false">IF(A17="","",SUMIFS('Option Analysis'!$AI$6:$AI$85,'Option Analysis'!$AO$6:$AO$85,$A17))</f>
        <v>119963.52</v>
      </c>
      <c r="K17" s="14" t="n">
        <f aca="false">IF(A17="","",SUMIFS('Option Analysis'!$AK$6:$AK$85,'Option Analysis'!$AO$6:$AO$85,$A17))</f>
        <v>0</v>
      </c>
    </row>
    <row r="18" customFormat="false" ht="15" hidden="false" customHeight="false" outlineLevel="0" collapsed="false">
      <c r="A18" s="16" t="s">
        <v>188</v>
      </c>
      <c r="B18" s="12" t="n">
        <f aca="false">IF(A18="","",SUMIFS('Option Analysis'!$G$6:$G$85,'Option Analysis'!$AO$6:$AO$85,$A18))</f>
        <v>2015</v>
      </c>
      <c r="C18" s="25" t="n">
        <f aca="false">IF(A18="","",SUMIFS('Option Analysis'!$N$6:$N$85,'Option Analysis'!$AO$6:$AO$85,$A18))</f>
        <v>85.77</v>
      </c>
      <c r="D18" s="26" t="n">
        <f aca="false">IF(A18="","",IF(C18&lt;=0,0,B18/C18))</f>
        <v>23.4930628424857</v>
      </c>
      <c r="E18" s="13" t="n">
        <f aca="false">IF(A18="","",IFERROR(SUMIFS('Option Analysis'!$O$6:$O$85,'Option Analysis'!$AO$6:$AO$85,$A18)/(SUMIFS('Option Analysis'!$E$6:$E$85,'Option Analysis'!$AO$6:$AO$85,$A18)-SUMIFS('Option Analysis'!$F$6:$F$85,'Option Analysis'!$AO$6:$AO$85,$A18)),0))</f>
        <v>0.508563040287066</v>
      </c>
      <c r="F18" s="13" t="n">
        <f aca="false">IF(A18="","",IFERROR(SUMPRODUCT(('Option Analysis'!$AO$6:$AO$85=$A18)*('Option Analysis'!$M$6:$M$85&gt;0)*'Option Analysis'!$M$6:$M$85*'Option Analysis'!$Y$6:$Y$85)/SUMPRODUCT(('Option Analysis'!$AO$6:$AO$85=$A18)*('Option Analysis'!$M$6:$M$85&gt;0)*'Option Analysis'!$M$6:$M$85),0))</f>
        <v>0.932843651626443</v>
      </c>
      <c r="G18" s="9" t="n">
        <f aca="false">IF(A18="","",COUNTIFS('Option Analysis'!$AO$6:$AO$85,$A18,'Option Analysis'!$W$6:$W$85,"Y"))</f>
        <v>1</v>
      </c>
      <c r="H18" s="9" t="n">
        <f aca="false">IF(A18="","",COUNTIFS('Option Analysis'!$AO$6:$AO$85,$A18,'Option Analysis'!$X$6:$X$85,"Y"))</f>
        <v>1</v>
      </c>
      <c r="I18" s="14" t="n">
        <f aca="false">IF(A18="","",SUMIFS('Option Analysis'!$AG$6:$AG$85,'Option Analysis'!$AO$6:$AO$85,$A18))</f>
        <v>137826</v>
      </c>
      <c r="J18" s="14" t="n">
        <f aca="false">IF(A18="","",SUMIFS('Option Analysis'!$AI$6:$AI$85,'Option Analysis'!$AO$6:$AO$85,$A18))</f>
        <v>121916.16</v>
      </c>
      <c r="K18" s="14" t="n">
        <f aca="false">IF(A18="","",SUMIFS('Option Analysis'!$AK$6:$AK$85,'Option Analysis'!$AO$6:$AO$85,$A18))</f>
        <v>5670</v>
      </c>
    </row>
    <row r="19" customFormat="false" ht="15" hidden="false" customHeight="false" outlineLevel="0" collapsed="false">
      <c r="A19" s="16" t="s">
        <v>231</v>
      </c>
      <c r="B19" s="12" t="n">
        <f aca="false">IF(A19="","",SUMIFS('Option Analysis'!$G$6:$G$85,'Option Analysis'!$AO$6:$AO$85,$A19))</f>
        <v>1229</v>
      </c>
      <c r="C19" s="25" t="n">
        <f aca="false">IF(A19="","",SUMIFS('Option Analysis'!$N$6:$N$85,'Option Analysis'!$AO$6:$AO$85,$A19))</f>
        <v>145.62</v>
      </c>
      <c r="D19" s="26" t="n">
        <f aca="false">IF(A19="","",IF(C19&lt;=0,0,B19/C19))</f>
        <v>8.43977475621481</v>
      </c>
      <c r="E19" s="13" t="n">
        <f aca="false">IF(A19="","",IFERROR(SUMIFS('Option Analysis'!$O$6:$O$85,'Option Analysis'!$AO$6:$AO$85,$A19)/(SUMIFS('Option Analysis'!$E$6:$E$85,'Option Analysis'!$AO$6:$AO$85,$A19)-SUMIFS('Option Analysis'!$F$6:$F$85,'Option Analysis'!$AO$6:$AO$85,$A19)),0))</f>
        <v>0.736266094420601</v>
      </c>
      <c r="F19" s="13" t="n">
        <f aca="false">IF(A19="","",IFERROR(SUMPRODUCT(('Option Analysis'!$AO$6:$AO$85=$A19)*('Option Analysis'!$M$6:$M$85&gt;0)*'Option Analysis'!$M$6:$M$85*'Option Analysis'!$Y$6:$Y$85)/SUMPRODUCT(('Option Analysis'!$AO$6:$AO$85=$A19)*('Option Analysis'!$M$6:$M$85&gt;0)*'Option Analysis'!$M$6:$M$85),0))</f>
        <v>0.96044499381953</v>
      </c>
      <c r="G19" s="9" t="n">
        <f aca="false">IF(A19="","",COUNTIFS('Option Analysis'!$AO$6:$AO$85,$A19,'Option Analysis'!$W$6:$W$85,"Y"))</f>
        <v>1</v>
      </c>
      <c r="H19" s="9" t="n">
        <f aca="false">IF(A19="","",COUNTIFS('Option Analysis'!$AO$6:$AO$85,$A19,'Option Analysis'!$X$6:$X$85,"Y"))</f>
        <v>0</v>
      </c>
      <c r="I19" s="14" t="n">
        <f aca="false">IF(A19="","",SUMIFS('Option Analysis'!$AG$6:$AG$85,'Option Analysis'!$AO$6:$AO$85,$A19))</f>
        <v>38374.3</v>
      </c>
      <c r="J19" s="14" t="n">
        <f aca="false">IF(A19="","",SUMIFS('Option Analysis'!$AI$6:$AI$85,'Option Analysis'!$AO$6:$AO$85,$A19))</f>
        <v>27704.72</v>
      </c>
      <c r="K19" s="14" t="n">
        <f aca="false">IF(A19="","",SUMIFS('Option Analysis'!$AK$6:$AK$85,'Option Analysis'!$AO$6:$AO$85,$A19))</f>
        <v>2227</v>
      </c>
    </row>
    <row r="20" customFormat="false" ht="15" hidden="false" customHeight="false" outlineLevel="0" collapsed="false">
      <c r="A20" s="16" t="s">
        <v>236</v>
      </c>
      <c r="B20" s="12" t="n">
        <f aca="false">IF(A20="","",SUMIFS('Option Analysis'!$G$6:$G$85,'Option Analysis'!$AO$6:$AO$85,$A20))</f>
        <v>2466</v>
      </c>
      <c r="C20" s="25" t="n">
        <f aca="false">IF(A20="","",SUMIFS('Option Analysis'!$N$6:$N$85,'Option Analysis'!$AO$6:$AO$85,$A20))</f>
        <v>83.79</v>
      </c>
      <c r="D20" s="26" t="n">
        <f aca="false">IF(A20="","",IF(C20&lt;=0,0,B20/C20))</f>
        <v>29.4307196562836</v>
      </c>
      <c r="E20" s="13" t="n">
        <f aca="false">IF(A20="","",IFERROR(SUMIFS('Option Analysis'!$O$6:$O$85,'Option Analysis'!$AO$6:$AO$85,$A20)/(SUMIFS('Option Analysis'!$E$6:$E$85,'Option Analysis'!$AO$6:$AO$85,$A20)-SUMIFS('Option Analysis'!$F$6:$F$85,'Option Analysis'!$AO$6:$AO$85,$A20)),0))</f>
        <v>0.49908592321755</v>
      </c>
      <c r="F20" s="13" t="n">
        <f aca="false">IF(A20="","",IFERROR(SUMPRODUCT(('Option Analysis'!$AO$6:$AO$85=$A20)*('Option Analysis'!$M$6:$M$85&gt;0)*'Option Analysis'!$M$6:$M$85*'Option Analysis'!$Y$6:$Y$85)/SUMPRODUCT(('Option Analysis'!$AO$6:$AO$85=$A20)*('Option Analysis'!$M$6:$M$85&gt;0)*'Option Analysis'!$M$6:$M$85),0))</f>
        <v>0.952738990332975</v>
      </c>
      <c r="G20" s="9" t="n">
        <f aca="false">IF(A20="","",COUNTIFS('Option Analysis'!$AO$6:$AO$85,$A20,'Option Analysis'!$W$6:$W$85,"Y"))</f>
        <v>0</v>
      </c>
      <c r="H20" s="9" t="n">
        <f aca="false">IF(A20="","",COUNTIFS('Option Analysis'!$AO$6:$AO$85,$A20,'Option Analysis'!$X$6:$X$85,"Y"))</f>
        <v>1</v>
      </c>
      <c r="I20" s="14" t="n">
        <f aca="false">IF(A20="","",SUMIFS('Option Analysis'!$AG$6:$AG$85,'Option Analysis'!$AO$6:$AO$85,$A20))</f>
        <v>75513.6</v>
      </c>
      <c r="J20" s="14" t="n">
        <f aca="false">IF(A20="","",SUMIFS('Option Analysis'!$AI$6:$AI$85,'Option Analysis'!$AO$6:$AO$85,$A20))</f>
        <v>65680</v>
      </c>
      <c r="K20" s="14" t="n">
        <f aca="false">IF(A20="","",SUMIFS('Option Analysis'!$AK$6:$AK$85,'Option Analysis'!$AO$6:$AO$85,$A20))</f>
        <v>0</v>
      </c>
    </row>
    <row r="21" customFormat="false" ht="15" hidden="false" customHeight="false" outlineLevel="0" collapsed="false">
      <c r="A21" s="16" t="s">
        <v>260</v>
      </c>
      <c r="B21" s="12" t="n">
        <f aca="false">IF(A21="","",SUMIFS('Option Analysis'!$G$6:$G$85,'Option Analysis'!$AO$6:$AO$85,$A21))</f>
        <v>1217</v>
      </c>
      <c r="C21" s="25" t="n">
        <f aca="false">IF(A21="","",SUMIFS('Option Analysis'!$N$6:$N$85,'Option Analysis'!$AO$6:$AO$85,$A21))</f>
        <v>100.8</v>
      </c>
      <c r="D21" s="26" t="n">
        <f aca="false">IF(A21="","",IF(C21&lt;=0,0,B21/C21))</f>
        <v>12.0734126984127</v>
      </c>
      <c r="E21" s="13" t="n">
        <f aca="false">IF(A21="","",IFERROR(SUMIFS('Option Analysis'!$O$6:$O$85,'Option Analysis'!$AO$6:$AO$85,$A21)/(SUMIFS('Option Analysis'!$E$6:$E$85,'Option Analysis'!$AO$6:$AO$85,$A21)-SUMIFS('Option Analysis'!$F$6:$F$85,'Option Analysis'!$AO$6:$AO$85,$A21)),0))</f>
        <v>0.688746803069054</v>
      </c>
      <c r="F21" s="13" t="n">
        <f aca="false">IF(A21="","",IFERROR(SUMPRODUCT(('Option Analysis'!$AO$6:$AO$85=$A21)*('Option Analysis'!$M$6:$M$85&gt;0)*'Option Analysis'!$M$6:$M$85*'Option Analysis'!$Y$6:$Y$85)/SUMPRODUCT(('Option Analysis'!$AO$6:$AO$85=$A21)*('Option Analysis'!$M$6:$M$85&gt;0)*'Option Analysis'!$M$6:$M$85),0))</f>
        <v>0.775892857142857</v>
      </c>
      <c r="G21" s="9" t="n">
        <f aca="false">IF(A21="","",COUNTIFS('Option Analysis'!$AO$6:$AO$85,$A21,'Option Analysis'!$W$6:$W$85,"Y"))</f>
        <v>2</v>
      </c>
      <c r="H21" s="9" t="n">
        <f aca="false">IF(A21="","",COUNTIFS('Option Analysis'!$AO$6:$AO$85,$A21,'Option Analysis'!$X$6:$X$85,"Y"))</f>
        <v>1</v>
      </c>
      <c r="I21" s="14" t="n">
        <f aca="false">IF(A21="","",SUMIFS('Option Analysis'!$AG$6:$AG$85,'Option Analysis'!$AO$6:$AO$85,$A21))</f>
        <v>27116.8</v>
      </c>
      <c r="J21" s="14" t="n">
        <f aca="false">IF(A21="","",SUMIFS('Option Analysis'!$AI$6:$AI$85,'Option Analysis'!$AO$6:$AO$85,$A21))</f>
        <v>21780</v>
      </c>
      <c r="K21" s="14" t="n">
        <f aca="false">IF(A21="","",SUMIFS('Option Analysis'!$AK$6:$AK$85,'Option Analysis'!$AO$6:$AO$85,$A21))</f>
        <v>1620.5</v>
      </c>
    </row>
    <row r="22" customFormat="false" ht="15" hidden="false" customHeight="false" outlineLevel="0" collapsed="false">
      <c r="A22" s="16" t="s">
        <v>264</v>
      </c>
      <c r="B22" s="12" t="n">
        <f aca="false">IF(A22="","",SUMIFS('Option Analysis'!$G$6:$G$85,'Option Analysis'!$AO$6:$AO$85,$A22))</f>
        <v>2959</v>
      </c>
      <c r="C22" s="25" t="n">
        <f aca="false">IF(A22="","",SUMIFS('Option Analysis'!$N$6:$N$85,'Option Analysis'!$AO$6:$AO$85,$A22))</f>
        <v>100.44</v>
      </c>
      <c r="D22" s="26" t="n">
        <f aca="false">IF(A22="","",IF(C22&lt;=0,0,B22/C22))</f>
        <v>29.4603743528475</v>
      </c>
      <c r="E22" s="13" t="n">
        <f aca="false">IF(A22="","",IFERROR(SUMIFS('Option Analysis'!$O$6:$O$85,'Option Analysis'!$AO$6:$AO$85,$A22)/(SUMIFS('Option Analysis'!$E$6:$E$85,'Option Analysis'!$AO$6:$AO$85,$A22)-SUMIFS('Option Analysis'!$F$6:$F$85,'Option Analysis'!$AO$6:$AO$85,$A22)),0))</f>
        <v>0.457760674363203</v>
      </c>
      <c r="F22" s="13" t="n">
        <f aca="false">IF(A22="","",IFERROR(SUMPRODUCT(('Option Analysis'!$AO$6:$AO$85=$A22)*('Option Analysis'!$M$6:$M$85&gt;0)*'Option Analysis'!$M$6:$M$85*'Option Analysis'!$Y$6:$Y$85)/SUMPRODUCT(('Option Analysis'!$AO$6:$AO$85=$A22)*('Option Analysis'!$M$6:$M$85&gt;0)*'Option Analysis'!$M$6:$M$85),0))</f>
        <v>1</v>
      </c>
      <c r="G22" s="9" t="n">
        <f aca="false">IF(A22="","",COUNTIFS('Option Analysis'!$AO$6:$AO$85,$A22,'Option Analysis'!$W$6:$W$85,"Y"))</f>
        <v>0</v>
      </c>
      <c r="H22" s="9" t="n">
        <f aca="false">IF(A22="","",COUNTIFS('Option Analysis'!$AO$6:$AO$85,$A22,'Option Analysis'!$X$6:$X$85,"Y"))</f>
        <v>0</v>
      </c>
      <c r="I22" s="14" t="n">
        <f aca="false">IF(A22="","",SUMIFS('Option Analysis'!$AG$6:$AG$85,'Option Analysis'!$AO$6:$AO$85,$A22))</f>
        <v>65194.7</v>
      </c>
      <c r="J22" s="14" t="n">
        <f aca="false">IF(A22="","",SUMIFS('Option Analysis'!$AI$6:$AI$85,'Option Analysis'!$AO$6:$AO$85,$A22))</f>
        <v>57716.16</v>
      </c>
      <c r="K22" s="14" t="n">
        <f aca="false">IF(A22="","",SUMIFS('Option Analysis'!$AK$6:$AK$85,'Option Analysis'!$AO$6:$AO$85,$A22))</f>
        <v>0</v>
      </c>
    </row>
    <row r="23" customFormat="false" ht="15" hidden="false" customHeight="false" outlineLevel="0" collapsed="false">
      <c r="A23" s="16" t="s">
        <v>285</v>
      </c>
      <c r="B23" s="12" t="n">
        <f aca="false">IF(A23="","",SUMIFS('Option Analysis'!$G$6:$G$85,'Option Analysis'!$AO$6:$AO$85,$A23))</f>
        <v>1620</v>
      </c>
      <c r="C23" s="25" t="n">
        <f aca="false">IF(A23="","",SUMIFS('Option Analysis'!$N$6:$N$85,'Option Analysis'!$AO$6:$AO$85,$A23))</f>
        <v>93.6</v>
      </c>
      <c r="D23" s="26" t="n">
        <f aca="false">IF(A23="","",IF(C23&lt;=0,0,B23/C23))</f>
        <v>17.3076923076923</v>
      </c>
      <c r="E23" s="13" t="n">
        <f aca="false">IF(A23="","",IFERROR(SUMIFS('Option Analysis'!$O$6:$O$85,'Option Analysis'!$AO$6:$AO$85,$A23)/(SUMIFS('Option Analysis'!$E$6:$E$85,'Option Analysis'!$AO$6:$AO$85,$A23)-SUMIFS('Option Analysis'!$F$6:$F$85,'Option Analysis'!$AO$6:$AO$85,$A23)),0))</f>
        <v>0.611377820451272</v>
      </c>
      <c r="F23" s="13" t="n">
        <f aca="false">IF(A23="","",IFERROR(SUMPRODUCT(('Option Analysis'!$AO$6:$AO$85=$A23)*('Option Analysis'!$M$6:$M$85&gt;0)*'Option Analysis'!$M$6:$M$85*'Option Analysis'!$Y$6:$Y$85)/SUMPRODUCT(('Option Analysis'!$AO$6:$AO$85=$A23)*('Option Analysis'!$M$6:$M$85&gt;0)*'Option Analysis'!$M$6:$M$85),0))</f>
        <v>0.95</v>
      </c>
      <c r="G23" s="9" t="n">
        <f aca="false">IF(A23="","",COUNTIFS('Option Analysis'!$AO$6:$AO$85,$A23,'Option Analysis'!$W$6:$W$85,"Y"))</f>
        <v>1</v>
      </c>
      <c r="H23" s="9" t="n">
        <f aca="false">IF(A23="","",COUNTIFS('Option Analysis'!$AO$6:$AO$85,$A23,'Option Analysis'!$X$6:$X$85,"Y"))</f>
        <v>0</v>
      </c>
      <c r="I23" s="14" t="n">
        <f aca="false">IF(A23="","",SUMIFS('Option Analysis'!$AG$6:$AG$85,'Option Analysis'!$AO$6:$AO$85,$A23))</f>
        <v>41915.9</v>
      </c>
      <c r="J23" s="14" t="n">
        <f aca="false">IF(A23="","",SUMIFS('Option Analysis'!$AI$6:$AI$85,'Option Analysis'!$AO$6:$AO$85,$A23))</f>
        <v>32051.6</v>
      </c>
      <c r="K23" s="14" t="n">
        <f aca="false">IF(A23="","",SUMIFS('Option Analysis'!$AK$6:$AK$85,'Option Analysis'!$AO$6:$AO$85,$A23))</f>
        <v>1331.90909090909</v>
      </c>
    </row>
    <row r="24" customFormat="false" ht="15" hidden="false" customHeight="false" outlineLevel="0" collapsed="false">
      <c r="A24" s="16" t="s">
        <v>290</v>
      </c>
      <c r="B24" s="12" t="n">
        <f aca="false">IF(A24="","",SUMIFS('Option Analysis'!$G$6:$G$85,'Option Analysis'!$AO$6:$AO$85,$A24))</f>
        <v>969</v>
      </c>
      <c r="C24" s="25" t="n">
        <f aca="false">IF(A24="","",SUMIFS('Option Analysis'!$N$6:$N$85,'Option Analysis'!$AO$6:$AO$85,$A24))</f>
        <v>105.03</v>
      </c>
      <c r="D24" s="26" t="n">
        <f aca="false">IF(A24="","",IF(C24&lt;=0,0,B24/C24))</f>
        <v>9.22593544701514</v>
      </c>
      <c r="E24" s="13" t="n">
        <f aca="false">IF(A24="","",IFERROR(SUMIFS('Option Analysis'!$O$6:$O$85,'Option Analysis'!$AO$6:$AO$85,$A24)/(SUMIFS('Option Analysis'!$E$6:$E$85,'Option Analysis'!$AO$6:$AO$85,$A24)-SUMIFS('Option Analysis'!$F$6:$F$85,'Option Analysis'!$AO$6:$AO$85,$A24)),0))</f>
        <v>0.74804992199688</v>
      </c>
      <c r="F24" s="13" t="n">
        <f aca="false">IF(A24="","",IFERROR(SUMPRODUCT(('Option Analysis'!$AO$6:$AO$85=$A24)*('Option Analysis'!$M$6:$M$85&gt;0)*'Option Analysis'!$M$6:$M$85*'Option Analysis'!$Y$6:$Y$85)/SUMPRODUCT(('Option Analysis'!$AO$6:$AO$85=$A24)*('Option Analysis'!$M$6:$M$85&gt;0)*'Option Analysis'!$M$6:$M$85),0))</f>
        <v>0.892887746358183</v>
      </c>
      <c r="G24" s="9" t="n">
        <f aca="false">IF(A24="","",COUNTIFS('Option Analysis'!$AO$6:$AO$85,$A24,'Option Analysis'!$W$6:$W$85,"Y"))</f>
        <v>2</v>
      </c>
      <c r="H24" s="9" t="n">
        <f aca="false">IF(A24="","",COUNTIFS('Option Analysis'!$AO$6:$AO$85,$A24,'Option Analysis'!$X$6:$X$85,"Y"))</f>
        <v>0</v>
      </c>
      <c r="I24" s="14" t="n">
        <f aca="false">IF(A24="","",SUMIFS('Option Analysis'!$AG$6:$AG$85,'Option Analysis'!$AO$6:$AO$85,$A24))</f>
        <v>24515.7</v>
      </c>
      <c r="J24" s="14" t="n">
        <f aca="false">IF(A24="","",SUMIFS('Option Analysis'!$AI$6:$AI$85,'Option Analysis'!$AO$6:$AO$85,$A24))</f>
        <v>18219.04</v>
      </c>
      <c r="K24" s="14" t="n">
        <f aca="false">IF(A24="","",SUMIFS('Option Analysis'!$AK$6:$AK$85,'Option Analysis'!$AO$6:$AO$85,$A24))</f>
        <v>576.333333333333</v>
      </c>
    </row>
    <row r="25" customFormat="false" ht="15" hidden="false" customHeight="false" outlineLevel="0" collapsed="false">
      <c r="A25" s="16"/>
      <c r="B25" s="12" t="str">
        <f aca="false">IF(A25="","",SUMIFS('Option Analysis'!$G$6:$G$85,'Option Analysis'!$AO$6:$AO$85,$A25))</f>
        <v/>
      </c>
      <c r="C25" s="25" t="str">
        <f aca="false">IF(A25="","",SUMIFS('Option Analysis'!$N$6:$N$85,'Option Analysis'!$AO$6:$AO$85,$A25))</f>
        <v/>
      </c>
      <c r="D25" s="26" t="str">
        <f aca="false">IF(A25="","",IF(C25&lt;=0,0,B25/C25))</f>
        <v/>
      </c>
      <c r="E25" s="13" t="str">
        <f aca="false">IF(A25="","",IFERROR(SUMIFS('Option Analysis'!$O$6:$O$85,'Option Analysis'!$AO$6:$AO$85,$A25)/(SUMIFS('Option Analysis'!$E$6:$E$85,'Option Analysis'!$AO$6:$AO$85,$A25)-SUMIFS('Option Analysis'!$F$6:$F$85,'Option Analysis'!$AO$6:$AO$85,$A25)),0))</f>
        <v/>
      </c>
      <c r="F25" s="13" t="str">
        <f aca="false">IF(A25="","",IFERROR(SUMPRODUCT(('Option Analysis'!$AO$6:$AO$85=$A25)*('Option Analysis'!$M$6:$M$85&gt;0)*'Option Analysis'!$M$6:$M$85*'Option Analysis'!$Y$6:$Y$85)/SUMPRODUCT(('Option Analysis'!$AO$6:$AO$85=$A25)*('Option Analysis'!$M$6:$M$85&gt;0)*'Option Analysis'!$M$6:$M$85),0))</f>
        <v/>
      </c>
      <c r="G25" s="9" t="str">
        <f aca="false">IF(A25="","",COUNTIFS('Option Analysis'!$AO$6:$AO$85,$A25,'Option Analysis'!$W$6:$W$85,"Y"))</f>
        <v/>
      </c>
      <c r="H25" s="9" t="str">
        <f aca="false">IF(A25="","",COUNTIFS('Option Analysis'!$AO$6:$AO$85,$A25,'Option Analysis'!$X$6:$X$85,"Y"))</f>
        <v/>
      </c>
      <c r="I25" s="14" t="str">
        <f aca="false">IF(A25="","",SUMIFS('Option Analysis'!$AG$6:$AG$85,'Option Analysis'!$AO$6:$AO$85,$A25))</f>
        <v/>
      </c>
      <c r="J25" s="14" t="str">
        <f aca="false">IF(A25="","",SUMIFS('Option Analysis'!$AI$6:$AI$85,'Option Analysis'!$AO$6:$AO$85,$A25))</f>
        <v/>
      </c>
      <c r="K25" s="14" t="str">
        <f aca="false">IF(A25="","",SUMIFS('Option Analysis'!$AK$6:$AK$85,'Option Analysis'!$AO$6:$AO$85,$A25))</f>
        <v/>
      </c>
    </row>
    <row r="26" customFormat="false" ht="15" hidden="false" customHeight="false" outlineLevel="0" collapsed="false">
      <c r="A26" s="16"/>
      <c r="B26" s="12" t="str">
        <f aca="false">IF(A26="","",SUMIFS('Option Analysis'!$G$6:$G$85,'Option Analysis'!$AO$6:$AO$85,$A26))</f>
        <v/>
      </c>
      <c r="C26" s="25" t="str">
        <f aca="false">IF(A26="","",SUMIFS('Option Analysis'!$N$6:$N$85,'Option Analysis'!$AO$6:$AO$85,$A26))</f>
        <v/>
      </c>
      <c r="D26" s="26" t="str">
        <f aca="false">IF(A26="","",IF(C26&lt;=0,0,B26/C26))</f>
        <v/>
      </c>
      <c r="E26" s="13" t="str">
        <f aca="false">IF(A26="","",IFERROR(SUMIFS('Option Analysis'!$O$6:$O$85,'Option Analysis'!$AO$6:$AO$85,$A26)/(SUMIFS('Option Analysis'!$E$6:$E$85,'Option Analysis'!$AO$6:$AO$85,$A26)-SUMIFS('Option Analysis'!$F$6:$F$85,'Option Analysis'!$AO$6:$AO$85,$A26)),0))</f>
        <v/>
      </c>
      <c r="F26" s="13" t="str">
        <f aca="false">IF(A26="","",IFERROR(SUMPRODUCT(('Option Analysis'!$AO$6:$AO$85=$A26)*('Option Analysis'!$M$6:$M$85&gt;0)*'Option Analysis'!$M$6:$M$85*'Option Analysis'!$Y$6:$Y$85)/SUMPRODUCT(('Option Analysis'!$AO$6:$AO$85=$A26)*('Option Analysis'!$M$6:$M$85&gt;0)*'Option Analysis'!$M$6:$M$85),0))</f>
        <v/>
      </c>
      <c r="G26" s="9" t="str">
        <f aca="false">IF(A26="","",COUNTIFS('Option Analysis'!$AO$6:$AO$85,$A26,'Option Analysis'!$W$6:$W$85,"Y"))</f>
        <v/>
      </c>
      <c r="H26" s="9" t="str">
        <f aca="false">IF(A26="","",COUNTIFS('Option Analysis'!$AO$6:$AO$85,$A26,'Option Analysis'!$X$6:$X$85,"Y"))</f>
        <v/>
      </c>
      <c r="I26" s="14" t="str">
        <f aca="false">IF(A26="","",SUMIFS('Option Analysis'!$AG$6:$AG$85,'Option Analysis'!$AO$6:$AO$85,$A26))</f>
        <v/>
      </c>
      <c r="J26" s="14" t="str">
        <f aca="false">IF(A26="","",SUMIFS('Option Analysis'!$AI$6:$AI$85,'Option Analysis'!$AO$6:$AO$85,$A26))</f>
        <v/>
      </c>
      <c r="K26" s="14" t="str">
        <f aca="false">IF(A26="","",SUMIFS('Option Analysis'!$AK$6:$AK$85,'Option Analysis'!$AO$6:$AO$85,$A26))</f>
        <v/>
      </c>
    </row>
    <row r="27" customFormat="false" ht="15" hidden="false" customHeight="false" outlineLevel="0" collapsed="false">
      <c r="A27" s="16"/>
      <c r="B27" s="12" t="str">
        <f aca="false">IF(A27="","",SUMIFS('Option Analysis'!$G$6:$G$85,'Option Analysis'!$AO$6:$AO$85,$A27))</f>
        <v/>
      </c>
      <c r="C27" s="25" t="str">
        <f aca="false">IF(A27="","",SUMIFS('Option Analysis'!$N$6:$N$85,'Option Analysis'!$AO$6:$AO$85,$A27))</f>
        <v/>
      </c>
      <c r="D27" s="26" t="str">
        <f aca="false">IF(A27="","",IF(C27&lt;=0,0,B27/C27))</f>
        <v/>
      </c>
      <c r="E27" s="13" t="str">
        <f aca="false">IF(A27="","",IFERROR(SUMIFS('Option Analysis'!$O$6:$O$85,'Option Analysis'!$AO$6:$AO$85,$A27)/(SUMIFS('Option Analysis'!$E$6:$E$85,'Option Analysis'!$AO$6:$AO$85,$A27)-SUMIFS('Option Analysis'!$F$6:$F$85,'Option Analysis'!$AO$6:$AO$85,$A27)),0))</f>
        <v/>
      </c>
      <c r="F27" s="13" t="str">
        <f aca="false">IF(A27="","",IFERROR(SUMPRODUCT(('Option Analysis'!$AO$6:$AO$85=$A27)*('Option Analysis'!$M$6:$M$85&gt;0)*'Option Analysis'!$M$6:$M$85*'Option Analysis'!$Y$6:$Y$85)/SUMPRODUCT(('Option Analysis'!$AO$6:$AO$85=$A27)*('Option Analysis'!$M$6:$M$85&gt;0)*'Option Analysis'!$M$6:$M$85),0))</f>
        <v/>
      </c>
      <c r="G27" s="9" t="str">
        <f aca="false">IF(A27="","",COUNTIFS('Option Analysis'!$AO$6:$AO$85,$A27,'Option Analysis'!$W$6:$W$85,"Y"))</f>
        <v/>
      </c>
      <c r="H27" s="9" t="str">
        <f aca="false">IF(A27="","",COUNTIFS('Option Analysis'!$AO$6:$AO$85,$A27,'Option Analysis'!$X$6:$X$85,"Y"))</f>
        <v/>
      </c>
      <c r="I27" s="14" t="str">
        <f aca="false">IF(A27="","",SUMIFS('Option Analysis'!$AG$6:$AG$85,'Option Analysis'!$AO$6:$AO$85,$A27))</f>
        <v/>
      </c>
      <c r="J27" s="14" t="str">
        <f aca="false">IF(A27="","",SUMIFS('Option Analysis'!$AI$6:$AI$85,'Option Analysis'!$AO$6:$AO$85,$A27))</f>
        <v/>
      </c>
      <c r="K27" s="14" t="str">
        <f aca="false">IF(A27="","",SUMIFS('Option Analysis'!$AK$6:$AK$85,'Option Analysis'!$AO$6:$AO$85,$A27))</f>
        <v/>
      </c>
    </row>
    <row r="28" customFormat="false" ht="15" hidden="false" customHeight="false" outlineLevel="0" collapsed="false">
      <c r="A28" s="16"/>
      <c r="B28" s="12" t="str">
        <f aca="false">IF(A28="","",SUMIFS('Option Analysis'!$G$6:$G$85,'Option Analysis'!$AO$6:$AO$85,$A28))</f>
        <v/>
      </c>
      <c r="C28" s="25" t="str">
        <f aca="false">IF(A28="","",SUMIFS('Option Analysis'!$N$6:$N$85,'Option Analysis'!$AO$6:$AO$85,$A28))</f>
        <v/>
      </c>
      <c r="D28" s="26" t="str">
        <f aca="false">IF(A28="","",IF(C28&lt;=0,0,B28/C28))</f>
        <v/>
      </c>
      <c r="E28" s="13" t="str">
        <f aca="false">IF(A28="","",IFERROR(SUMIFS('Option Analysis'!$O$6:$O$85,'Option Analysis'!$AO$6:$AO$85,$A28)/(SUMIFS('Option Analysis'!$E$6:$E$85,'Option Analysis'!$AO$6:$AO$85,$A28)-SUMIFS('Option Analysis'!$F$6:$F$85,'Option Analysis'!$AO$6:$AO$85,$A28)),0))</f>
        <v/>
      </c>
      <c r="F28" s="13" t="str">
        <f aca="false">IF(A28="","",IFERROR(SUMPRODUCT(('Option Analysis'!$AO$6:$AO$85=$A28)*('Option Analysis'!$M$6:$M$85&gt;0)*'Option Analysis'!$M$6:$M$85*'Option Analysis'!$Y$6:$Y$85)/SUMPRODUCT(('Option Analysis'!$AO$6:$AO$85=$A28)*('Option Analysis'!$M$6:$M$85&gt;0)*'Option Analysis'!$M$6:$M$85),0))</f>
        <v/>
      </c>
      <c r="G28" s="9" t="str">
        <f aca="false">IF(A28="","",COUNTIFS('Option Analysis'!$AO$6:$AO$85,$A28,'Option Analysis'!$W$6:$W$85,"Y"))</f>
        <v/>
      </c>
      <c r="H28" s="9" t="str">
        <f aca="false">IF(A28="","",COUNTIFS('Option Analysis'!$AO$6:$AO$85,$A28,'Option Analysis'!$X$6:$X$85,"Y"))</f>
        <v/>
      </c>
      <c r="I28" s="14" t="str">
        <f aca="false">IF(A28="","",SUMIFS('Option Analysis'!$AG$6:$AG$85,'Option Analysis'!$AO$6:$AO$85,$A28))</f>
        <v/>
      </c>
      <c r="J28" s="14" t="str">
        <f aca="false">IF(A28="","",SUMIFS('Option Analysis'!$AI$6:$AI$85,'Option Analysis'!$AO$6:$AO$85,$A28))</f>
        <v/>
      </c>
      <c r="K28" s="14" t="str">
        <f aca="false">IF(A28="","",SUMIFS('Option Analysis'!$AK$6:$AK$85,'Option Analysis'!$AO$6:$AO$85,$A28))</f>
        <v/>
      </c>
    </row>
    <row r="30" customFormat="false" ht="15" hidden="false" customHeight="false" outlineLevel="0" collapsed="false">
      <c r="A30" s="10" t="s">
        <v>765</v>
      </c>
      <c r="B30" s="10"/>
      <c r="C30" s="10"/>
      <c r="D30" s="10"/>
      <c r="E30" s="10"/>
      <c r="F30" s="10"/>
      <c r="G30" s="10"/>
      <c r="H30" s="10"/>
      <c r="I30" s="10"/>
      <c r="J30" s="10"/>
      <c r="K30" s="10"/>
    </row>
    <row r="31" customFormat="false" ht="36" hidden="false" customHeight="true" outlineLevel="0" collapsed="false">
      <c r="A31" s="15" t="s">
        <v>758</v>
      </c>
      <c r="B31" s="15" t="s">
        <v>759</v>
      </c>
      <c r="C31" s="15" t="s">
        <v>714</v>
      </c>
      <c r="D31" s="15" t="s">
        <v>718</v>
      </c>
      <c r="E31" s="15" t="s">
        <v>717</v>
      </c>
      <c r="F31" s="15" t="s">
        <v>760</v>
      </c>
      <c r="G31" s="15" t="s">
        <v>761</v>
      </c>
      <c r="H31" s="15" t="s">
        <v>762</v>
      </c>
      <c r="I31" s="15" t="s">
        <v>328</v>
      </c>
      <c r="J31" s="15" t="s">
        <v>731</v>
      </c>
      <c r="K31" s="15" t="s">
        <v>763</v>
      </c>
    </row>
    <row r="32" customFormat="false" ht="15" hidden="false" customHeight="false" outlineLevel="0" collapsed="false">
      <c r="A32" s="16" t="s">
        <v>180</v>
      </c>
      <c r="B32" s="12" t="n">
        <f aca="false">IF(A32="","",SUMIFS('Option Analysis'!$G$6:$G$85,'Option Analysis'!$AP$6:$AP$85,$A32))</f>
        <v>12306</v>
      </c>
      <c r="C32" s="25" t="n">
        <f aca="false">IF(A32="","",SUMIFS('Option Analysis'!$N$6:$N$85,'Option Analysis'!$AP$6:$AP$85,$A32))</f>
        <v>670.23</v>
      </c>
      <c r="D32" s="26" t="n">
        <f aca="false">IF(A32="","",IF(C32&lt;=0,0,B32/C32))</f>
        <v>18.3608611969026</v>
      </c>
      <c r="E32" s="13" t="n">
        <f aca="false">IF(A32="","",IFERROR(SUMIFS('Option Analysis'!$O$6:$O$85,'Option Analysis'!$AP$6:$AP$85,$A32)/(SUMIFS('Option Analysis'!$E$6:$E$85,'Option Analysis'!$AP$6:$AP$85,$A32)-SUMIFS('Option Analysis'!$F$6:$F$85,'Option Analysis'!$AP$6:$AP$85,$A32)),0))</f>
        <v>0.582241053465829</v>
      </c>
      <c r="F32" s="13" t="n">
        <f aca="false">IF(A32="","",IFERROR(SUMPRODUCT(('Option Analysis'!$AP$6:$AP$85=$A32)*('Option Analysis'!$M$6:$M$85&gt;0)*'Option Analysis'!$M$6:$M$85*'Option Analysis'!$Y$6:$Y$85)/SUMPRODUCT(('Option Analysis'!$AP$6:$AP$85=$A32)*('Option Analysis'!$M$6:$M$85&gt;0)*'Option Analysis'!$M$6:$M$85),0))</f>
        <v>0.946555659997314</v>
      </c>
      <c r="G32" s="9" t="n">
        <f aca="false">IF(A32="","",COUNTIFS('Option Analysis'!$AP$6:$AP$85,$A32,'Option Analysis'!$W$6:$W$85,"Y"))</f>
        <v>6</v>
      </c>
      <c r="H32" s="9" t="n">
        <f aca="false">IF(A32="","",COUNTIFS('Option Analysis'!$AP$6:$AP$85,$A32,'Option Analysis'!$X$6:$X$85,"Y"))</f>
        <v>3</v>
      </c>
      <c r="I32" s="14" t="n">
        <f aca="false">IF(A32="","",SUMIFS('Option Analysis'!$AG$6:$AG$85,'Option Analysis'!$AP$6:$AP$85,$A32))</f>
        <v>456389.5</v>
      </c>
      <c r="J32" s="14" t="n">
        <f aca="false">IF(A32="","",SUMIFS('Option Analysis'!$AI$6:$AI$85,'Option Analysis'!$AP$6:$AP$85,$A32))</f>
        <v>401978.48</v>
      </c>
      <c r="K32" s="14" t="n">
        <f aca="false">IF(A32="","",SUMIFS('Option Analysis'!$AK$6:$AK$85,'Option Analysis'!$AP$6:$AP$85,$A32))</f>
        <v>10529.7424242424</v>
      </c>
    </row>
    <row r="33" customFormat="false" ht="15" hidden="false" customHeight="false" outlineLevel="0" collapsed="false">
      <c r="A33" s="16" t="s">
        <v>210</v>
      </c>
      <c r="B33" s="12" t="n">
        <f aca="false">IF(A33="","",SUMIFS('Option Analysis'!$G$6:$G$85,'Option Analysis'!$AP$6:$AP$85,$A33))</f>
        <v>1952</v>
      </c>
      <c r="C33" s="25" t="n">
        <f aca="false">IF(A33="","",SUMIFS('Option Analysis'!$N$6:$N$85,'Option Analysis'!$AP$6:$AP$85,$A33))</f>
        <v>182.7</v>
      </c>
      <c r="D33" s="26" t="n">
        <f aca="false">IF(A33="","",IF(C33&lt;=0,0,B33/C33))</f>
        <v>10.6841817186645</v>
      </c>
      <c r="E33" s="13" t="n">
        <f aca="false">IF(A33="","",IFERROR(SUMIFS('Option Analysis'!$O$6:$O$85,'Option Analysis'!$AP$6:$AP$85,$A33)/(SUMIFS('Option Analysis'!$E$6:$E$85,'Option Analysis'!$AP$6:$AP$85,$A33)-SUMIFS('Option Analysis'!$F$6:$F$85,'Option Analysis'!$AP$6:$AP$85,$A33)),0))</f>
        <v>0.662339910003461</v>
      </c>
      <c r="F33" s="13" t="n">
        <f aca="false">IF(A33="","",IFERROR(SUMPRODUCT(('Option Analysis'!$AP$6:$AP$85=$A33)*('Option Analysis'!$M$6:$M$85&gt;0)*'Option Analysis'!$M$6:$M$85*'Option Analysis'!$Y$6:$Y$85)/SUMPRODUCT(('Option Analysis'!$AP$6:$AP$85=$A33)*('Option Analysis'!$M$6:$M$85&gt;0)*'Option Analysis'!$M$6:$M$85),0))</f>
        <v>0.900492610837439</v>
      </c>
      <c r="G33" s="9" t="n">
        <f aca="false">IF(A33="","",COUNTIFS('Option Analysis'!$AP$6:$AP$85,$A33,'Option Analysis'!$W$6:$W$85,"Y"))</f>
        <v>1</v>
      </c>
      <c r="H33" s="9" t="n">
        <f aca="false">IF(A33="","",COUNTIFS('Option Analysis'!$AP$6:$AP$85,$A33,'Option Analysis'!$X$6:$X$85,"Y"))</f>
        <v>0</v>
      </c>
      <c r="I33" s="14" t="n">
        <f aca="false">IF(A33="","",SUMIFS('Option Analysis'!$AG$6:$AG$85,'Option Analysis'!$AP$6:$AP$85,$A33))</f>
        <v>87546.3</v>
      </c>
      <c r="J33" s="14" t="n">
        <f aca="false">IF(A33="","",SUMIFS('Option Analysis'!$AI$6:$AI$85,'Option Analysis'!$AP$6:$AP$85,$A33))</f>
        <v>63052.72</v>
      </c>
      <c r="K33" s="14" t="n">
        <f aca="false">IF(A33="","",SUMIFS('Option Analysis'!$AK$6:$AK$85,'Option Analysis'!$AP$6:$AP$85,$A33))</f>
        <v>896</v>
      </c>
    </row>
    <row r="34" customFormat="false" ht="15" hidden="false" customHeight="false" outlineLevel="0" collapsed="false">
      <c r="A34" s="16"/>
      <c r="B34" s="12" t="str">
        <f aca="false">IF(A34="","",SUMIFS('Option Analysis'!$G$6:$G$85,'Option Analysis'!$AP$6:$AP$85,$A34))</f>
        <v/>
      </c>
      <c r="C34" s="25" t="str">
        <f aca="false">IF(A34="","",SUMIFS('Option Analysis'!$N$6:$N$85,'Option Analysis'!$AP$6:$AP$85,$A34))</f>
        <v/>
      </c>
      <c r="D34" s="26" t="str">
        <f aca="false">IF(A34="","",IF(C34&lt;=0,0,B34/C34))</f>
        <v/>
      </c>
      <c r="E34" s="13" t="str">
        <f aca="false">IF(A34="","",IFERROR(SUMIFS('Option Analysis'!$O$6:$O$85,'Option Analysis'!$AP$6:$AP$85,$A34)/(SUMIFS('Option Analysis'!$E$6:$E$85,'Option Analysis'!$AP$6:$AP$85,$A34)-SUMIFS('Option Analysis'!$F$6:$F$85,'Option Analysis'!$AP$6:$AP$85,$A34)),0))</f>
        <v/>
      </c>
      <c r="F34" s="13" t="str">
        <f aca="false">IF(A34="","",IFERROR(SUMPRODUCT(('Option Analysis'!$AP$6:$AP$85=$A34)*('Option Analysis'!$M$6:$M$85&gt;0)*'Option Analysis'!$M$6:$M$85*'Option Analysis'!$Y$6:$Y$85)/SUMPRODUCT(('Option Analysis'!$AP$6:$AP$85=$A34)*('Option Analysis'!$M$6:$M$85&gt;0)*'Option Analysis'!$M$6:$M$85),0))</f>
        <v/>
      </c>
      <c r="G34" s="9" t="str">
        <f aca="false">IF(A34="","",COUNTIFS('Option Analysis'!$AP$6:$AP$85,$A34,'Option Analysis'!$W$6:$W$85,"Y"))</f>
        <v/>
      </c>
      <c r="H34" s="9" t="str">
        <f aca="false">IF(A34="","",COUNTIFS('Option Analysis'!$AP$6:$AP$85,$A34,'Option Analysis'!$X$6:$X$85,"Y"))</f>
        <v/>
      </c>
      <c r="I34" s="14" t="str">
        <f aca="false">IF(A34="","",SUMIFS('Option Analysis'!$AG$6:$AG$85,'Option Analysis'!$AP$6:$AP$85,$A34))</f>
        <v/>
      </c>
      <c r="J34" s="14" t="str">
        <f aca="false">IF(A34="","",SUMIFS('Option Analysis'!$AI$6:$AI$85,'Option Analysis'!$AP$6:$AP$85,$A34))</f>
        <v/>
      </c>
      <c r="K34" s="14" t="str">
        <f aca="false">IF(A34="","",SUMIFS('Option Analysis'!$AK$6:$AK$85,'Option Analysis'!$AP$6:$AP$85,$A34))</f>
        <v/>
      </c>
    </row>
    <row r="35" customFormat="false" ht="15" hidden="false" customHeight="false" outlineLevel="0" collapsed="false">
      <c r="A35" s="16"/>
      <c r="B35" s="12" t="str">
        <f aca="false">IF(A35="","",SUMIFS('Option Analysis'!$G$6:$G$85,'Option Analysis'!$AP$6:$AP$85,$A35))</f>
        <v/>
      </c>
      <c r="C35" s="25" t="str">
        <f aca="false">IF(A35="","",SUMIFS('Option Analysis'!$N$6:$N$85,'Option Analysis'!$AP$6:$AP$85,$A35))</f>
        <v/>
      </c>
      <c r="D35" s="26" t="str">
        <f aca="false">IF(A35="","",IF(C35&lt;=0,0,B35/C35))</f>
        <v/>
      </c>
      <c r="E35" s="13" t="str">
        <f aca="false">IF(A35="","",IFERROR(SUMIFS('Option Analysis'!$O$6:$O$85,'Option Analysis'!$AP$6:$AP$85,$A35)/(SUMIFS('Option Analysis'!$E$6:$E$85,'Option Analysis'!$AP$6:$AP$85,$A35)-SUMIFS('Option Analysis'!$F$6:$F$85,'Option Analysis'!$AP$6:$AP$85,$A35)),0))</f>
        <v/>
      </c>
      <c r="F35" s="13" t="str">
        <f aca="false">IF(A35="","",IFERROR(SUMPRODUCT(('Option Analysis'!$AP$6:$AP$85=$A35)*('Option Analysis'!$M$6:$M$85&gt;0)*'Option Analysis'!$M$6:$M$85*'Option Analysis'!$Y$6:$Y$85)/SUMPRODUCT(('Option Analysis'!$AP$6:$AP$85=$A35)*('Option Analysis'!$M$6:$M$85&gt;0)*'Option Analysis'!$M$6:$M$85),0))</f>
        <v/>
      </c>
      <c r="G35" s="9" t="str">
        <f aca="false">IF(A35="","",COUNTIFS('Option Analysis'!$AP$6:$AP$85,$A35,'Option Analysis'!$W$6:$W$85,"Y"))</f>
        <v/>
      </c>
      <c r="H35" s="9" t="str">
        <f aca="false">IF(A35="","",COUNTIFS('Option Analysis'!$AP$6:$AP$85,$A35,'Option Analysis'!$X$6:$X$85,"Y"))</f>
        <v/>
      </c>
      <c r="I35" s="14" t="str">
        <f aca="false">IF(A35="","",SUMIFS('Option Analysis'!$AG$6:$AG$85,'Option Analysis'!$AP$6:$AP$85,$A35))</f>
        <v/>
      </c>
      <c r="J35" s="14" t="str">
        <f aca="false">IF(A35="","",SUMIFS('Option Analysis'!$AI$6:$AI$85,'Option Analysis'!$AP$6:$AP$85,$A35))</f>
        <v/>
      </c>
      <c r="K35" s="14" t="str">
        <f aca="false">IF(A35="","",SUMIFS('Option Analysis'!$AK$6:$AK$85,'Option Analysis'!$AP$6:$AP$85,$A35))</f>
        <v/>
      </c>
    </row>
    <row r="36" customFormat="false" ht="15" hidden="false" customHeight="false" outlineLevel="0" collapsed="false">
      <c r="A36" s="16"/>
      <c r="B36" s="12" t="str">
        <f aca="false">IF(A36="","",SUMIFS('Option Analysis'!$G$6:$G$85,'Option Analysis'!$AP$6:$AP$85,$A36))</f>
        <v/>
      </c>
      <c r="C36" s="25" t="str">
        <f aca="false">IF(A36="","",SUMIFS('Option Analysis'!$N$6:$N$85,'Option Analysis'!$AP$6:$AP$85,$A36))</f>
        <v/>
      </c>
      <c r="D36" s="26" t="str">
        <f aca="false">IF(A36="","",IF(C36&lt;=0,0,B36/C36))</f>
        <v/>
      </c>
      <c r="E36" s="13" t="str">
        <f aca="false">IF(A36="","",IFERROR(SUMIFS('Option Analysis'!$O$6:$O$85,'Option Analysis'!$AP$6:$AP$85,$A36)/(SUMIFS('Option Analysis'!$E$6:$E$85,'Option Analysis'!$AP$6:$AP$85,$A36)-SUMIFS('Option Analysis'!$F$6:$F$85,'Option Analysis'!$AP$6:$AP$85,$A36)),0))</f>
        <v/>
      </c>
      <c r="F36" s="13" t="str">
        <f aca="false">IF(A36="","",IFERROR(SUMPRODUCT(('Option Analysis'!$AP$6:$AP$85=$A36)*('Option Analysis'!$M$6:$M$85&gt;0)*'Option Analysis'!$M$6:$M$85*'Option Analysis'!$Y$6:$Y$85)/SUMPRODUCT(('Option Analysis'!$AP$6:$AP$85=$A36)*('Option Analysis'!$M$6:$M$85&gt;0)*'Option Analysis'!$M$6:$M$85),0))</f>
        <v/>
      </c>
      <c r="G36" s="9" t="str">
        <f aca="false">IF(A36="","",COUNTIFS('Option Analysis'!$AP$6:$AP$85,$A36,'Option Analysis'!$W$6:$W$85,"Y"))</f>
        <v/>
      </c>
      <c r="H36" s="9" t="str">
        <f aca="false">IF(A36="","",COUNTIFS('Option Analysis'!$AP$6:$AP$85,$A36,'Option Analysis'!$X$6:$X$85,"Y"))</f>
        <v/>
      </c>
      <c r="I36" s="14" t="str">
        <f aca="false">IF(A36="","",SUMIFS('Option Analysis'!$AG$6:$AG$85,'Option Analysis'!$AP$6:$AP$85,$A36))</f>
        <v/>
      </c>
      <c r="J36" s="14" t="str">
        <f aca="false">IF(A36="","",SUMIFS('Option Analysis'!$AI$6:$AI$85,'Option Analysis'!$AP$6:$AP$85,$A36))</f>
        <v/>
      </c>
      <c r="K36" s="14" t="str">
        <f aca="false">IF(A36="","",SUMIFS('Option Analysis'!$AK$6:$AK$85,'Option Analysis'!$AP$6:$AP$85,$A36))</f>
        <v/>
      </c>
    </row>
    <row r="37" customFormat="false" ht="15" hidden="false" customHeight="false" outlineLevel="0" collapsed="false">
      <c r="A37" s="16"/>
      <c r="B37" s="12" t="str">
        <f aca="false">IF(A37="","",SUMIFS('Option Analysis'!$G$6:$G$85,'Option Analysis'!$AP$6:$AP$85,$A37))</f>
        <v/>
      </c>
      <c r="C37" s="25" t="str">
        <f aca="false">IF(A37="","",SUMIFS('Option Analysis'!$N$6:$N$85,'Option Analysis'!$AP$6:$AP$85,$A37))</f>
        <v/>
      </c>
      <c r="D37" s="26" t="str">
        <f aca="false">IF(A37="","",IF(C37&lt;=0,0,B37/C37))</f>
        <v/>
      </c>
      <c r="E37" s="13" t="str">
        <f aca="false">IF(A37="","",IFERROR(SUMIFS('Option Analysis'!$O$6:$O$85,'Option Analysis'!$AP$6:$AP$85,$A37)/(SUMIFS('Option Analysis'!$E$6:$E$85,'Option Analysis'!$AP$6:$AP$85,$A37)-SUMIFS('Option Analysis'!$F$6:$F$85,'Option Analysis'!$AP$6:$AP$85,$A37)),0))</f>
        <v/>
      </c>
      <c r="F37" s="13" t="str">
        <f aca="false">IF(A37="","",IFERROR(SUMPRODUCT(('Option Analysis'!$AP$6:$AP$85=$A37)*('Option Analysis'!$M$6:$M$85&gt;0)*'Option Analysis'!$M$6:$M$85*'Option Analysis'!$Y$6:$Y$85)/SUMPRODUCT(('Option Analysis'!$AP$6:$AP$85=$A37)*('Option Analysis'!$M$6:$M$85&gt;0)*'Option Analysis'!$M$6:$M$85),0))</f>
        <v/>
      </c>
      <c r="G37" s="9" t="str">
        <f aca="false">IF(A37="","",COUNTIFS('Option Analysis'!$AP$6:$AP$85,$A37,'Option Analysis'!$W$6:$W$85,"Y"))</f>
        <v/>
      </c>
      <c r="H37" s="9" t="str">
        <f aca="false">IF(A37="","",COUNTIFS('Option Analysis'!$AP$6:$AP$85,$A37,'Option Analysis'!$X$6:$X$85,"Y"))</f>
        <v/>
      </c>
      <c r="I37" s="14" t="str">
        <f aca="false">IF(A37="","",SUMIFS('Option Analysis'!$AG$6:$AG$85,'Option Analysis'!$AP$6:$AP$85,$A37))</f>
        <v/>
      </c>
      <c r="J37" s="14" t="str">
        <f aca="false">IF(A37="","",SUMIFS('Option Analysis'!$AI$6:$AI$85,'Option Analysis'!$AP$6:$AP$85,$A37))</f>
        <v/>
      </c>
      <c r="K37" s="14" t="str">
        <f aca="false">IF(A37="","",SUMIFS('Option Analysis'!$AK$6:$AK$85,'Option Analysis'!$AP$6:$AP$85,$A37))</f>
        <v/>
      </c>
    </row>
    <row r="39" customFormat="false" ht="15" hidden="false" customHeight="false" outlineLevel="0" collapsed="false">
      <c r="A39" s="8" t="s">
        <v>766</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3" min="2" style="0" width="12"/>
    <col collapsed="false" customWidth="true" hidden="false" outlineLevel="0" max="4" min="4" style="0" width="16"/>
    <col collapsed="false" customWidth="true" hidden="false" outlineLevel="0" max="6" min="5" style="0" width="12"/>
    <col collapsed="false" customWidth="true" hidden="false" outlineLevel="0" max="7" min="7" style="0" width="14"/>
    <col collapsed="false" customWidth="true" hidden="false" outlineLevel="0" max="8" min="8" style="0" width="18"/>
  </cols>
  <sheetData>
    <row r="1" customFormat="false" ht="17.35" hidden="false" customHeight="false" outlineLevel="0" collapsed="false">
      <c r="A1" s="1" t="s">
        <v>767</v>
      </c>
    </row>
    <row r="2" customFormat="false" ht="15" hidden="false" customHeight="false" outlineLevel="0" collapsed="false">
      <c r="A2" s="2" t="s">
        <v>768</v>
      </c>
    </row>
    <row r="4" customFormat="false" ht="15" hidden="false" customHeight="false" outlineLevel="0" collapsed="false">
      <c r="A4" s="10" t="s">
        <v>769</v>
      </c>
      <c r="B4" s="10"/>
      <c r="C4" s="10"/>
      <c r="D4" s="10"/>
      <c r="E4" s="10"/>
      <c r="F4" s="10"/>
      <c r="G4" s="16" t="s">
        <v>181</v>
      </c>
      <c r="H4" s="10"/>
    </row>
    <row r="5" customFormat="false" ht="36" hidden="false" customHeight="true" outlineLevel="0" collapsed="false">
      <c r="A5" s="15" t="s">
        <v>313</v>
      </c>
      <c r="B5" s="15" t="s">
        <v>770</v>
      </c>
      <c r="C5" s="15" t="s">
        <v>771</v>
      </c>
      <c r="D5" s="15" t="s">
        <v>772</v>
      </c>
      <c r="E5" s="15" t="s">
        <v>773</v>
      </c>
      <c r="F5" s="15" t="s">
        <v>774</v>
      </c>
      <c r="G5" s="15" t="s">
        <v>775</v>
      </c>
      <c r="H5" s="15" t="s">
        <v>776</v>
      </c>
    </row>
    <row r="6" customFormat="false" ht="15" hidden="false" customHeight="false" outlineLevel="0" collapsed="false">
      <c r="A6" s="16" t="s">
        <v>331</v>
      </c>
      <c r="B6" s="13" t="n">
        <f aca="false">IFERROR(SUMIFS('SKU Data'!$E$6:$E$505,'SKU Data'!$O$6:$O$505,$G$4,'SKU Data'!$C$6:$C$505,$A6&amp;"")/SUMIFS('SKU Data'!$E$6:$E$505,'SKU Data'!$O$6:$O$505,$G$4),0)</f>
        <v>0.079190108596101</v>
      </c>
      <c r="C6" s="13" t="n">
        <f aca="false">IFERROR(SUMIFS('SKU Data'!$L$6:$L$505,'SKU Data'!$O$6:$O$505,$G$4,'SKU Data'!$C$6:$C$505,$A6&amp;"")/SUMIFS('SKU Data'!$L$6:$L$505,'SKU Data'!$O$6:$O$505,$G$4),0)</f>
        <v>0.0599862888482633</v>
      </c>
      <c r="D6" s="13" t="n">
        <f aca="false">IFERROR((SUMIFS('SKU Data'!$L$6:$L$505,'SKU Data'!$O$6:$O$505,$G$4,'SKU Data'!$C$6:$C$505,$A6&amp;"")+SUMIFS('SKU Data'!$T$6:$T$505,'SKU Data'!$O$6:$O$505,$G$4,'SKU Data'!$C$6:$C$505,$A6&amp;""))/(SUMIFS('SKU Data'!$L$6:$L$505,'SKU Data'!$O$6:$O$505,$G$4)+SUMIFS('SKU Data'!$T$6:$T$505,'SKU Data'!$O$6:$O$505,$G$4)),0)</f>
        <v>0.0595415046387386</v>
      </c>
      <c r="E6" s="30" t="n">
        <f aca="false">IFERROR(D6/B6,0)</f>
        <v>0.751880578197239</v>
      </c>
      <c r="F6" s="13" t="n">
        <f aca="false">IFERROR(SUMIFS('SKU Data'!$G$6:$G$505,'SKU Data'!$O$6:$O$505,$G$4,'SKU Data'!$C$6:$C$505,$A6&amp;"")/SUMIFS('SKU Data'!$G$6:$G$505,'SKU Data'!$O$6:$O$505,$G$4),0)</f>
        <v>0.10429342702888</v>
      </c>
      <c r="G6" s="28" t="str">
        <f aca="false">IF(B6=0,"",IF(E6&gt;1.2,"Under-bought",IF(E6&lt;0.8,"Over-bought","In line")))</f>
        <v>Over-bought</v>
      </c>
      <c r="H6" s="21" t="n">
        <f aca="false">D6</f>
        <v>0.0595415046387386</v>
      </c>
    </row>
    <row r="7" customFormat="false" ht="15" hidden="false" customHeight="false" outlineLevel="0" collapsed="false">
      <c r="A7" s="16" t="s">
        <v>333</v>
      </c>
      <c r="B7" s="13" t="n">
        <f aca="false">IFERROR(SUMIFS('SKU Data'!$E$6:$E$505,'SKU Data'!$O$6:$O$505,$G$4,'SKU Data'!$C$6:$C$505,$A7&amp;"")/SUMIFS('SKU Data'!$E$6:$E$505,'SKU Data'!$O$6:$O$505,$G$4),0)</f>
        <v>0.170482794714117</v>
      </c>
      <c r="C7" s="13" t="n">
        <f aca="false">IFERROR(SUMIFS('SKU Data'!$L$6:$L$505,'SKU Data'!$O$6:$O$505,$G$4,'SKU Data'!$C$6:$C$505,$A7&amp;"")/SUMIFS('SKU Data'!$L$6:$L$505,'SKU Data'!$O$6:$O$505,$G$4),0)</f>
        <v>0.180187385740402</v>
      </c>
      <c r="D7" s="13" t="n">
        <f aca="false">IFERROR((SUMIFS('SKU Data'!$L$6:$L$505,'SKU Data'!$O$6:$O$505,$G$4,'SKU Data'!$C$6:$C$505,$A7&amp;"")+SUMIFS('SKU Data'!$T$6:$T$505,'SKU Data'!$O$6:$O$505,$G$4,'SKU Data'!$C$6:$C$505,$A7&amp;""))/(SUMIFS('SKU Data'!$L$6:$L$505,'SKU Data'!$O$6:$O$505,$G$4)+SUMIFS('SKU Data'!$T$6:$T$505,'SKU Data'!$O$6:$O$505,$G$4)),0)</f>
        <v>0.181088655839793</v>
      </c>
      <c r="E7" s="30" t="n">
        <f aca="false">IFERROR(D7/B7,0)</f>
        <v>1.06221074181392</v>
      </c>
      <c r="F7" s="13" t="n">
        <f aca="false">IFERROR(SUMIFS('SKU Data'!$G$6:$G$505,'SKU Data'!$O$6:$O$505,$G$4,'SKU Data'!$C$6:$C$505,$A7&amp;"")/SUMIFS('SKU Data'!$G$6:$G$505,'SKU Data'!$O$6:$O$505,$G$4),0)</f>
        <v>0.159482389236438</v>
      </c>
      <c r="G7" s="28" t="str">
        <f aca="false">IF(B7=0,"",IF(E7&gt;1.2,"Under-bought",IF(E7&lt;0.8,"Over-bought","In line")))</f>
        <v>In line</v>
      </c>
      <c r="H7" s="21" t="n">
        <f aca="false">D7</f>
        <v>0.181088655839793</v>
      </c>
    </row>
    <row r="8" customFormat="false" ht="15" hidden="false" customHeight="false" outlineLevel="0" collapsed="false">
      <c r="A8" s="16" t="s">
        <v>335</v>
      </c>
      <c r="B8" s="13" t="n">
        <f aca="false">IFERROR(SUMIFS('SKU Data'!$E$6:$E$505,'SKU Data'!$O$6:$O$505,$G$4,'SKU Data'!$C$6:$C$505,$A8&amp;"")/SUMIFS('SKU Data'!$E$6:$E$505,'SKU Data'!$O$6:$O$505,$G$4),0)</f>
        <v>0.284312442758079</v>
      </c>
      <c r="C8" s="13" t="n">
        <f aca="false">IFERROR(SUMIFS('SKU Data'!$L$6:$L$505,'SKU Data'!$O$6:$O$505,$G$4,'SKU Data'!$C$6:$C$505,$A8&amp;"")/SUMIFS('SKU Data'!$L$6:$L$505,'SKU Data'!$O$6:$O$505,$G$4),0)</f>
        <v>0.301016910420475</v>
      </c>
      <c r="D8" s="13" t="n">
        <f aca="false">IFERROR((SUMIFS('SKU Data'!$L$6:$L$505,'SKU Data'!$O$6:$O$505,$G$4,'SKU Data'!$C$6:$C$505,$A8&amp;"")+SUMIFS('SKU Data'!$T$6:$T$505,'SKU Data'!$O$6:$O$505,$G$4,'SKU Data'!$C$6:$C$505,$A8&amp;""))/(SUMIFS('SKU Data'!$L$6:$L$505,'SKU Data'!$O$6:$O$505,$G$4)+SUMIFS('SKU Data'!$T$6:$T$505,'SKU Data'!$O$6:$O$505,$G$4)),0)</f>
        <v>0.299905317838222</v>
      </c>
      <c r="E8" s="30" t="n">
        <f aca="false">IFERROR(D8/B8,0)</f>
        <v>1.05484415289348</v>
      </c>
      <c r="F8" s="13" t="n">
        <f aca="false">IFERROR(SUMIFS('SKU Data'!$G$6:$G$505,'SKU Data'!$O$6:$O$505,$G$4,'SKU Data'!$C$6:$C$505,$A8&amp;"")/SUMIFS('SKU Data'!$G$6:$G$505,'SKU Data'!$O$6:$O$505,$G$4),0)</f>
        <v>0.265146970605879</v>
      </c>
      <c r="G8" s="28" t="str">
        <f aca="false">IF(B8=0,"",IF(E8&gt;1.2,"Under-bought",IF(E8&lt;0.8,"Over-bought","In line")))</f>
        <v>In line</v>
      </c>
      <c r="H8" s="21" t="n">
        <f aca="false">D8</f>
        <v>0.299905317838222</v>
      </c>
    </row>
    <row r="9" customFormat="false" ht="15" hidden="false" customHeight="false" outlineLevel="0" collapsed="false">
      <c r="A9" s="16" t="s">
        <v>337</v>
      </c>
      <c r="B9" s="13" t="n">
        <f aca="false">IFERROR(SUMIFS('SKU Data'!$E$6:$E$505,'SKU Data'!$O$6:$O$505,$G$4,'SKU Data'!$C$6:$C$505,$A9&amp;"")/SUMIFS('SKU Data'!$E$6:$E$505,'SKU Data'!$O$6:$O$505,$G$4),0)</f>
        <v>0.246369226743425</v>
      </c>
      <c r="C9" s="13" t="n">
        <f aca="false">IFERROR(SUMIFS('SKU Data'!$L$6:$L$505,'SKU Data'!$O$6:$O$505,$G$4,'SKU Data'!$C$6:$C$505,$A9&amp;"")/SUMIFS('SKU Data'!$L$6:$L$505,'SKU Data'!$O$6:$O$505,$G$4),0)</f>
        <v>0.26011197440585</v>
      </c>
      <c r="D9" s="13" t="n">
        <f aca="false">IFERROR((SUMIFS('SKU Data'!$L$6:$L$505,'SKU Data'!$O$6:$O$505,$G$4,'SKU Data'!$C$6:$C$505,$A9&amp;"")+SUMIFS('SKU Data'!$T$6:$T$505,'SKU Data'!$O$6:$O$505,$G$4,'SKU Data'!$C$6:$C$505,$A9&amp;""))/(SUMIFS('SKU Data'!$L$6:$L$505,'SKU Data'!$O$6:$O$505,$G$4)+SUMIFS('SKU Data'!$T$6:$T$505,'SKU Data'!$O$6:$O$505,$G$4)),0)</f>
        <v>0.262240375841786</v>
      </c>
      <c r="E9" s="30" t="n">
        <f aca="false">IFERROR(D9/B9,0)</f>
        <v>1.06442017661114</v>
      </c>
      <c r="F9" s="13" t="n">
        <f aca="false">IFERROR(SUMIFS('SKU Data'!$G$6:$G$505,'SKU Data'!$O$6:$O$505,$G$4,'SKU Data'!$C$6:$C$505,$A9&amp;"")/SUMIFS('SKU Data'!$G$6:$G$505,'SKU Data'!$O$6:$O$505,$G$4),0)</f>
        <v>0.230696717799297</v>
      </c>
      <c r="G9" s="28" t="str">
        <f aca="false">IF(B9=0,"",IF(E9&gt;1.2,"Under-bought",IF(E9&lt;0.8,"Over-bought","In line")))</f>
        <v>In line</v>
      </c>
      <c r="H9" s="21" t="n">
        <f aca="false">D9</f>
        <v>0.262240375841786</v>
      </c>
    </row>
    <row r="10" customFormat="false" ht="15" hidden="false" customHeight="false" outlineLevel="0" collapsed="false">
      <c r="A10" s="16" t="s">
        <v>339</v>
      </c>
      <c r="B10" s="13" t="n">
        <f aca="false">IFERROR(SUMIFS('SKU Data'!$E$6:$E$505,'SKU Data'!$O$6:$O$505,$G$4,'SKU Data'!$C$6:$C$505,$A10&amp;"")/SUMIFS('SKU Data'!$E$6:$E$505,'SKU Data'!$O$6:$O$505,$G$4),0)</f>
        <v>0.140455318592176</v>
      </c>
      <c r="C10" s="13" t="n">
        <f aca="false">IFERROR(SUMIFS('SKU Data'!$L$6:$L$505,'SKU Data'!$O$6:$O$505,$G$4,'SKU Data'!$C$6:$C$505,$A10&amp;"")/SUMIFS('SKU Data'!$L$6:$L$505,'SKU Data'!$O$6:$O$505,$G$4),0)</f>
        <v>0.139682358318099</v>
      </c>
      <c r="D10" s="13" t="n">
        <f aca="false">IFERROR((SUMIFS('SKU Data'!$L$6:$L$505,'SKU Data'!$O$6:$O$505,$G$4,'SKU Data'!$C$6:$C$505,$A10&amp;"")+SUMIFS('SKU Data'!$T$6:$T$505,'SKU Data'!$O$6:$O$505,$G$4,'SKU Data'!$C$6:$C$505,$A10&amp;""))/(SUMIFS('SKU Data'!$L$6:$L$505,'SKU Data'!$O$6:$O$505,$G$4)+SUMIFS('SKU Data'!$T$6:$T$505,'SKU Data'!$O$6:$O$505,$G$4)),0)</f>
        <v>0.13864664651592</v>
      </c>
      <c r="E10" s="30" t="n">
        <f aca="false">IFERROR(D10/B10,0)</f>
        <v>0.987122793964765</v>
      </c>
      <c r="F10" s="13" t="n">
        <f aca="false">IFERROR(SUMIFS('SKU Data'!$G$6:$G$505,'SKU Data'!$O$6:$O$505,$G$4,'SKU Data'!$C$6:$C$505,$A10&amp;"")/SUMIFS('SKU Data'!$G$6:$G$505,'SKU Data'!$O$6:$O$505,$G$4),0)</f>
        <v>0.13514439969149</v>
      </c>
      <c r="G10" s="28" t="str">
        <f aca="false">IF(B10=0,"",IF(E10&gt;1.2,"Under-bought",IF(E10&lt;0.8,"Over-bought","In line")))</f>
        <v>In line</v>
      </c>
      <c r="H10" s="21" t="n">
        <f aca="false">D10</f>
        <v>0.13864664651592</v>
      </c>
    </row>
    <row r="11" customFormat="false" ht="15" hidden="false" customHeight="false" outlineLevel="0" collapsed="false">
      <c r="A11" s="16" t="s">
        <v>341</v>
      </c>
      <c r="B11" s="13" t="n">
        <f aca="false">IFERROR(SUMIFS('SKU Data'!$E$6:$E$505,'SKU Data'!$O$6:$O$505,$G$4,'SKU Data'!$C$6:$C$505,$A11&amp;"")/SUMIFS('SKU Data'!$E$6:$E$505,'SKU Data'!$O$6:$O$505,$G$4),0)</f>
        <v>0.079190108596101</v>
      </c>
      <c r="C11" s="13" t="n">
        <f aca="false">IFERROR(SUMIFS('SKU Data'!$L$6:$L$505,'SKU Data'!$O$6:$O$505,$G$4,'SKU Data'!$C$6:$C$505,$A11&amp;"")/SUMIFS('SKU Data'!$L$6:$L$505,'SKU Data'!$O$6:$O$505,$G$4),0)</f>
        <v>0.0590150822669104</v>
      </c>
      <c r="D11" s="13" t="n">
        <f aca="false">IFERROR((SUMIFS('SKU Data'!$L$6:$L$505,'SKU Data'!$O$6:$O$505,$G$4,'SKU Data'!$C$6:$C$505,$A11&amp;"")+SUMIFS('SKU Data'!$T$6:$T$505,'SKU Data'!$O$6:$O$505,$G$4,'SKU Data'!$C$6:$C$505,$A11&amp;""))/(SUMIFS('SKU Data'!$L$6:$L$505,'SKU Data'!$O$6:$O$505,$G$4)+SUMIFS('SKU Data'!$T$6:$T$505,'SKU Data'!$O$6:$O$505,$G$4)),0)</f>
        <v>0.05857749932554</v>
      </c>
      <c r="E11" s="30" t="n">
        <f aca="false">IFERROR(D11/B11,0)</f>
        <v>0.739707273597855</v>
      </c>
      <c r="F11" s="13" t="n">
        <f aca="false">IFERROR(SUMIFS('SKU Data'!$G$6:$G$505,'SKU Data'!$O$6:$O$505,$G$4,'SKU Data'!$C$6:$C$505,$A11&amp;"")/SUMIFS('SKU Data'!$G$6:$G$505,'SKU Data'!$O$6:$O$505,$G$4),0)</f>
        <v>0.105236095638015</v>
      </c>
      <c r="G11" s="28" t="str">
        <f aca="false">IF(B11=0,"",IF(E11&gt;1.2,"Under-bought",IF(E11&lt;0.8,"Over-bought","In line")))</f>
        <v>Over-bought</v>
      </c>
      <c r="H11" s="21" t="n">
        <f aca="false">D11</f>
        <v>0.05857749932554</v>
      </c>
    </row>
    <row r="13" customFormat="false" ht="15" hidden="false" customHeight="false" outlineLevel="0" collapsed="false">
      <c r="A13" s="10" t="s">
        <v>777</v>
      </c>
      <c r="B13" s="10"/>
      <c r="C13" s="10"/>
      <c r="D13" s="10"/>
      <c r="E13" s="10"/>
      <c r="F13" s="10"/>
      <c r="G13" s="16" t="s">
        <v>287</v>
      </c>
      <c r="H13" s="10"/>
    </row>
    <row r="14" customFormat="false" ht="36" hidden="false" customHeight="true" outlineLevel="0" collapsed="false">
      <c r="A14" s="15" t="s">
        <v>313</v>
      </c>
      <c r="B14" s="15" t="s">
        <v>770</v>
      </c>
      <c r="C14" s="15" t="s">
        <v>771</v>
      </c>
      <c r="D14" s="15" t="s">
        <v>772</v>
      </c>
      <c r="E14" s="15" t="s">
        <v>773</v>
      </c>
      <c r="F14" s="15" t="s">
        <v>774</v>
      </c>
      <c r="G14" s="15" t="s">
        <v>775</v>
      </c>
      <c r="H14" s="15" t="s">
        <v>776</v>
      </c>
    </row>
    <row r="15" customFormat="false" ht="15" hidden="false" customHeight="false" outlineLevel="0" collapsed="false">
      <c r="A15" s="16" t="s">
        <v>607</v>
      </c>
      <c r="B15" s="13" t="n">
        <f aca="false">IFERROR(SUMIFS('SKU Data'!$E$6:$E$505,'SKU Data'!$O$6:$O$505,$G$13,'SKU Data'!$C$6:$C$505,$A15&amp;"")/SUMIFS('SKU Data'!$E$6:$E$505,'SKU Data'!$O$6:$O$505,$G$13),0)</f>
        <v>0.0823764353469795</v>
      </c>
      <c r="C15" s="13" t="n">
        <f aca="false">IFERROR(SUMIFS('SKU Data'!$L$6:$L$505,'SKU Data'!$O$6:$O$505,$G$13,'SKU Data'!$C$6:$C$505,$A15&amp;"")/SUMIFS('SKU Data'!$L$6:$L$505,'SKU Data'!$O$6:$O$505,$G$13),0)</f>
        <v>0.0613938053097345</v>
      </c>
      <c r="D15" s="13" t="n">
        <f aca="false">IFERROR((SUMIFS('SKU Data'!$L$6:$L$505,'SKU Data'!$O$6:$O$505,$G$13,'SKU Data'!$C$6:$C$505,$A15&amp;"")+SUMIFS('SKU Data'!$T$6:$T$505,'SKU Data'!$O$6:$O$505,$G$13,'SKU Data'!$C$6:$C$505,$A15&amp;""))/(SUMIFS('SKU Data'!$L$6:$L$505,'SKU Data'!$O$6:$O$505,$G$13)+SUMIFS('SKU Data'!$T$6:$T$505,'SKU Data'!$O$6:$O$505,$G$13)),0)</f>
        <v>0.0609227391670732</v>
      </c>
      <c r="E15" s="30" t="n">
        <f aca="false">IFERROR(D15/B15,0)</f>
        <v>0.739565130616047</v>
      </c>
      <c r="F15" s="13" t="n">
        <f aca="false">IFERROR(SUMIFS('SKU Data'!$G$6:$G$505,'SKU Data'!$O$6:$O$505,$G$13,'SKU Data'!$C$6:$C$505,$A15&amp;"")/SUMIFS('SKU Data'!$G$6:$G$505,'SKU Data'!$O$6:$O$505,$G$13),0)</f>
        <v>0.12630359212051</v>
      </c>
      <c r="G15" s="28" t="str">
        <f aca="false">IF(B15=0,"",IF(E15&gt;1.2,"Under-bought",IF(E15&lt;0.8,"Over-bought","In line")))</f>
        <v>Over-bought</v>
      </c>
      <c r="H15" s="21" t="n">
        <f aca="false">D15</f>
        <v>0.0609227391670732</v>
      </c>
    </row>
    <row r="16" customFormat="false" ht="15" hidden="false" customHeight="false" outlineLevel="0" collapsed="false">
      <c r="A16" s="16" t="s">
        <v>609</v>
      </c>
      <c r="B16" s="13" t="n">
        <f aca="false">IFERROR(SUMIFS('SKU Data'!$E$6:$E$505,'SKU Data'!$O$6:$O$505,$G$13,'SKU Data'!$C$6:$C$505,$A16&amp;"")/SUMIFS('SKU Data'!$E$6:$E$505,'SKU Data'!$O$6:$O$505,$G$13),0)</f>
        <v>0.155891163255117</v>
      </c>
      <c r="C16" s="13" t="n">
        <f aca="false">IFERROR(SUMIFS('SKU Data'!$L$6:$L$505,'SKU Data'!$O$6:$O$505,$G$13,'SKU Data'!$C$6:$C$505,$A16&amp;"")/SUMIFS('SKU Data'!$L$6:$L$505,'SKU Data'!$O$6:$O$505,$G$13),0)</f>
        <v>0.14306784660767</v>
      </c>
      <c r="D16" s="13" t="n">
        <f aca="false">IFERROR((SUMIFS('SKU Data'!$L$6:$L$505,'SKU Data'!$O$6:$O$505,$G$13,'SKU Data'!$C$6:$C$505,$A16&amp;"")+SUMIFS('SKU Data'!$T$6:$T$505,'SKU Data'!$O$6:$O$505,$G$13,'SKU Data'!$C$6:$C$505,$A16&amp;""))/(SUMIFS('SKU Data'!$L$6:$L$505,'SKU Data'!$O$6:$O$505,$G$13)+SUMIFS('SKU Data'!$T$6:$T$505,'SKU Data'!$O$6:$O$505,$G$13)),0)</f>
        <v>0.141970106887834</v>
      </c>
      <c r="E16" s="30" t="n">
        <f aca="false">IFERROR(D16/B16,0)</f>
        <v>0.91070015723405</v>
      </c>
      <c r="F16" s="13" t="n">
        <f aca="false">IFERROR(SUMIFS('SKU Data'!$G$6:$G$505,'SKU Data'!$O$6:$O$505,$G$13,'SKU Data'!$C$6:$C$505,$A16&amp;"")/SUMIFS('SKU Data'!$G$6:$G$505,'SKU Data'!$O$6:$O$505,$G$13),0)</f>
        <v>0.182696021629973</v>
      </c>
      <c r="G16" s="28" t="str">
        <f aca="false">IF(B16=0,"",IF(E16&gt;1.2,"Under-bought",IF(E16&lt;0.8,"Over-bought","In line")))</f>
        <v>In line</v>
      </c>
      <c r="H16" s="21" t="n">
        <f aca="false">D16</f>
        <v>0.141970106887834</v>
      </c>
    </row>
    <row r="17" customFormat="false" ht="15" hidden="false" customHeight="false" outlineLevel="0" collapsed="false">
      <c r="A17" s="16" t="s">
        <v>611</v>
      </c>
      <c r="B17" s="13" t="n">
        <f aca="false">IFERROR(SUMIFS('SKU Data'!$E$6:$E$505,'SKU Data'!$O$6:$O$505,$G$13,'SKU Data'!$C$6:$C$505,$A17&amp;"")/SUMIFS('SKU Data'!$E$6:$E$505,'SKU Data'!$O$6:$O$505,$G$13),0)</f>
        <v>0.232026959560659</v>
      </c>
      <c r="C17" s="13" t="n">
        <f aca="false">IFERROR(SUMIFS('SKU Data'!$L$6:$L$505,'SKU Data'!$O$6:$O$505,$G$13,'SKU Data'!$C$6:$C$505,$A17&amp;"")/SUMIFS('SKU Data'!$L$6:$L$505,'SKU Data'!$O$6:$O$505,$G$13),0)</f>
        <v>0.25811209439528</v>
      </c>
      <c r="D17" s="13" t="n">
        <f aca="false">IFERROR((SUMIFS('SKU Data'!$L$6:$L$505,'SKU Data'!$O$6:$O$505,$G$13,'SKU Data'!$C$6:$C$505,$A17&amp;"")+SUMIFS('SKU Data'!$T$6:$T$505,'SKU Data'!$O$6:$O$505,$G$13,'SKU Data'!$C$6:$C$505,$A17&amp;""))/(SUMIFS('SKU Data'!$L$6:$L$505,'SKU Data'!$O$6:$O$505,$G$13)+SUMIFS('SKU Data'!$T$6:$T$505,'SKU Data'!$O$6:$O$505,$G$13)),0)</f>
        <v>0.257778196655874</v>
      </c>
      <c r="E17" s="30" t="n">
        <f aca="false">IFERROR(D17/B17,0)</f>
        <v>1.1109838147428</v>
      </c>
      <c r="F17" s="13" t="n">
        <f aca="false">IFERROR(SUMIFS('SKU Data'!$G$6:$G$505,'SKU Data'!$O$6:$O$505,$G$13,'SKU Data'!$C$6:$C$505,$A17&amp;"")/SUMIFS('SKU Data'!$G$6:$G$505,'SKU Data'!$O$6:$O$505,$G$13),0)</f>
        <v>0.17728852838934</v>
      </c>
      <c r="G17" s="28" t="str">
        <f aca="false">IF(B17=0,"",IF(E17&gt;1.2,"Under-bought",IF(E17&lt;0.8,"Over-bought","In line")))</f>
        <v>In line</v>
      </c>
      <c r="H17" s="21" t="n">
        <f aca="false">D17</f>
        <v>0.257778196655874</v>
      </c>
    </row>
    <row r="18" customFormat="false" ht="15" hidden="false" customHeight="false" outlineLevel="0" collapsed="false">
      <c r="A18" s="16" t="s">
        <v>613</v>
      </c>
      <c r="B18" s="13" t="n">
        <f aca="false">IFERROR(SUMIFS('SKU Data'!$E$6:$E$505,'SKU Data'!$O$6:$O$505,$G$13,'SKU Data'!$C$6:$C$505,$A18&amp;"")/SUMIFS('SKU Data'!$E$6:$E$505,'SKU Data'!$O$6:$O$505,$G$13),0)</f>
        <v>0.232026959560659</v>
      </c>
      <c r="C18" s="13" t="n">
        <f aca="false">IFERROR(SUMIFS('SKU Data'!$L$6:$L$505,'SKU Data'!$O$6:$O$505,$G$13,'SKU Data'!$C$6:$C$505,$A18&amp;"")/SUMIFS('SKU Data'!$L$6:$L$505,'SKU Data'!$O$6:$O$505,$G$13),0)</f>
        <v>0.259033923303835</v>
      </c>
      <c r="D18" s="13" t="n">
        <f aca="false">IFERROR((SUMIFS('SKU Data'!$L$6:$L$505,'SKU Data'!$O$6:$O$505,$G$13,'SKU Data'!$C$6:$C$505,$A18&amp;"")+SUMIFS('SKU Data'!$T$6:$T$505,'SKU Data'!$O$6:$O$505,$G$13,'SKU Data'!$C$6:$C$505,$A18&amp;""))/(SUMIFS('SKU Data'!$L$6:$L$505,'SKU Data'!$O$6:$O$505,$G$13)+SUMIFS('SKU Data'!$T$6:$T$505,'SKU Data'!$O$6:$O$505,$G$13)),0)</f>
        <v>0.262218920477225</v>
      </c>
      <c r="E18" s="30" t="n">
        <f aca="false">IFERROR(D18/B18,0)</f>
        <v>1.13012264166946</v>
      </c>
      <c r="F18" s="13" t="n">
        <f aca="false">IFERROR(SUMIFS('SKU Data'!$G$6:$G$505,'SKU Data'!$O$6:$O$505,$G$13,'SKU Data'!$C$6:$C$505,$A18&amp;"")/SUMIFS('SKU Data'!$G$6:$G$505,'SKU Data'!$O$6:$O$505,$G$13),0)</f>
        <v>0.175357280803399</v>
      </c>
      <c r="G18" s="28" t="str">
        <f aca="false">IF(B18=0,"",IF(E18&gt;1.2,"Under-bought",IF(E18&lt;0.8,"Over-bought","In line")))</f>
        <v>In line</v>
      </c>
      <c r="H18" s="21" t="n">
        <f aca="false">D18</f>
        <v>0.262218920477225</v>
      </c>
    </row>
    <row r="19" customFormat="false" ht="15" hidden="false" customHeight="false" outlineLevel="0" collapsed="false">
      <c r="A19" s="16" t="s">
        <v>615</v>
      </c>
      <c r="B19" s="13" t="n">
        <f aca="false">IFERROR(SUMIFS('SKU Data'!$E$6:$E$505,'SKU Data'!$O$6:$O$505,$G$13,'SKU Data'!$C$6:$C$505,$A19&amp;"")/SUMIFS('SKU Data'!$E$6:$E$505,'SKU Data'!$O$6:$O$505,$G$13),0)</f>
        <v>0.160509236145781</v>
      </c>
      <c r="C19" s="13" t="n">
        <f aca="false">IFERROR(SUMIFS('SKU Data'!$L$6:$L$505,'SKU Data'!$O$6:$O$505,$G$13,'SKU Data'!$C$6:$C$505,$A19&amp;"")/SUMIFS('SKU Data'!$L$6:$L$505,'SKU Data'!$O$6:$O$505,$G$13),0)</f>
        <v>0.177728613569322</v>
      </c>
      <c r="D19" s="13" t="n">
        <f aca="false">IFERROR((SUMIFS('SKU Data'!$L$6:$L$505,'SKU Data'!$O$6:$O$505,$G$13,'SKU Data'!$C$6:$C$505,$A19&amp;"")+SUMIFS('SKU Data'!$T$6:$T$505,'SKU Data'!$O$6:$O$505,$G$13,'SKU Data'!$C$6:$C$505,$A19&amp;""))/(SUMIFS('SKU Data'!$L$6:$L$505,'SKU Data'!$O$6:$O$505,$G$13)+SUMIFS('SKU Data'!$T$6:$T$505,'SKU Data'!$O$6:$O$505,$G$13)),0)</f>
        <v>0.177218698718233</v>
      </c>
      <c r="E19" s="30" t="n">
        <f aca="false">IFERROR(D19/B19,0)</f>
        <v>1.10410281036585</v>
      </c>
      <c r="F19" s="13" t="n">
        <f aca="false">IFERROR(SUMIFS('SKU Data'!$G$6:$G$505,'SKU Data'!$O$6:$O$505,$G$13,'SKU Data'!$C$6:$C$505,$A19&amp;"")/SUMIFS('SKU Data'!$G$6:$G$505,'SKU Data'!$O$6:$O$505,$G$13),0)</f>
        <v>0.124758594051757</v>
      </c>
      <c r="G19" s="28" t="str">
        <f aca="false">IF(B19=0,"",IF(E19&gt;1.2,"Under-bought",IF(E19&lt;0.8,"Over-bought","In line")))</f>
        <v>In line</v>
      </c>
      <c r="H19" s="21" t="n">
        <f aca="false">D19</f>
        <v>0.177218698718233</v>
      </c>
    </row>
    <row r="20" customFormat="false" ht="15" hidden="false" customHeight="false" outlineLevel="0" collapsed="false">
      <c r="A20" s="16" t="s">
        <v>617</v>
      </c>
      <c r="B20" s="13" t="n">
        <f aca="false">IFERROR(SUMIFS('SKU Data'!$E$6:$E$505,'SKU Data'!$O$6:$O$505,$G$13,'SKU Data'!$C$6:$C$505,$A20&amp;"")/SUMIFS('SKU Data'!$E$6:$E$505,'SKU Data'!$O$6:$O$505,$G$13),0)</f>
        <v>0.137169246130804</v>
      </c>
      <c r="C20" s="13" t="n">
        <f aca="false">IFERROR(SUMIFS('SKU Data'!$L$6:$L$505,'SKU Data'!$O$6:$O$505,$G$13,'SKU Data'!$C$6:$C$505,$A20&amp;"")/SUMIFS('SKU Data'!$L$6:$L$505,'SKU Data'!$O$6:$O$505,$G$13),0)</f>
        <v>0.100663716814159</v>
      </c>
      <c r="D20" s="13" t="n">
        <f aca="false">IFERROR((SUMIFS('SKU Data'!$L$6:$L$505,'SKU Data'!$O$6:$O$505,$G$13,'SKU Data'!$C$6:$C$505,$A20&amp;"")+SUMIFS('SKU Data'!$T$6:$T$505,'SKU Data'!$O$6:$O$505,$G$13,'SKU Data'!$C$6:$C$505,$A20&amp;""))/(SUMIFS('SKU Data'!$L$6:$L$505,'SKU Data'!$O$6:$O$505,$G$13)+SUMIFS('SKU Data'!$T$6:$T$505,'SKU Data'!$O$6:$O$505,$G$13)),0)</f>
        <v>0.0998913380937597</v>
      </c>
      <c r="E20" s="30" t="n">
        <f aca="false">IFERROR(D20/B20,0)</f>
        <v>0.728234213655326</v>
      </c>
      <c r="F20" s="13" t="n">
        <f aca="false">IFERROR(SUMIFS('SKU Data'!$G$6:$G$505,'SKU Data'!$O$6:$O$505,$G$13,'SKU Data'!$C$6:$C$505,$A20&amp;"")/SUMIFS('SKU Data'!$G$6:$G$505,'SKU Data'!$O$6:$O$505,$G$13),0)</f>
        <v>0.213595983005021</v>
      </c>
      <c r="G20" s="28" t="str">
        <f aca="false">IF(B20=0,"",IF(E20&gt;1.2,"Under-bought",IF(E20&lt;0.8,"Over-bought","In line")))</f>
        <v>Over-bought</v>
      </c>
      <c r="H20" s="21" t="n">
        <f aca="false">D20</f>
        <v>0.0998913380937597</v>
      </c>
    </row>
    <row r="22" customFormat="false" ht="15" hidden="false" customHeight="false" outlineLevel="0" collapsed="false">
      <c r="A22" s="8" t="s">
        <v>778</v>
      </c>
    </row>
  </sheetData>
  <sheetProtection sheet="true" formatColumns="false" formatRows="false" sort="false" autoFilter="false"/>
  <conditionalFormatting sqref="G6:G11">
    <cfRule type="cellIs" priority="2" operator="notEqual" aboveAverage="0" equalAverage="0" bottom="0" percent="0" rank="0" text="" dxfId="1">
      <formula>"In line"</formula>
    </cfRule>
  </conditionalFormatting>
  <conditionalFormatting sqref="G15:G20">
    <cfRule type="cellIs" priority="3" operator="notEqual" aboveAverage="0" equalAverage="0" bottom="0" percent="0" rank="0" text="" dxfId="1">
      <formula>"In line"</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30"/>
    <col collapsed="false" customWidth="true" hidden="false" outlineLevel="0" max="4" min="4" style="0" width="18"/>
    <col collapsed="false" customWidth="true" hidden="false" outlineLevel="0" max="5" min="5" style="0" width="44"/>
    <col collapsed="false" customWidth="true" hidden="false" outlineLevel="0" max="6" min="6" style="0" width="24"/>
  </cols>
  <sheetData>
    <row r="1" customFormat="false" ht="17.35" hidden="false" customHeight="false" outlineLevel="0" collapsed="false">
      <c r="A1" s="1" t="s">
        <v>779</v>
      </c>
    </row>
    <row r="2" customFormat="false" ht="15" hidden="false" customHeight="false" outlineLevel="0" collapsed="false">
      <c r="A2" s="2" t="s">
        <v>780</v>
      </c>
    </row>
    <row r="4" customFormat="false" ht="15" hidden="false" customHeight="false" outlineLevel="0" collapsed="false">
      <c r="A4" s="8" t="s">
        <v>65</v>
      </c>
      <c r="B4" s="9" t="str">
        <f aca="false">Settings!$B$6</f>
        <v>AW26</v>
      </c>
      <c r="C4" s="8" t="s">
        <v>781</v>
      </c>
      <c r="D4" s="31" t="n">
        <f aca="false">Settings!$B$5</f>
        <v>46396</v>
      </c>
    </row>
    <row r="6" customFormat="false" ht="15" hidden="false" customHeight="false" outlineLevel="0" collapsed="false">
      <c r="A6" s="10" t="s">
        <v>782</v>
      </c>
      <c r="B6" s="10"/>
      <c r="C6" s="10"/>
      <c r="D6" s="10"/>
      <c r="E6" s="10"/>
      <c r="F6" s="10"/>
    </row>
    <row r="7" customFormat="false" ht="15" hidden="false" customHeight="false" outlineLevel="0" collapsed="false">
      <c r="A7" s="8" t="s">
        <v>38</v>
      </c>
      <c r="B7" s="13" t="n">
        <f aca="false">IFERROR(SUM('Option Analysis'!$O$6:$O$85)/(SUM('Option Analysis'!$E$6:$E$85)-SUM('Option Analysis'!$F$6:$F$85)),0)</f>
        <v>0.594235952726519</v>
      </c>
    </row>
    <row r="8" customFormat="false" ht="15" hidden="false" customHeight="false" outlineLevel="0" collapsed="false">
      <c r="A8" s="8" t="s">
        <v>39</v>
      </c>
      <c r="B8" s="13" t="n">
        <f aca="false">IFERROR(SUM('Option Analysis'!$P$6:$P$85)/(SUM('Option Analysis'!$E$6:$E$85)-SUM('Option Analysis'!$F$6:$F$85)),0)</f>
        <v>0.490540120257101</v>
      </c>
    </row>
    <row r="9" customFormat="false" ht="15" hidden="false" customHeight="false" outlineLevel="0" collapsed="false">
      <c r="A9" s="8" t="s">
        <v>40</v>
      </c>
      <c r="B9" s="13" t="n">
        <f aca="false">IFERROR(SUMPRODUCT('Option Analysis'!$AQ$6:$AQ$85*'Option Analysis'!$M$6:$M$85*'Option Analysis'!$Y$6:$Y$85)/SUMPRODUCT('Option Analysis'!$AQ$6:$AQ$85*'Option Analysis'!$M$6:$M$85),0)</f>
        <v>0.970720394260038</v>
      </c>
    </row>
    <row r="11" customFormat="false" ht="15" hidden="false" customHeight="false" outlineLevel="0" collapsed="false">
      <c r="A11" s="10" t="s">
        <v>783</v>
      </c>
      <c r="B11" s="10"/>
      <c r="C11" s="10"/>
      <c r="D11" s="10"/>
      <c r="E11" s="10"/>
      <c r="F11" s="10"/>
    </row>
    <row r="12" customFormat="false" ht="15" hidden="false" customHeight="false" outlineLevel="0" collapsed="false">
      <c r="A12" s="8" t="s">
        <v>44</v>
      </c>
      <c r="B12" s="14" t="n">
        <f aca="false">SUM('Option Analysis'!$AG$6:$AG$85)</f>
        <v>543935.8</v>
      </c>
    </row>
    <row r="13" customFormat="false" ht="15" hidden="false" customHeight="false" outlineLevel="0" collapsed="false">
      <c r="A13" s="8" t="s">
        <v>45</v>
      </c>
      <c r="B13" s="14" t="n">
        <f aca="false">SUM('Option Analysis'!$AJ$6:$AJ$85)</f>
        <v>441779.64</v>
      </c>
    </row>
    <row r="14" customFormat="false" ht="15" hidden="false" customHeight="false" outlineLevel="0" collapsed="false">
      <c r="A14" s="8" t="s">
        <v>46</v>
      </c>
      <c r="B14" s="14" t="n">
        <f aca="false">SUM('Option Analysis'!$AI$6:$AI$85)</f>
        <v>465031.2</v>
      </c>
    </row>
    <row r="15" customFormat="false" ht="15" hidden="false" customHeight="false" outlineLevel="0" collapsed="false">
      <c r="A15" s="8" t="s">
        <v>47</v>
      </c>
      <c r="B15" s="14" t="n">
        <f aca="false">SUM('Option Analysis'!$AK$6:$AK$85)</f>
        <v>11425.7424242424</v>
      </c>
    </row>
    <row r="16" customFormat="false" ht="15" hidden="false" customHeight="false" outlineLevel="0" collapsed="false">
      <c r="A16" s="8" t="s">
        <v>41</v>
      </c>
      <c r="B16" s="11" t="n">
        <f aca="false">COUNTIF('Option Analysis'!$W$6:$W$85,"Y")</f>
        <v>7</v>
      </c>
    </row>
    <row r="17" customFormat="false" ht="15" hidden="false" customHeight="false" outlineLevel="0" collapsed="false">
      <c r="A17" s="8" t="s">
        <v>42</v>
      </c>
      <c r="B17" s="11" t="n">
        <f aca="false">COUNTIF('Option Analysis'!$X$6:$X$85,"Y")</f>
        <v>3</v>
      </c>
    </row>
    <row r="19" customFormat="false" ht="15" hidden="false" customHeight="false" outlineLevel="0" collapsed="false">
      <c r="A19" s="10" t="s">
        <v>784</v>
      </c>
      <c r="B19" s="10"/>
      <c r="C19" s="10"/>
      <c r="D19" s="10"/>
      <c r="E19" s="10"/>
      <c r="F19" s="10"/>
    </row>
    <row r="20" customFormat="false" ht="30" hidden="false" customHeight="true" outlineLevel="0" collapsed="false">
      <c r="A20" s="15" t="s">
        <v>785</v>
      </c>
      <c r="B20" s="15" t="s">
        <v>748</v>
      </c>
      <c r="C20" s="15" t="s">
        <v>705</v>
      </c>
      <c r="D20" s="15" t="s">
        <v>786</v>
      </c>
      <c r="E20" s="15" t="s">
        <v>51</v>
      </c>
      <c r="F20" s="15" t="s">
        <v>53</v>
      </c>
    </row>
    <row r="21" customFormat="false" ht="15" hidden="false" customHeight="false" outlineLevel="0" collapsed="false">
      <c r="A21" s="8" t="n">
        <v>1</v>
      </c>
      <c r="B21" s="9" t="str">
        <f aca="false">IF(LARGE('Option Analysis'!$AS$6:$AS$85,1)&gt;0.001,INDEX('Option Analysis'!$A$6:$A$85,MATCH(LARGE('Option Analysis'!$AS$6:$AS$85,1),'Option Analysis'!$AS$6:$AS$85,0)),"")</f>
        <v>OPT014</v>
      </c>
      <c r="C21" s="9" t="str">
        <f aca="false">IF(LARGE('Option Analysis'!$AS$6:$AS$85,1)&gt;0.001,INDEX('Option Analysis'!$B$6:$B$85,MATCH(LARGE('Option Analysis'!$AS$6:$AS$85,1),'Option Analysis'!$AS$6:$AS$85,0)),"")</f>
        <v>Parka Cobalt</v>
      </c>
      <c r="D21" s="14" t="n">
        <f aca="false">IF(LARGE('Option Analysis'!$AS$6:$AS$85,1)&gt;0.001,INDEX('Option Analysis'!$AK$6:$AK$85,MATCH(LARGE('Option Analysis'!$AS$6:$AS$85,1),'Option Analysis'!$AS$6:$AS$85,0)),"")</f>
        <v>5670</v>
      </c>
      <c r="E21" s="9" t="str">
        <f aca="false">IF(LARGE('Option Analysis'!$AS$6:$AS$85,1)&gt;0.001,INDEX('Option Analysis'!$AM$6:$AM$85,MATCH(LARGE('Option Analysis'!$AS$6:$AS$85,1),'Option Analysis'!$AS$6:$AS$85,0)),"")</f>
        <v>Fix the size curve or exit</v>
      </c>
      <c r="F21" s="9" t="str">
        <f aca="false">IF(LARGE('Option Analysis'!$AS$6:$AS$85,1)&gt;0.001,INDEX('Option Analysis'!$AF$6:$AF$85,MATCH(LARGE('Option Analysis'!$AS$6:$AS$85,1),'Option Analysis'!$AS$6:$AS$85,0)),"")</f>
        <v>Merchandiser</v>
      </c>
    </row>
    <row r="22" customFormat="false" ht="15" hidden="false" customHeight="false" outlineLevel="0" collapsed="false">
      <c r="A22" s="8" t="n">
        <v>2</v>
      </c>
      <c r="B22" s="9" t="str">
        <f aca="false">IF(LARGE('Option Analysis'!$AS$6:$AS$85,2)&gt;0.001,INDEX('Option Analysis'!$A$6:$A$85,MATCH(LARGE('Option Analysis'!$AS$6:$AS$85,2),'Option Analysis'!$AS$6:$AS$85,0)),"")</f>
        <v>OPT018</v>
      </c>
      <c r="C22" s="9" t="str">
        <f aca="false">IF(LARGE('Option Analysis'!$AS$6:$AS$85,2)&gt;0.001,INDEX('Option Analysis'!$B$6:$B$85,MATCH(LARGE('Option Analysis'!$AS$6:$AS$85,2),'Option Analysis'!$AS$6:$AS$85,0)),"")</f>
        <v>Lambswool crew Cream</v>
      </c>
      <c r="D22" s="14" t="n">
        <f aca="false">IF(LARGE('Option Analysis'!$AS$6:$AS$85,2)&gt;0.001,INDEX('Option Analysis'!$AK$6:$AK$85,MATCH(LARGE('Option Analysis'!$AS$6:$AS$85,2),'Option Analysis'!$AS$6:$AS$85,0)),"")</f>
        <v>2227</v>
      </c>
      <c r="E22" s="9" t="str">
        <f aca="false">IF(LARGE('Option Analysis'!$AS$6:$AS$85,2)&gt;0.001,INDEX('Option Analysis'!$AM$6:$AM$85,MATCH(LARGE('Option Analysis'!$AS$6:$AS$85,2),'Option Analysis'!$AS$6:$AS$85,0)),"")</f>
        <v>Reorder core sizes, or transfer them in</v>
      </c>
      <c r="F22" s="9" t="str">
        <f aca="false">IF(LARGE('Option Analysis'!$AS$6:$AS$85,2)&gt;0.001,INDEX('Option Analysis'!$AF$6:$AF$85,MATCH(LARGE('Option Analysis'!$AS$6:$AS$85,2),'Option Analysis'!$AS$6:$AS$85,0)),"")</f>
        <v>Merchandiser</v>
      </c>
    </row>
    <row r="23" customFormat="false" ht="15" hidden="false" customHeight="false" outlineLevel="0" collapsed="false">
      <c r="A23" s="8" t="n">
        <v>3</v>
      </c>
      <c r="B23" s="9" t="str">
        <f aca="false">IF(LARGE('Option Analysis'!$AS$6:$AS$85,3)&gt;0.001,INDEX('Option Analysis'!$A$6:$A$85,MATCH(LARGE('Option Analysis'!$AS$6:$AS$85,3),'Option Analysis'!$AS$6:$AS$85,0)),"")</f>
        <v>OPT054</v>
      </c>
      <c r="C23" s="9" t="str">
        <f aca="false">IF(LARGE('Option Analysis'!$AS$6:$AS$85,3)&gt;0.001,INDEX('Option Analysis'!$B$6:$B$85,MATCH(LARGE('Option Analysis'!$AS$6:$AS$85,3),'Option Analysis'!$AS$6:$AS$85,0)),"")</f>
        <v>Slim chino Rust</v>
      </c>
      <c r="D23" s="14" t="n">
        <f aca="false">IF(LARGE('Option Analysis'!$AS$6:$AS$85,3)&gt;0.001,INDEX('Option Analysis'!$AK$6:$AK$85,MATCH(LARGE('Option Analysis'!$AS$6:$AS$85,3),'Option Analysis'!$AS$6:$AS$85,0)),"")</f>
        <v>1331.90909090909</v>
      </c>
      <c r="E23" s="9" t="str">
        <f aca="false">IF(LARGE('Option Analysis'!$AS$6:$AS$85,3)&gt;0.001,INDEX('Option Analysis'!$AM$6:$AM$85,MATCH(LARGE('Option Analysis'!$AS$6:$AS$85,3),'Option Analysis'!$AS$6:$AS$85,0)),"")</f>
        <v>Mark down or re-merchandise</v>
      </c>
      <c r="F23" s="9" t="str">
        <f aca="false">IF(LARGE('Option Analysis'!$AS$6:$AS$85,3)&gt;0.001,INDEX('Option Analysis'!$AF$6:$AF$85,MATCH(LARGE('Option Analysis'!$AS$6:$AS$85,3),'Option Analysis'!$AS$6:$AS$85,0)),"")</f>
        <v>Trading Manager</v>
      </c>
    </row>
    <row r="24" customFormat="false" ht="15" hidden="false" customHeight="false" outlineLevel="0" collapsed="false">
      <c r="A24" s="8" t="n">
        <v>4</v>
      </c>
      <c r="B24" s="9" t="str">
        <f aca="false">IF(LARGE('Option Analysis'!$AS$6:$AS$85,4)&gt;0.001,INDEX('Option Analysis'!$A$6:$A$85,MATCH(LARGE('Option Analysis'!$AS$6:$AS$85,4),'Option Analysis'!$AS$6:$AS$85,0)),"")</f>
        <v>OPT045</v>
      </c>
      <c r="C24" s="9" t="str">
        <f aca="false">IF(LARGE('Option Analysis'!$AS$6:$AS$85,4)&gt;0.001,INDEX('Option Analysis'!$B$6:$B$85,MATCH(LARGE('Option Analysis'!$AS$6:$AS$85,4),'Option Analysis'!$AS$6:$AS$85,0)),"")</f>
        <v>Button-down shirt Black</v>
      </c>
      <c r="D24" s="14" t="n">
        <f aca="false">IF(LARGE('Option Analysis'!$AS$6:$AS$85,4)&gt;0.001,INDEX('Option Analysis'!$AK$6:$AK$85,MATCH(LARGE('Option Analysis'!$AS$6:$AS$85,4),'Option Analysis'!$AS$6:$AS$85,0)),"")</f>
        <v>896</v>
      </c>
      <c r="E24" s="9" t="str">
        <f aca="false">IF(LARGE('Option Analysis'!$AS$6:$AS$85,4)&gt;0.001,INDEX('Option Analysis'!$AM$6:$AM$85,MATCH(LARGE('Option Analysis'!$AS$6:$AS$85,4),'Option Analysis'!$AS$6:$AS$85,0)),"")</f>
        <v>Reorder core sizes, or transfer them in</v>
      </c>
      <c r="F24" s="9" t="str">
        <f aca="false">IF(LARGE('Option Analysis'!$AS$6:$AS$85,4)&gt;0.001,INDEX('Option Analysis'!$AF$6:$AF$85,MATCH(LARGE('Option Analysis'!$AS$6:$AS$85,4),'Option Analysis'!$AS$6:$AS$85,0)),"")</f>
        <v>Merchandiser</v>
      </c>
    </row>
    <row r="25" customFormat="false" ht="15" hidden="false" customHeight="false" outlineLevel="0" collapsed="false">
      <c r="A25" s="8" t="n">
        <v>5</v>
      </c>
      <c r="B25" s="9" t="str">
        <f aca="false">IF(LARGE('Option Analysis'!$AS$6:$AS$85,5)&gt;0.001,INDEX('Option Analysis'!$A$6:$A$85,MATCH(LARGE('Option Analysis'!$AS$6:$AS$85,5),'Option Analysis'!$AS$6:$AS$85,0)),"")</f>
        <v>OPT037</v>
      </c>
      <c r="C25" s="9" t="str">
        <f aca="false">IF(LARGE('Option Analysis'!$AS$6:$AS$85,5)&gt;0.001,INDEX('Option Analysis'!$B$6:$B$85,MATCH(LARGE('Option Analysis'!$AS$6:$AS$85,5),'Option Analysis'!$AS$6:$AS$85,0)),"")</f>
        <v>Button-down shirt Tan</v>
      </c>
      <c r="D25" s="14" t="n">
        <f aca="false">IF(LARGE('Option Analysis'!$AS$6:$AS$85,5)&gt;0.001,INDEX('Option Analysis'!$AK$6:$AK$85,MATCH(LARGE('Option Analysis'!$AS$6:$AS$85,5),'Option Analysis'!$AS$6:$AS$85,0)),"")</f>
        <v>724.5</v>
      </c>
      <c r="E25" s="9" t="str">
        <f aca="false">IF(LARGE('Option Analysis'!$AS$6:$AS$85,5)&gt;0.001,INDEX('Option Analysis'!$AM$6:$AM$85,MATCH(LARGE('Option Analysis'!$AS$6:$AS$85,5),'Option Analysis'!$AS$6:$AS$85,0)),"")</f>
        <v>Chase the purchase order for core sizes</v>
      </c>
      <c r="F25" s="9" t="str">
        <f aca="false">IF(LARGE('Option Analysis'!$AS$6:$AS$85,5)&gt;0.001,INDEX('Option Analysis'!$AF$6:$AF$85,MATCH(LARGE('Option Analysis'!$AS$6:$AS$85,5),'Option Analysis'!$AS$6:$AS$85,0)),"")</f>
        <v>Merchandiser</v>
      </c>
    </row>
    <row r="26" customFormat="false" ht="15" hidden="false" customHeight="false" outlineLevel="0" collapsed="false">
      <c r="A26" s="8" t="n">
        <v>6</v>
      </c>
      <c r="B26" s="9" t="str">
        <f aca="false">IF(LARGE('Option Analysis'!$AS$6:$AS$85,6)&gt;0.001,INDEX('Option Analysis'!$A$6:$A$85,MATCH(LARGE('Option Analysis'!$AS$6:$AS$85,6),'Option Analysis'!$AS$6:$AS$85,0)),"")</f>
        <v>OPT053</v>
      </c>
      <c r="C26" s="9" t="str">
        <f aca="false">IF(LARGE('Option Analysis'!$AS$6:$AS$85,6)&gt;0.001,INDEX('Option Analysis'!$B$6:$B$85,MATCH(LARGE('Option Analysis'!$AS$6:$AS$85,6),'Option Analysis'!$AS$6:$AS$85,0)),"")</f>
        <v>Cord trouser Burgundy</v>
      </c>
      <c r="D26" s="14" t="n">
        <f aca="false">IF(LARGE('Option Analysis'!$AS$6:$AS$85,6)&gt;0.001,INDEX('Option Analysis'!$AK$6:$AK$85,MATCH(LARGE('Option Analysis'!$AS$6:$AS$85,6),'Option Analysis'!$AS$6:$AS$85,0)),"")</f>
        <v>576.333333333333</v>
      </c>
      <c r="E26" s="9" t="str">
        <f aca="false">IF(LARGE('Option Analysis'!$AS$6:$AS$85,6)&gt;0.001,INDEX('Option Analysis'!$AM$6:$AM$85,MATCH(LARGE('Option Analysis'!$AS$6:$AS$85,6),'Option Analysis'!$AS$6:$AS$85,0)),"")</f>
        <v>Chase the purchase order for core sizes</v>
      </c>
      <c r="F26" s="9" t="str">
        <f aca="false">IF(LARGE('Option Analysis'!$AS$6:$AS$85,6)&gt;0.001,INDEX('Option Analysis'!$AF$6:$AF$85,MATCH(LARGE('Option Analysis'!$AS$6:$AS$85,6),'Option Analysis'!$AS$6:$AS$85,0)),"")</f>
        <v>Merchandiser</v>
      </c>
    </row>
    <row r="27" customFormat="false" ht="15" hidden="false" customHeight="false" outlineLevel="0" collapsed="false">
      <c r="A27" s="8" t="n">
        <v>7</v>
      </c>
      <c r="B27" s="9" t="str">
        <f aca="false">IF(LARGE('Option Analysis'!$AS$6:$AS$85,7)&gt;0.001,INDEX('Option Analysis'!$A$6:$A$85,MATCH(LARGE('Option Analysis'!$AS$6:$AS$85,7),'Option Analysis'!$AS$6:$AS$85,0)),"")</f>
        <v/>
      </c>
      <c r="C27" s="9" t="str">
        <f aca="false">IF(LARGE('Option Analysis'!$AS$6:$AS$85,7)&gt;0.001,INDEX('Option Analysis'!$B$6:$B$85,MATCH(LARGE('Option Analysis'!$AS$6:$AS$85,7),'Option Analysis'!$AS$6:$AS$85,0)),"")</f>
        <v/>
      </c>
      <c r="D27" s="14" t="str">
        <f aca="false">IF(LARGE('Option Analysis'!$AS$6:$AS$85,7)&gt;0.001,INDEX('Option Analysis'!$AK$6:$AK$85,MATCH(LARGE('Option Analysis'!$AS$6:$AS$85,7),'Option Analysis'!$AS$6:$AS$85,0)),"")</f>
        <v/>
      </c>
      <c r="E27" s="9" t="str">
        <f aca="false">IF(LARGE('Option Analysis'!$AS$6:$AS$85,7)&gt;0.001,INDEX('Option Analysis'!$AM$6:$AM$85,MATCH(LARGE('Option Analysis'!$AS$6:$AS$85,7),'Option Analysis'!$AS$6:$AS$85,0)),"")</f>
        <v/>
      </c>
      <c r="F27" s="9" t="str">
        <f aca="false">IF(LARGE('Option Analysis'!$AS$6:$AS$85,7)&gt;0.001,INDEX('Option Analysis'!$AF$6:$AF$85,MATCH(LARGE('Option Analysis'!$AS$6:$AS$85,7),'Option Analysis'!$AS$6:$AS$85,0)),"")</f>
        <v/>
      </c>
    </row>
    <row r="28" customFormat="false" ht="15" hidden="false" customHeight="false" outlineLevel="0" collapsed="false">
      <c r="A28" s="8" t="n">
        <v>8</v>
      </c>
      <c r="B28" s="9" t="str">
        <f aca="false">IF(LARGE('Option Analysis'!$AS$6:$AS$85,8)&gt;0.001,INDEX('Option Analysis'!$A$6:$A$85,MATCH(LARGE('Option Analysis'!$AS$6:$AS$85,8),'Option Analysis'!$AS$6:$AS$85,0)),"")</f>
        <v/>
      </c>
      <c r="C28" s="9" t="str">
        <f aca="false">IF(LARGE('Option Analysis'!$AS$6:$AS$85,8)&gt;0.001,INDEX('Option Analysis'!$B$6:$B$85,MATCH(LARGE('Option Analysis'!$AS$6:$AS$85,8),'Option Analysis'!$AS$6:$AS$85,0)),"")</f>
        <v/>
      </c>
      <c r="D28" s="14" t="str">
        <f aca="false">IF(LARGE('Option Analysis'!$AS$6:$AS$85,8)&gt;0.001,INDEX('Option Analysis'!$AK$6:$AK$85,MATCH(LARGE('Option Analysis'!$AS$6:$AS$85,8),'Option Analysis'!$AS$6:$AS$85,0)),"")</f>
        <v/>
      </c>
      <c r="E28" s="9" t="str">
        <f aca="false">IF(LARGE('Option Analysis'!$AS$6:$AS$85,8)&gt;0.001,INDEX('Option Analysis'!$AM$6:$AM$85,MATCH(LARGE('Option Analysis'!$AS$6:$AS$85,8),'Option Analysis'!$AS$6:$AS$85,0)),"")</f>
        <v/>
      </c>
      <c r="F28" s="9" t="str">
        <f aca="false">IF(LARGE('Option Analysis'!$AS$6:$AS$85,8)&gt;0.001,INDEX('Option Analysis'!$AF$6:$AF$85,MATCH(LARGE('Option Analysis'!$AS$6:$AS$85,8),'Option Analysis'!$AS$6:$AS$85,0)),"")</f>
        <v/>
      </c>
    </row>
    <row r="29" customFormat="false" ht="15" hidden="false" customHeight="false" outlineLevel="0" collapsed="false">
      <c r="A29" s="8" t="n">
        <v>9</v>
      </c>
      <c r="B29" s="9" t="str">
        <f aca="false">IF(LARGE('Option Analysis'!$AS$6:$AS$85,9)&gt;0.001,INDEX('Option Analysis'!$A$6:$A$85,MATCH(LARGE('Option Analysis'!$AS$6:$AS$85,9),'Option Analysis'!$AS$6:$AS$85,0)),"")</f>
        <v/>
      </c>
      <c r="C29" s="9" t="str">
        <f aca="false">IF(LARGE('Option Analysis'!$AS$6:$AS$85,9)&gt;0.001,INDEX('Option Analysis'!$B$6:$B$85,MATCH(LARGE('Option Analysis'!$AS$6:$AS$85,9),'Option Analysis'!$AS$6:$AS$85,0)),"")</f>
        <v/>
      </c>
      <c r="D29" s="14" t="str">
        <f aca="false">IF(LARGE('Option Analysis'!$AS$6:$AS$85,9)&gt;0.001,INDEX('Option Analysis'!$AK$6:$AK$85,MATCH(LARGE('Option Analysis'!$AS$6:$AS$85,9),'Option Analysis'!$AS$6:$AS$85,0)),"")</f>
        <v/>
      </c>
      <c r="E29" s="9" t="str">
        <f aca="false">IF(LARGE('Option Analysis'!$AS$6:$AS$85,9)&gt;0.001,INDEX('Option Analysis'!$AM$6:$AM$85,MATCH(LARGE('Option Analysis'!$AS$6:$AS$85,9),'Option Analysis'!$AS$6:$AS$85,0)),"")</f>
        <v/>
      </c>
      <c r="F29" s="9" t="str">
        <f aca="false">IF(LARGE('Option Analysis'!$AS$6:$AS$85,9)&gt;0.001,INDEX('Option Analysis'!$AF$6:$AF$85,MATCH(LARGE('Option Analysis'!$AS$6:$AS$85,9),'Option Analysis'!$AS$6:$AS$85,0)),"")</f>
        <v/>
      </c>
    </row>
    <row r="30" customFormat="false" ht="15" hidden="false" customHeight="false" outlineLevel="0" collapsed="false">
      <c r="A30" s="8" t="n">
        <v>10</v>
      </c>
      <c r="B30" s="9" t="str">
        <f aca="false">IF(LARGE('Option Analysis'!$AS$6:$AS$85,10)&gt;0.001,INDEX('Option Analysis'!$A$6:$A$85,MATCH(LARGE('Option Analysis'!$AS$6:$AS$85,10),'Option Analysis'!$AS$6:$AS$85,0)),"")</f>
        <v/>
      </c>
      <c r="C30" s="9" t="str">
        <f aca="false">IF(LARGE('Option Analysis'!$AS$6:$AS$85,10)&gt;0.001,INDEX('Option Analysis'!$B$6:$B$85,MATCH(LARGE('Option Analysis'!$AS$6:$AS$85,10),'Option Analysis'!$AS$6:$AS$85,0)),"")</f>
        <v/>
      </c>
      <c r="D30" s="14" t="str">
        <f aca="false">IF(LARGE('Option Analysis'!$AS$6:$AS$85,10)&gt;0.001,INDEX('Option Analysis'!$AK$6:$AK$85,MATCH(LARGE('Option Analysis'!$AS$6:$AS$85,10),'Option Analysis'!$AS$6:$AS$85,0)),"")</f>
        <v/>
      </c>
      <c r="E30" s="9" t="str">
        <f aca="false">IF(LARGE('Option Analysis'!$AS$6:$AS$85,10)&gt;0.001,INDEX('Option Analysis'!$AM$6:$AM$85,MATCH(LARGE('Option Analysis'!$AS$6:$AS$85,10),'Option Analysis'!$AS$6:$AS$85,0)),"")</f>
        <v/>
      </c>
      <c r="F30" s="9" t="str">
        <f aca="false">IF(LARGE('Option Analysis'!$AS$6:$AS$85,10)&gt;0.001,INDEX('Option Analysis'!$AF$6:$AF$85,MATCH(LARGE('Option Analysis'!$AS$6:$AS$85,10),'Option Analysis'!$AS$6:$AS$85,0)),"")</f>
        <v/>
      </c>
    </row>
    <row r="32" customFormat="false" ht="15" hidden="false" customHeight="false" outlineLevel="0" collapsed="false">
      <c r="A32" s="10" t="s">
        <v>787</v>
      </c>
      <c r="B32" s="10"/>
      <c r="C32" s="10"/>
      <c r="D32" s="10"/>
      <c r="E32" s="10"/>
      <c r="F32" s="10"/>
    </row>
    <row r="33" customFormat="false" ht="30" hidden="false" customHeight="true" outlineLevel="0" collapsed="false">
      <c r="A33" s="15" t="s">
        <v>785</v>
      </c>
      <c r="B33" s="15" t="s">
        <v>748</v>
      </c>
      <c r="C33" s="15" t="s">
        <v>705</v>
      </c>
      <c r="D33" s="15" t="s">
        <v>731</v>
      </c>
      <c r="E33" s="15" t="s">
        <v>51</v>
      </c>
      <c r="F33" s="15" t="s">
        <v>53</v>
      </c>
    </row>
    <row r="34" customFormat="false" ht="15" hidden="false" customHeight="false" outlineLevel="0" collapsed="false">
      <c r="A34" s="8" t="n">
        <v>1</v>
      </c>
      <c r="B34" s="9" t="str">
        <f aca="false">IF(LARGE('Option Analysis'!$AT$6:$AT$85,1)&gt;0.001,INDEX('Option Analysis'!$A$6:$A$85,MATCH(LARGE('Option Analysis'!$AT$6:$AT$85,1),'Option Analysis'!$AT$6:$AT$85,0)),"")</f>
        <v>OPT013</v>
      </c>
      <c r="C34" s="9" t="str">
        <f aca="false">IF(LARGE('Option Analysis'!$AT$6:$AT$85,1)&gt;0.001,INDEX('Option Analysis'!$B$6:$B$85,MATCH(LARGE('Option Analysis'!$AT$6:$AT$85,1),'Option Analysis'!$AT$6:$AT$85,0)),"")</f>
        <v>Harrington jacket Mustard</v>
      </c>
      <c r="D34" s="14" t="n">
        <f aca="false">IF(LARGE('Option Analysis'!$AT$6:$AT$85,1)&gt;0.001,INDEX('Option Analysis'!$AI$6:$AI$85,MATCH(LARGE('Option Analysis'!$AT$6:$AT$85,1),'Option Analysis'!$AT$6:$AT$85,0)),"")</f>
        <v>45020.16</v>
      </c>
      <c r="E34" s="9" t="str">
        <f aca="false">IF(LARGE('Option Analysis'!$AT$6:$AT$85,1)&gt;0.001,INDEX('Option Analysis'!$AM$6:$AM$85,MATCH(LARGE('Option Analysis'!$AT$6:$AT$85,1),'Option Analysis'!$AT$6:$AT$85,0)),"")</f>
        <v>Leave it: it is doing a range job (check the evidence)</v>
      </c>
      <c r="F34" s="9" t="str">
        <f aca="false">IF(LARGE('Option Analysis'!$AT$6:$AT$85,1)&gt;0.001,INDEX('Option Analysis'!$AF$6:$AF$85,MATCH(LARGE('Option Analysis'!$AT$6:$AT$85,1),'Option Analysis'!$AT$6:$AT$85,0)),"")</f>
        <v>Merchandise Director</v>
      </c>
    </row>
    <row r="35" customFormat="false" ht="15" hidden="false" customHeight="false" outlineLevel="0" collapsed="false">
      <c r="A35" s="8" t="n">
        <v>2</v>
      </c>
      <c r="B35" s="9" t="str">
        <f aca="false">IF(LARGE('Option Analysis'!$AT$6:$AT$85,2)&gt;0.001,INDEX('Option Analysis'!$A$6:$A$85,MATCH(LARGE('Option Analysis'!$AT$6:$AT$85,2),'Option Analysis'!$AT$6:$AT$85,0)),"")</f>
        <v>OPT012</v>
      </c>
      <c r="C35" s="9" t="str">
        <f aca="false">IF(LARGE('Option Analysis'!$AT$6:$AT$85,2)&gt;0.001,INDEX('Option Analysis'!$B$6:$B$85,MATCH(LARGE('Option Analysis'!$AT$6:$AT$85,2),'Option Analysis'!$AT$6:$AT$85,0)),"")</f>
        <v>Car coat Mustard</v>
      </c>
      <c r="D35" s="14" t="n">
        <f aca="false">IF(LARGE('Option Analysis'!$AT$6:$AT$85,2)&gt;0.001,INDEX('Option Analysis'!$AI$6:$AI$85,MATCH(LARGE('Option Analysis'!$AT$6:$AT$85,2),'Option Analysis'!$AT$6:$AT$85,0)),"")</f>
        <v>42033.6</v>
      </c>
      <c r="E35" s="9" t="str">
        <f aca="false">IF(LARGE('Option Analysis'!$AT$6:$AT$85,2)&gt;0.001,INDEX('Option Analysis'!$AM$6:$AM$85,MATCH(LARGE('Option Analysis'!$AT$6:$AT$85,2),'Option Analysis'!$AT$6:$AT$85,0)),"")</f>
        <v>Mark down or re-merchandise</v>
      </c>
      <c r="F35" s="9" t="str">
        <f aca="false">IF(LARGE('Option Analysis'!$AT$6:$AT$85,2)&gt;0.001,INDEX('Option Analysis'!$AF$6:$AF$85,MATCH(LARGE('Option Analysis'!$AT$6:$AT$85,2),'Option Analysis'!$AT$6:$AT$85,0)),"")</f>
        <v>Trading Manager</v>
      </c>
    </row>
    <row r="36" customFormat="false" ht="15" hidden="false" customHeight="false" outlineLevel="0" collapsed="false">
      <c r="A36" s="8" t="n">
        <v>3</v>
      </c>
      <c r="B36" s="9" t="str">
        <f aca="false">IF(LARGE('Option Analysis'!$AT$6:$AT$85,3)&gt;0.001,INDEX('Option Analysis'!$A$6:$A$85,MATCH(LARGE('Option Analysis'!$AT$6:$AT$85,3),'Option Analysis'!$AT$6:$AT$85,0)),"")</f>
        <v>OPT044</v>
      </c>
      <c r="C36" s="9" t="str">
        <f aca="false">IF(LARGE('Option Analysis'!$AT$6:$AT$85,3)&gt;0.001,INDEX('Option Analysis'!$B$6:$B$85,MATCH(LARGE('Option Analysis'!$AT$6:$AT$85,3),'Option Analysis'!$AT$6:$AT$85,0)),"")</f>
        <v>Flannel shirt Pink</v>
      </c>
      <c r="D36" s="14" t="n">
        <f aca="false">IF(LARGE('Option Analysis'!$AT$6:$AT$85,3)&gt;0.001,INDEX('Option Analysis'!$AI$6:$AI$85,MATCH(LARGE('Option Analysis'!$AT$6:$AT$85,3),'Option Analysis'!$AT$6:$AT$85,0)),"")</f>
        <v>38254.08</v>
      </c>
      <c r="E36" s="9" t="str">
        <f aca="false">IF(LARGE('Option Analysis'!$AT$6:$AT$85,3)&gt;0.001,INDEX('Option Analysis'!$AM$6:$AM$85,MATCH(LARGE('Option Analysis'!$AT$6:$AT$85,3),'Option Analysis'!$AT$6:$AT$85,0)),"")</f>
        <v>Leave it: it is doing a range job (check the evidence)</v>
      </c>
      <c r="F36" s="9" t="str">
        <f aca="false">IF(LARGE('Option Analysis'!$AT$6:$AT$85,3)&gt;0.001,INDEX('Option Analysis'!$AF$6:$AF$85,MATCH(LARGE('Option Analysis'!$AT$6:$AT$85,3),'Option Analysis'!$AT$6:$AT$85,0)),"")</f>
        <v>Merchandise Director</v>
      </c>
    </row>
    <row r="37" customFormat="false" ht="15" hidden="false" customHeight="false" outlineLevel="0" collapsed="false">
      <c r="A37" s="8" t="n">
        <v>4</v>
      </c>
      <c r="B37" s="9" t="str">
        <f aca="false">IF(LARGE('Option Analysis'!$AT$6:$AT$85,4)&gt;0.001,INDEX('Option Analysis'!$A$6:$A$85,MATCH(LARGE('Option Analysis'!$AT$6:$AT$85,4),'Option Analysis'!$AT$6:$AT$85,0)),"")</f>
        <v>OPT001</v>
      </c>
      <c r="C37" s="9" t="str">
        <f aca="false">IF(LARGE('Option Analysis'!$AT$6:$AT$85,4)&gt;0.001,INDEX('Option Analysis'!$B$6:$B$85,MATCH(LARGE('Option Analysis'!$AT$6:$AT$85,4),'Option Analysis'!$AT$6:$AT$85,0)),"")</f>
        <v>Harrington jacket Navy</v>
      </c>
      <c r="D37" s="14" t="n">
        <f aca="false">IF(LARGE('Option Analysis'!$AT$6:$AT$85,4)&gt;0.001,INDEX('Option Analysis'!$AI$6:$AI$85,MATCH(LARGE('Option Analysis'!$AT$6:$AT$85,4),'Option Analysis'!$AT$6:$AT$85,0)),"")</f>
        <v>37424.64</v>
      </c>
      <c r="E37" s="9" t="str">
        <f aca="false">IF(LARGE('Option Analysis'!$AT$6:$AT$85,4)&gt;0.001,INDEX('Option Analysis'!$AM$6:$AM$85,MATCH(LARGE('Option Analysis'!$AT$6:$AT$85,4),'Option Analysis'!$AT$6:$AT$85,0)),"")</f>
        <v>Exit: mark down to clear</v>
      </c>
      <c r="F37" s="9" t="str">
        <f aca="false">IF(LARGE('Option Analysis'!$AT$6:$AT$85,4)&gt;0.001,INDEX('Option Analysis'!$AF$6:$AF$85,MATCH(LARGE('Option Analysis'!$AT$6:$AT$85,4),'Option Analysis'!$AT$6:$AT$85,0)),"")</f>
        <v>Trading Manager</v>
      </c>
    </row>
    <row r="38" customFormat="false" ht="15" hidden="false" customHeight="false" outlineLevel="0" collapsed="false">
      <c r="A38" s="8" t="n">
        <v>5</v>
      </c>
      <c r="B38" s="9" t="str">
        <f aca="false">IF(LARGE('Option Analysis'!$AT$6:$AT$85,5)&gt;0.001,INDEX('Option Analysis'!$A$6:$A$85,MATCH(LARGE('Option Analysis'!$AT$6:$AT$85,5),'Option Analysis'!$AT$6:$AT$85,0)),"")</f>
        <v>OPT002</v>
      </c>
      <c r="C38" s="9" t="str">
        <f aca="false">IF(LARGE('Option Analysis'!$AT$6:$AT$85,5)&gt;0.001,INDEX('Option Analysis'!$B$6:$B$85,MATCH(LARGE('Option Analysis'!$AT$6:$AT$85,5),'Option Analysis'!$AT$6:$AT$85,0)),"")</f>
        <v>Duffle coat Olive</v>
      </c>
      <c r="D38" s="14" t="n">
        <f aca="false">IF(LARGE('Option Analysis'!$AT$6:$AT$85,5)&gt;0.001,INDEX('Option Analysis'!$AI$6:$AI$85,MATCH(LARGE('Option Analysis'!$AT$6:$AT$85,5),'Option Analysis'!$AT$6:$AT$85,0)),"")</f>
        <v>34300.8</v>
      </c>
      <c r="E38" s="9" t="str">
        <f aca="false">IF(LARGE('Option Analysis'!$AT$6:$AT$85,5)&gt;0.001,INDEX('Option Analysis'!$AM$6:$AM$85,MATCH(LARGE('Option Analysis'!$AT$6:$AT$85,5),'Option Analysis'!$AT$6:$AT$85,0)),"")</f>
        <v>Exit: mark down to clear</v>
      </c>
      <c r="F38" s="9" t="str">
        <f aca="false">IF(LARGE('Option Analysis'!$AT$6:$AT$85,5)&gt;0.001,INDEX('Option Analysis'!$AF$6:$AF$85,MATCH(LARGE('Option Analysis'!$AT$6:$AT$85,5),'Option Analysis'!$AT$6:$AT$85,0)),"")</f>
        <v>Trading Manager</v>
      </c>
    </row>
    <row r="39" customFormat="false" ht="15" hidden="false" customHeight="false" outlineLevel="0" collapsed="false">
      <c r="A39" s="8" t="n">
        <v>6</v>
      </c>
      <c r="B39" s="9" t="str">
        <f aca="false">IF(LARGE('Option Analysis'!$AT$6:$AT$85,6)&gt;0.001,INDEX('Option Analysis'!$A$6:$A$85,MATCH(LARGE('Option Analysis'!$AT$6:$AT$85,6),'Option Analysis'!$AT$6:$AT$85,0)),"")</f>
        <v>OPT004</v>
      </c>
      <c r="C39" s="9" t="str">
        <f aca="false">IF(LARGE('Option Analysis'!$AT$6:$AT$85,6)&gt;0.001,INDEX('Option Analysis'!$B$6:$B$85,MATCH(LARGE('Option Analysis'!$AT$6:$AT$85,6),'Option Analysis'!$AT$6:$AT$85,0)),"")</f>
        <v>Car coat Charcoal</v>
      </c>
      <c r="D39" s="14" t="n">
        <f aca="false">IF(LARGE('Option Analysis'!$AT$6:$AT$85,6)&gt;0.001,INDEX('Option Analysis'!$AI$6:$AI$85,MATCH(LARGE('Option Analysis'!$AT$6:$AT$85,6),'Option Analysis'!$AT$6:$AT$85,0)),"")</f>
        <v>31682.88</v>
      </c>
      <c r="E39" s="9" t="str">
        <f aca="false">IF(LARGE('Option Analysis'!$AT$6:$AT$85,6)&gt;0.001,INDEX('Option Analysis'!$AM$6:$AM$85,MATCH(LARGE('Option Analysis'!$AT$6:$AT$85,6),'Option Analysis'!$AT$6:$AT$85,0)),"")</f>
        <v>Fix findability: it is in stock but customers cannot find it</v>
      </c>
      <c r="F39" s="9" t="str">
        <f aca="false">IF(LARGE('Option Analysis'!$AT$6:$AT$85,6)&gt;0.001,INDEX('Option Analysis'!$AF$6:$AF$85,MATCH(LARGE('Option Analysis'!$AT$6:$AT$85,6),'Option Analysis'!$AT$6:$AT$85,0)),"")</f>
        <v>Ecommerce Trading Manager</v>
      </c>
    </row>
    <row r="40" customFormat="false" ht="15" hidden="false" customHeight="false" outlineLevel="0" collapsed="false">
      <c r="A40" s="8" t="n">
        <v>7</v>
      </c>
      <c r="B40" s="9" t="str">
        <f aca="false">IF(LARGE('Option Analysis'!$AT$6:$AT$85,7)&gt;0.001,INDEX('Option Analysis'!$A$6:$A$85,MATCH(LARGE('Option Analysis'!$AT$6:$AT$85,7),'Option Analysis'!$AT$6:$AT$85,0)),"")</f>
        <v>OPT029</v>
      </c>
      <c r="C40" s="9" t="str">
        <f aca="false">IF(LARGE('Option Analysis'!$AT$6:$AT$85,7)&gt;0.001,INDEX('Option Analysis'!$B$6:$B$85,MATCH(LARGE('Option Analysis'!$AT$6:$AT$85,7),'Option Analysis'!$AT$6:$AT$85,0)),"")</f>
        <v>Shawl cardigan Stone</v>
      </c>
      <c r="D40" s="14" t="n">
        <f aca="false">IF(LARGE('Option Analysis'!$AT$6:$AT$85,7)&gt;0.001,INDEX('Option Analysis'!$AI$6:$AI$85,MATCH(LARGE('Option Analysis'!$AT$6:$AT$85,7),'Option Analysis'!$AT$6:$AT$85,0)),"")</f>
        <v>30911.44</v>
      </c>
      <c r="E40" s="9" t="str">
        <f aca="false">IF(LARGE('Option Analysis'!$AT$6:$AT$85,7)&gt;0.001,INDEX('Option Analysis'!$AM$6:$AM$85,MATCH(LARGE('Option Analysis'!$AT$6:$AT$85,7),'Option Analysis'!$AT$6:$AT$85,0)),"")</f>
        <v>Mark down or re-merchandise</v>
      </c>
      <c r="F40" s="9" t="str">
        <f aca="false">IF(LARGE('Option Analysis'!$AT$6:$AT$85,7)&gt;0.001,INDEX('Option Analysis'!$AF$6:$AF$85,MATCH(LARGE('Option Analysis'!$AT$6:$AT$85,7),'Option Analysis'!$AT$6:$AT$85,0)),"")</f>
        <v>Trading Manager</v>
      </c>
    </row>
    <row r="41" customFormat="false" ht="15" hidden="false" customHeight="false" outlineLevel="0" collapsed="false">
      <c r="A41" s="8" t="n">
        <v>8</v>
      </c>
      <c r="B41" s="9" t="str">
        <f aca="false">IF(LARGE('Option Analysis'!$AT$6:$AT$85,8)&gt;0.001,INDEX('Option Analysis'!$A$6:$A$85,MATCH(LARGE('Option Analysis'!$AT$6:$AT$85,8),'Option Analysis'!$AT$6:$AT$85,0)),"")</f>
        <v>OPT027</v>
      </c>
      <c r="C41" s="9" t="str">
        <f aca="false">IF(LARGE('Option Analysis'!$AT$6:$AT$85,8)&gt;0.001,INDEX('Option Analysis'!$B$6:$B$85,MATCH(LARGE('Option Analysis'!$AT$6:$AT$85,8),'Option Analysis'!$AT$6:$AT$85,0)),"")</f>
        <v>Shawl cardigan Navy</v>
      </c>
      <c r="D41" s="14" t="n">
        <f aca="false">IF(LARGE('Option Analysis'!$AT$6:$AT$85,8)&gt;0.001,INDEX('Option Analysis'!$AI$6:$AI$85,MATCH(LARGE('Option Analysis'!$AT$6:$AT$85,8),'Option Analysis'!$AT$6:$AT$85,0)),"")</f>
        <v>25947.44</v>
      </c>
      <c r="E41" s="9" t="str">
        <f aca="false">IF(LARGE('Option Analysis'!$AT$6:$AT$85,8)&gt;0.001,INDEX('Option Analysis'!$AM$6:$AM$85,MATCH(LARGE('Option Analysis'!$AT$6:$AT$85,8),'Option Analysis'!$AT$6:$AT$85,0)),"")</f>
        <v>Fix findability: it is in stock but customers cannot find it</v>
      </c>
      <c r="F41" s="9" t="str">
        <f aca="false">IF(LARGE('Option Analysis'!$AT$6:$AT$85,8)&gt;0.001,INDEX('Option Analysis'!$AF$6:$AF$85,MATCH(LARGE('Option Analysis'!$AT$6:$AT$85,8),'Option Analysis'!$AT$6:$AT$85,0)),"")</f>
        <v>Ecommerce Trading Manager</v>
      </c>
    </row>
    <row r="42" customFormat="false" ht="15" hidden="false" customHeight="false" outlineLevel="0" collapsed="false">
      <c r="A42" s="8" t="n">
        <v>9</v>
      </c>
      <c r="B42" s="9" t="str">
        <f aca="false">IF(LARGE('Option Analysis'!$AT$6:$AT$85,9)&gt;0.001,INDEX('Option Analysis'!$A$6:$A$85,MATCH(LARGE('Option Analysis'!$AT$6:$AT$85,9),'Option Analysis'!$AT$6:$AT$85,0)),"")</f>
        <v>OPT007</v>
      </c>
      <c r="C42" s="9" t="str">
        <f aca="false">IF(LARGE('Option Analysis'!$AT$6:$AT$85,9)&gt;0.001,INDEX('Option Analysis'!$B$6:$B$85,MATCH(LARGE('Option Analysis'!$AT$6:$AT$85,9),'Option Analysis'!$AT$6:$AT$85,0)),"")</f>
        <v>Harrington jacket Cream</v>
      </c>
      <c r="D42" s="14" t="n">
        <f aca="false">IF(LARGE('Option Analysis'!$AT$6:$AT$85,9)&gt;0.001,INDEX('Option Analysis'!$AI$6:$AI$85,MATCH(LARGE('Option Analysis'!$AT$6:$AT$85,9),'Option Analysis'!$AT$6:$AT$85,0)),"")</f>
        <v>20683.52</v>
      </c>
      <c r="E42" s="9" t="str">
        <f aca="false">IF(LARGE('Option Analysis'!$AT$6:$AT$85,9)&gt;0.001,INDEX('Option Analysis'!$AM$6:$AM$85,MATCH(LARGE('Option Analysis'!$AT$6:$AT$85,9),'Option Analysis'!$AT$6:$AT$85,0)),"")</f>
        <v>Chase the purchase order: it lands after stock runs out</v>
      </c>
      <c r="F42" s="9" t="str">
        <f aca="false">IF(LARGE('Option Analysis'!$AT$6:$AT$85,9)&gt;0.001,INDEX('Option Analysis'!$AF$6:$AF$85,MATCH(LARGE('Option Analysis'!$AT$6:$AT$85,9),'Option Analysis'!$AT$6:$AT$85,0)),"")</f>
        <v>Merchandiser</v>
      </c>
    </row>
    <row r="43" customFormat="false" ht="15" hidden="false" customHeight="false" outlineLevel="0" collapsed="false">
      <c r="A43" s="8" t="n">
        <v>10</v>
      </c>
      <c r="B43" s="9" t="str">
        <f aca="false">IF(LARGE('Option Analysis'!$AT$6:$AT$85,10)&gt;0.001,INDEX('Option Analysis'!$A$6:$A$85,MATCH(LARGE('Option Analysis'!$AT$6:$AT$85,10),'Option Analysis'!$AT$6:$AT$85,0)),"")</f>
        <v>OPT050</v>
      </c>
      <c r="C43" s="9" t="str">
        <f aca="false">IF(LARGE('Option Analysis'!$AT$6:$AT$85,10)&gt;0.001,INDEX('Option Analysis'!$B$6:$B$85,MATCH(LARGE('Option Analysis'!$AT$6:$AT$85,10),'Option Analysis'!$AT$6:$AT$85,0)),"")</f>
        <v>Regular chino Olive</v>
      </c>
      <c r="D43" s="14" t="n">
        <f aca="false">IF(LARGE('Option Analysis'!$AT$6:$AT$85,10)&gt;0.001,INDEX('Option Analysis'!$AI$6:$AI$85,MATCH(LARGE('Option Analysis'!$AT$6:$AT$85,10),'Option Analysis'!$AT$6:$AT$85,0)),"")</f>
        <v>19293.12</v>
      </c>
      <c r="E43" s="9" t="str">
        <f aca="false">IF(LARGE('Option Analysis'!$AT$6:$AT$85,10)&gt;0.001,INDEX('Option Analysis'!$AM$6:$AM$85,MATCH(LARGE('Option Analysis'!$AT$6:$AT$85,10),'Option Analysis'!$AT$6:$AT$85,0)),"")</f>
        <v>Mark down or re-merchandise</v>
      </c>
      <c r="F43" s="9" t="str">
        <f aca="false">IF(LARGE('Option Analysis'!$AT$6:$AT$85,10)&gt;0.001,INDEX('Option Analysis'!$AF$6:$AF$85,MATCH(LARGE('Option Analysis'!$AT$6:$AT$85,10),'Option Analysis'!$AT$6:$AT$85,0)),"")</f>
        <v>Trading Manager</v>
      </c>
    </row>
    <row r="45" customFormat="false" ht="15" hidden="false" customHeight="false" outlineLevel="0" collapsed="false">
      <c r="A45" s="10" t="s">
        <v>788</v>
      </c>
      <c r="B45" s="10"/>
      <c r="C45" s="10"/>
      <c r="D45" s="10"/>
      <c r="E45" s="10"/>
      <c r="F45" s="10"/>
    </row>
    <row r="46" customFormat="false" ht="24" hidden="false" customHeight="true" outlineLevel="0" collapsed="false">
      <c r="A46" s="15" t="s">
        <v>785</v>
      </c>
      <c r="B46" s="15" t="s">
        <v>789</v>
      </c>
      <c r="C46" s="15"/>
      <c r="D46" s="15"/>
      <c r="E46" s="15" t="s">
        <v>53</v>
      </c>
      <c r="F46" s="15" t="s">
        <v>790</v>
      </c>
    </row>
    <row r="47" customFormat="false" ht="15" hidden="false" customHeight="false" outlineLevel="0" collapsed="false">
      <c r="A47" s="8" t="n">
        <v>1</v>
      </c>
      <c r="B47" s="32" t="s">
        <v>791</v>
      </c>
      <c r="C47" s="32"/>
      <c r="D47" s="32"/>
      <c r="E47" s="16" t="s">
        <v>122</v>
      </c>
      <c r="F47" s="17"/>
    </row>
    <row r="48" customFormat="false" ht="15" hidden="false" customHeight="false" outlineLevel="0" collapsed="false">
      <c r="A48" s="8" t="n">
        <v>2</v>
      </c>
      <c r="B48" s="32" t="s">
        <v>792</v>
      </c>
      <c r="C48" s="32"/>
      <c r="D48" s="32"/>
      <c r="E48" s="16" t="s">
        <v>101</v>
      </c>
      <c r="F48" s="17"/>
    </row>
    <row r="49" customFormat="false" ht="15" hidden="false" customHeight="false" outlineLevel="0" collapsed="false">
      <c r="A49" s="8" t="n">
        <v>3</v>
      </c>
      <c r="B49" s="32" t="s">
        <v>793</v>
      </c>
      <c r="C49" s="32"/>
      <c r="D49" s="32"/>
      <c r="E49" s="16" t="s">
        <v>133</v>
      </c>
      <c r="F49" s="17"/>
    </row>
    <row r="50" customFormat="false" ht="15" hidden="false" customHeight="false" outlineLevel="0" collapsed="false">
      <c r="A50" s="8" t="n">
        <v>4</v>
      </c>
      <c r="B50" s="32"/>
      <c r="C50" s="32"/>
      <c r="D50" s="32"/>
      <c r="E50" s="16"/>
      <c r="F50" s="17"/>
    </row>
    <row r="51" customFormat="false" ht="15" hidden="false" customHeight="false" outlineLevel="0" collapsed="false">
      <c r="A51" s="8" t="n">
        <v>5</v>
      </c>
      <c r="B51" s="32"/>
      <c r="C51" s="32"/>
      <c r="D51" s="32"/>
      <c r="E51" s="16"/>
      <c r="F51" s="17"/>
    </row>
    <row r="52" customFormat="false" ht="15" hidden="false" customHeight="false" outlineLevel="0" collapsed="false">
      <c r="A52" s="8" t="n">
        <v>6</v>
      </c>
      <c r="B52" s="32"/>
      <c r="C52" s="32"/>
      <c r="D52" s="32"/>
      <c r="E52" s="16"/>
      <c r="F52" s="17"/>
    </row>
    <row r="54" customFormat="false" ht="15" hidden="false" customHeight="false" outlineLevel="0" collapsed="false">
      <c r="A54" s="8" t="s">
        <v>794</v>
      </c>
      <c r="B54" s="17" t="n">
        <v>46447</v>
      </c>
    </row>
    <row r="55" customFormat="false" ht="15" hidden="false" customHeight="false" outlineLevel="0" collapsed="false">
      <c r="A55" s="8" t="s">
        <v>795</v>
      </c>
    </row>
  </sheetData>
  <sheetProtection sheet="true" formatColumns="false" formatRows="false" sort="false" autoFilter="false"/>
  <mergeCells count="6">
    <mergeCell ref="B47:D47"/>
    <mergeCell ref="B48:D48"/>
    <mergeCell ref="B49:D49"/>
    <mergeCell ref="B50:D50"/>
    <mergeCell ref="B51:D51"/>
    <mergeCell ref="B52:D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2"/>
    <col collapsed="false" customWidth="true" hidden="false" outlineLevel="0" max="3" min="3" style="0" width="12"/>
    <col collapsed="false" customWidth="true" hidden="false" outlineLevel="0" max="4" min="4" style="0" width="10"/>
    <col collapsed="false" customWidth="true" hidden="false" outlineLevel="0" max="5" min="5" style="0" width="80"/>
  </cols>
  <sheetData>
    <row r="1" customFormat="false" ht="17.35" hidden="false" customHeight="false" outlineLevel="0" collapsed="false">
      <c r="A1" s="1" t="s">
        <v>796</v>
      </c>
    </row>
    <row r="2" customFormat="false" ht="15" hidden="false" customHeight="false" outlineLevel="0" collapsed="false">
      <c r="A2" s="2" t="s">
        <v>797</v>
      </c>
    </row>
    <row r="4" customFormat="false" ht="39.75" hidden="false" customHeight="true" outlineLevel="0" collapsed="false">
      <c r="A4" s="15" t="s">
        <v>785</v>
      </c>
      <c r="B4" s="15" t="s">
        <v>798</v>
      </c>
      <c r="C4" s="15" t="s">
        <v>58</v>
      </c>
      <c r="D4" s="15" t="s">
        <v>799</v>
      </c>
      <c r="E4" s="15" t="s">
        <v>800</v>
      </c>
    </row>
    <row r="5" customFormat="false" ht="15" hidden="false" customHeight="false" outlineLevel="0" collapsed="false">
      <c r="A5" s="8" t="n">
        <v>1</v>
      </c>
      <c r="B5" s="8" t="s">
        <v>801</v>
      </c>
      <c r="C5" s="13" t="n">
        <f aca="false">Settings!$B$14</f>
        <v>1</v>
      </c>
      <c r="D5" s="28" t="str">
        <f aca="false">IF(ABS(C5-1)&lt;0.0001,"PASS","FAIL")</f>
        <v>PASS</v>
      </c>
      <c r="E5" s="8" t="s">
        <v>802</v>
      </c>
    </row>
    <row r="6" customFormat="false" ht="15" hidden="false" customHeight="false" outlineLevel="0" collapsed="false">
      <c r="A6" s="8" t="n">
        <v>2</v>
      </c>
      <c r="B6" s="8" t="s">
        <v>803</v>
      </c>
      <c r="C6" s="11" t="n">
        <f aca="false">Settings!$B$8-Settings!$B$7</f>
        <v>-4</v>
      </c>
      <c r="D6" s="28" t="str">
        <f aca="false">IF(C6&lt;=0,"PASS","FAIL")</f>
        <v>PASS</v>
      </c>
      <c r="E6" s="8" t="s">
        <v>804</v>
      </c>
    </row>
    <row r="7" customFormat="false" ht="15" hidden="false" customHeight="false" outlineLevel="0" collapsed="false">
      <c r="A7" s="8" t="n">
        <v>3</v>
      </c>
      <c r="B7" s="8" t="s">
        <v>805</v>
      </c>
      <c r="C7" s="11" t="n">
        <f aca="false">SUMPRODUCT((Options!$A$6:$A$85&lt;&gt;"")/COUNTIF(Options!$A$6:$A$85,Options!$A$6:$A$85&amp;""))-COUNTA(Options!$A$6:$A$85)</f>
        <v>0</v>
      </c>
      <c r="D7" s="28" t="str">
        <f aca="false">IF(ABS(C7)&lt;0.001,"PASS","FAIL")</f>
        <v>PASS</v>
      </c>
      <c r="E7" s="8" t="s">
        <v>806</v>
      </c>
    </row>
    <row r="8" customFormat="false" ht="15" hidden="false" customHeight="false" outlineLevel="0" collapsed="false">
      <c r="A8" s="8" t="n">
        <v>4</v>
      </c>
      <c r="B8" s="8" t="s">
        <v>807</v>
      </c>
      <c r="C8" s="11" t="n">
        <f aca="false">SUMPRODUCT(('SKU Data'!$B$6:$B$505&lt;&gt;"")*(COUNTIF(Options!$A$6:$A$85,'SKU Data'!$B$6:$B$505)=0))</f>
        <v>0</v>
      </c>
      <c r="D8" s="28" t="str">
        <f aca="false">IF(C8=0,"PASS","FAIL")</f>
        <v>PASS</v>
      </c>
      <c r="E8" s="8" t="s">
        <v>808</v>
      </c>
    </row>
    <row r="9" customFormat="false" ht="15" hidden="false" customHeight="false" outlineLevel="0" collapsed="false">
      <c r="A9" s="8" t="n">
        <v>5</v>
      </c>
      <c r="B9" s="8" t="s">
        <v>809</v>
      </c>
      <c r="C9" s="11" t="n">
        <f aca="false">SUMPRODUCT(('Option Analysis'!$A$6:$A$85&lt;&gt;"")*('Option Analysis'!$U$6:$U$85=0))</f>
        <v>0</v>
      </c>
      <c r="D9" s="28" t="str">
        <f aca="false">IF(C9=0,"PASS","FAIL")</f>
        <v>PASS</v>
      </c>
      <c r="E9" s="8" t="s">
        <v>810</v>
      </c>
    </row>
    <row r="10" customFormat="false" ht="15" hidden="false" customHeight="false" outlineLevel="0" collapsed="false">
      <c r="A10" s="8" t="n">
        <v>6</v>
      </c>
      <c r="B10" s="8" t="s">
        <v>811</v>
      </c>
      <c r="C10" s="11" t="n">
        <f aca="false">COUNTIF('SKU Data'!$G$6:$G$505,"&lt;0")</f>
        <v>0</v>
      </c>
      <c r="D10" s="28" t="str">
        <f aca="false">IF(C10=0,"PASS","FAIL")</f>
        <v>PASS</v>
      </c>
      <c r="E10" s="8" t="s">
        <v>812</v>
      </c>
    </row>
    <row r="11" customFormat="false" ht="15" hidden="false" customHeight="false" outlineLevel="0" collapsed="false">
      <c r="A11" s="8" t="n">
        <v>7</v>
      </c>
      <c r="B11" s="8" t="s">
        <v>813</v>
      </c>
      <c r="C11" s="11" t="n">
        <f aca="false">COUNTIF('SKU Data'!$N$6:$N$505,"&gt;4")</f>
        <v>0</v>
      </c>
      <c r="D11" s="28" t="str">
        <f aca="false">IF(C11=0,"PASS","WARN")</f>
        <v>PASS</v>
      </c>
      <c r="E11" s="8" t="s">
        <v>814</v>
      </c>
    </row>
    <row r="12" customFormat="false" ht="15" hidden="false" customHeight="false" outlineLevel="0" collapsed="false">
      <c r="A12" s="8" t="n">
        <v>8</v>
      </c>
      <c r="B12" s="8" t="s">
        <v>815</v>
      </c>
      <c r="C12" s="11" t="n">
        <f aca="false">SUMPRODUCT(--('SKU Data'!$M$6:$M$505&gt;'SKU Data'!$L$6:$L$505))</f>
        <v>0</v>
      </c>
      <c r="D12" s="28" t="str">
        <f aca="false">IF(C12=0,"PASS","FAIL")</f>
        <v>PASS</v>
      </c>
      <c r="E12" s="8" t="s">
        <v>816</v>
      </c>
    </row>
    <row r="13" customFormat="false" ht="15" hidden="false" customHeight="false" outlineLevel="0" collapsed="false">
      <c r="A13" s="8" t="n">
        <v>9</v>
      </c>
      <c r="B13" s="8" t="s">
        <v>817</v>
      </c>
      <c r="C13" s="11" t="n">
        <f aca="false">SUMPRODUCT(('SKU Data'!$B$6:$B$505&lt;&gt;"")*('SKU Data'!$L$6:$L$505&gt;'SKU Data'!$E$6:$E$505-'SKU Data'!$F$6:$F$505))</f>
        <v>0</v>
      </c>
      <c r="D13" s="28" t="str">
        <f aca="false">IF(C13=0,"PASS","WARN")</f>
        <v>PASS</v>
      </c>
      <c r="E13" s="8" t="s">
        <v>818</v>
      </c>
    </row>
    <row r="14" customFormat="false" ht="15" hidden="false" customHeight="false" outlineLevel="0" collapsed="false">
      <c r="A14" s="8" t="n">
        <v>10</v>
      </c>
      <c r="B14" s="8" t="s">
        <v>819</v>
      </c>
      <c r="C14" s="11" t="n">
        <f aca="false">SUMPRODUCT(('SKU Data'!$B$6:$B$505&lt;&gt;"")*('SKU Data'!$G$6:$G$505+'SKU Data'!$L$6:$L$505&gt;('SKU Data'!$E$6:$E$505-'SKU Data'!$F$6:$F$505)*1.1+5))</f>
        <v>0</v>
      </c>
      <c r="D14" s="28" t="str">
        <f aca="false">IF(C14=0,"PASS","WARN")</f>
        <v>PASS</v>
      </c>
      <c r="E14" s="8" t="s">
        <v>820</v>
      </c>
    </row>
    <row r="15" customFormat="false" ht="15" hidden="false" customHeight="false" outlineLevel="0" collapsed="false">
      <c r="A15" s="8" t="n">
        <v>11</v>
      </c>
      <c r="B15" s="8" t="s">
        <v>821</v>
      </c>
      <c r="C15" s="11" t="n">
        <f aca="false">SUMPRODUCT((Options!$W$6:$W$85&lt;&gt;"")*(Options!$X$6:$X$85=""))</f>
        <v>0</v>
      </c>
      <c r="D15" s="28" t="str">
        <f aca="false">IF(C15=0,"PASS","WARN")</f>
        <v>PASS</v>
      </c>
      <c r="E15" s="8" t="s">
        <v>822</v>
      </c>
    </row>
    <row r="16" customFormat="false" ht="15" hidden="false" customHeight="false" outlineLevel="0" collapsed="false">
      <c r="A16" s="8" t="n">
        <v>12</v>
      </c>
      <c r="B16" s="8" t="s">
        <v>823</v>
      </c>
      <c r="C16" s="11" t="n">
        <f aca="false">SUMPRODUCT(('Option Analysis'!$A$6:$A$85&lt;&gt;"")*(COUNTIF('Category View'!$A$6:$A$13,'Option Analysis'!$C$6:$C$85)=0))</f>
        <v>0</v>
      </c>
      <c r="D16" s="28" t="str">
        <f aca="false">IF(C16=0,"PASS","WARN")</f>
        <v>PASS</v>
      </c>
      <c r="E16" s="8" t="s">
        <v>824</v>
      </c>
    </row>
    <row r="17" customFormat="false" ht="15" hidden="false" customHeight="false" outlineLevel="0" collapsed="false">
      <c r="A17" s="8" t="n">
        <v>13</v>
      </c>
      <c r="B17" s="8" t="s">
        <v>825</v>
      </c>
      <c r="C17" s="11" t="n">
        <f aca="false">SUMPRODUCT((Options!$A$6:$A$85&lt;&gt;"")*(Options!$H$6:$H$85=""))</f>
        <v>0</v>
      </c>
      <c r="D17" s="28" t="str">
        <f aca="false">IF(C17=0,"PASS","FAIL")</f>
        <v>PASS</v>
      </c>
      <c r="E17" s="8" t="s">
        <v>826</v>
      </c>
    </row>
    <row r="18" customFormat="false" ht="15" hidden="false" customHeight="false" outlineLevel="0" collapsed="false">
      <c r="A18" s="8" t="n">
        <v>14</v>
      </c>
      <c r="B18" s="8" t="s">
        <v>827</v>
      </c>
      <c r="C18" s="11" t="n">
        <f aca="false">SUMPRODUCT((Options!$R$6:$R$85&lt;&gt;"")*(COUNTIF(Options!$A$6:$A$85,Options!$R$6:$R$85)=0))</f>
        <v>0</v>
      </c>
      <c r="D18" s="28" t="str">
        <f aca="false">IF(C18=0,"PASS","WARN")</f>
        <v>PASS</v>
      </c>
      <c r="E18" s="8" t="s">
        <v>828</v>
      </c>
    </row>
    <row r="19" customFormat="false" ht="15" hidden="false" customHeight="false" outlineLevel="0" collapsed="false">
      <c r="A19" s="8" t="n">
        <v>15</v>
      </c>
      <c r="B19" s="8" t="s">
        <v>829</v>
      </c>
      <c r="C19" s="11" t="n">
        <f aca="false">SUMPRODUCT((Options!$S$6:$S$85&lt;&gt;"")*((Options!$S$6:$S$85&lt;0)+(Options!$S$6:$S$85&gt;1)))+(Settings!$B$23&lt;0)+(Settings!$B$23&gt;1)</f>
        <v>0</v>
      </c>
      <c r="D19" s="28" t="str">
        <f aca="false">IF(C19=0,"PASS","FAIL")</f>
        <v>PASS</v>
      </c>
      <c r="E19" s="8" t="s">
        <v>830</v>
      </c>
    </row>
    <row r="20" customFormat="false" ht="15" hidden="false" customHeight="false" outlineLevel="0" collapsed="false">
      <c r="A20" s="8" t="n">
        <v>16</v>
      </c>
      <c r="B20" s="8" t="s">
        <v>831</v>
      </c>
      <c r="C20" s="11" t="n">
        <f aca="false">SUMPRODUCT(('Option Analysis'!$AW$6:$AW$85="Y")*(Options!$V$6:$V$85=""))</f>
        <v>0</v>
      </c>
      <c r="D20" s="28" t="str">
        <f aca="false">IF(C20=0,"PASS","WARN")</f>
        <v>PASS</v>
      </c>
      <c r="E20" s="8" t="s">
        <v>832</v>
      </c>
    </row>
    <row r="22" customFormat="false" ht="15" hidden="false" customHeight="false" outlineLevel="0" collapsed="false">
      <c r="B22" s="3" t="s">
        <v>833</v>
      </c>
      <c r="D22" s="28" t="str">
        <f aca="false">IF(COUNTIF(D5:D20,"FAIL")&gt;0,"FAIL",IF(COUNTIF(D5:D20,"WARN")&gt;0,"WARN","PASS"))</f>
        <v>PASS</v>
      </c>
    </row>
  </sheetData>
  <sheetProtection sheet="true" formatColumns="false" formatRows="false" sort="false" autoFilter="false"/>
  <conditionalFormatting sqref="D5:D22">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2026-10-28T12:17:30Z</dcterms:created>
  <dc:creator>openpyxl</dc:creator>
  <dc:description/>
  <dc:language>en-US</dc:language>
  <cp:lastModifiedBy/>
  <dcterms:modified xsi:type="dcterms:W3CDTF">2026-10-28T12:17:31Z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