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lockStructure="1"/>
  <bookViews>
    <workbookView showHorizontalScroll="true" showVerticalScroll="true" showSheetTabs="true" xWindow="0" yWindow="0" windowWidth="16384" windowHeight="8192" tabRatio="500" firstSheet="0" activeTab="1"/>
  </bookViews>
  <sheets>
    <sheet name="Read Me" sheetId="1" state="visible" r:id="rId3"/>
    <sheet name="Overview" sheetId="2" state="visible" r:id="rId4"/>
    <sheet name="Settings" sheetId="3" state="visible" r:id="rId5"/>
    <sheet name="Campaign Data" sheetId="4" state="visible" r:id="rId6"/>
    <sheet name="Tests" sheetId="5" state="visible" r:id="rId7"/>
    <sheet name="Campaign Analysis" sheetId="6" state="visible" r:id="rId8"/>
    <sheet name="Step-Down" sheetId="7" state="visible" r:id="rId9"/>
    <sheet name="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<sst xmlns="http://schemas.openxmlformats.org/spreadsheetml/2006/main" count="252" uniqueCount="208">
  <si>
    <t xml:space="preserve">Contribution and Media Efficiency</t>
  </si>
  <si>
    <t xml:space="preserve">Barking Cat. Diagnosis before solutions.</t>
  </si>
  <si>
    <t xml:space="preserve">What this is</t>
  </si>
  <si>
    <t xml:space="preserve">A workbook that judges media on what it earns, not what it is credited with. It takes your attributed results by campaign, removes the sales that would have happened anyway, counts the margin and costs on the rest, and asks two questions: does the average pound pay back, and does the last one?</t>
  </si>
  <si>
    <t xml:space="preserve">The figures belong to a fictional retailer and describe no real business or benchmark.</t>
  </si>
  <si>
    <t xml:space="preserve">Why not ROAS</t>
  </si>
  <si>
    <t xml:space="preserve">ROAS divides attributed sales by spend. It ignores margin, returns and the cost of serving the order, and it counts sales the customer would have made anyway. It also rises when spend falls, because the cheapest clicks are bought first: a campaign can beat its ROAS target while missing its sales target.</t>
  </si>
  <si>
    <t xml:space="preserve">How it works</t>
  </si>
  <si>
    <t xml:space="preserve">1. Attributed gross sales, less returns, give attributed net sales.</t>
  </si>
  <si>
    <t xml:space="preserve">2. The incrementality factor gives the share the campaign actually caused. It comes from the Tests sheet where a holdout or on-off test exists, and from the channel default in Settings where it does not. The Evidence column says which.</t>
  </si>
  <si>
    <t xml:space="preserve">3. Contribution before media is the margin on those sales, less the variable cost of the orders and the cost of handling returns. Take away the spend and you have contribution after media.</t>
  </si>
  <si>
    <t xml:space="preserve">4. Contribution per £1, average, is contribution before media divided by spend. Above 1.00, the campaign pays back on average.</t>
  </si>
  <si>
    <t xml:space="preserve">5. Contribution per £1, last pound, is the average multiplied by the response exponent. It is what the next pound would earn, or what the last pound earned. A campaign can pay back on average while its last pound loses money.</t>
  </si>
  <si>
    <t xml:space="preserve">The verdicts</t>
  </si>
  <si>
    <t xml:space="preserve">Cut: even the average pound returns less than it costs. Trim: the average pays, the last pound does not. Hold: the last pound roughly pays. Scale: the last pound still returns more than the threshold in Settings. Test before you cut, trim or scale: the verdict rests on an assumed factor and the campaign is too large to move on an assumption.</t>
  </si>
  <si>
    <t xml:space="preserve">The step-down test</t>
  </si>
  <si>
    <t xml:space="preserve">Cuts 10%, 20% and 30% of total spend, least efficient first, and compares the result with the same cut spread evenly. The cut levels can be changed.</t>
  </si>
  <si>
    <t xml:space="preserve">Colour key and protection</t>
  </si>
  <si>
    <t xml:space="preserve">Blue text on a pale gold fill: an input. Black or green text: a formula.</t>
  </si>
  <si>
    <t xml:space="preserve">Every sheet is protected so only inputs can be edited. There is no password: Review, then Unprotect Sheet, to change the workbook itself.</t>
  </si>
  <si>
    <t xml:space="preserve">Limits</t>
  </si>
  <si>
    <t xml:space="preserve">The default factors and exponents are starting assumptions, not benchmarks. Replace them with your own tests. The response curve is an estimate of how returns fall with spend; move spend in steps and measure each one.</t>
  </si>
  <si>
    <t xml:space="preserve">The workbook judges each campaign on its own sales. Campaigns that work together, such as prospecting that fills the audience retargeting later converts, should be tested together.</t>
  </si>
  <si>
    <t xml:space="preserve">First-order payback counts only the first order. Customers who buy again are worth more; that belongs in a lifetime value view, measured on cohorts, not assumed here.</t>
  </si>
  <si>
    <t xml:space="preserve">Built by Barking Cat. Version v1.0.</t>
  </si>
  <si>
    <t xml:space="preserve">Barking Cat Advisory Limited. Registered in England and Wales, company number 17338003. Registered office: The Old Constabulary, Welsh Row, Nantwich, Cheshire CW5 5ET. barkingcat.ai</t>
  </si>
  <si>
    <t xml:space="preserve">Overview</t>
  </si>
  <si>
    <t xml:space="preserve">What the media budget actually earned, and where the last pound stops paying.</t>
  </si>
  <si>
    <t xml:space="preserve">Checks</t>
  </si>
  <si>
    <t xml:space="preserve">The budget</t>
  </si>
  <si>
    <t xml:space="preserve">Period</t>
  </si>
  <si>
    <t xml:space="preserve">Media spend (£)</t>
  </si>
  <si>
    <t xml:space="preserve">ROAS as reported</t>
  </si>
  <si>
    <t xml:space="preserve">Share of attributed sales the media actually caused</t>
  </si>
  <si>
    <t xml:space="preserve">Contribution before media, on the sales it caused (£)</t>
  </si>
  <si>
    <t xml:space="preserve">Contribution after media (£)</t>
  </si>
  <si>
    <t xml:space="preserve">Contribution per £1 of media, average</t>
  </si>
  <si>
    <t xml:space="preserve">Spend in campaigns where the last pound loses money (£)</t>
  </si>
  <si>
    <t xml:space="preserve">Spend resting on an assumed factor (£)</t>
  </si>
  <si>
    <t xml:space="preserve">Verdicts</t>
  </si>
  <si>
    <t xml:space="preserve">Verdict</t>
  </si>
  <si>
    <t xml:space="preserve">Campaigns</t>
  </si>
  <si>
    <t xml:space="preserve">Spend (£)</t>
  </si>
  <si>
    <t xml:space="preserve">Scale</t>
  </si>
  <si>
    <t xml:space="preserve">Hold</t>
  </si>
  <si>
    <t xml:space="preserve">Trim</t>
  </si>
  <si>
    <t xml:space="preserve">Cut</t>
  </si>
  <si>
    <t xml:space="preserve">Test before you scale</t>
  </si>
  <si>
    <t xml:space="preserve">Test before you trim</t>
  </si>
  <si>
    <t xml:space="preserve">Test before you cut</t>
  </si>
  <si>
    <t xml:space="preserve">What? So what? Now what?</t>
  </si>
  <si>
    <t xml:space="preserve">What?</t>
  </si>
  <si>
    <t xml:space="preserve">So what?</t>
  </si>
  <si>
    <t xml:space="preserve">Now what?</t>
  </si>
  <si>
    <t xml:space="preserve">Owner</t>
  </si>
  <si>
    <t xml:space="preserve">Settings</t>
  </si>
  <si>
    <t xml:space="preserve">Shared assumptions. Values are examples: replace them with your own.</t>
  </si>
  <si>
    <t xml:space="preserve">Setting</t>
  </si>
  <si>
    <t xml:space="preserve">Value</t>
  </si>
  <si>
    <t xml:space="preserve">Notes</t>
  </si>
  <si>
    <t xml:space="preserve">Retailer</t>
  </si>
  <si>
    <t xml:space="preserve">Example Retailer (fictional)</t>
  </si>
  <si>
    <t xml:space="preserve">13 weeks to the end of October (example)</t>
  </si>
  <si>
    <t xml:space="preserve">Net sales of the whole business in the period (£)</t>
  </si>
  <si>
    <t xml:space="preserve">Every channel, paid or not, after returns.</t>
  </si>
  <si>
    <t xml:space="preserve">Gross margin on net sales</t>
  </si>
  <si>
    <t xml:space="preserve">After discount. A campaign can carry its own margin on the Campaign Data sheet.</t>
  </si>
  <si>
    <t xml:space="preserve">Returns rate (share of gross sales returned)</t>
  </si>
  <si>
    <t xml:space="preserve">A campaign can carry its own.</t>
  </si>
  <si>
    <t xml:space="preserve">Variable cost per order (£)</t>
  </si>
  <si>
    <t xml:space="preserve">Pick, pack, carriage, packaging, payment and service, net of delivery income.</t>
  </si>
  <si>
    <t xml:space="preserve">Returns handling cost (% of value returned)</t>
  </si>
  <si>
    <t xml:space="preserve">Last-pound return needed to add spend (£ per £1)</t>
  </si>
  <si>
    <t xml:space="preserve">Above 1.00 to leave room for error in the estimate.</t>
  </si>
  <si>
    <t xml:space="preserve">Share of total spend above which an untested campaign is tested before it is moved</t>
  </si>
  <si>
    <t xml:space="preserve">Small campaigns can be moved on the estimate; large ones should be measured first.</t>
  </si>
  <si>
    <t xml:space="preserve">Owner of media allocation</t>
  </si>
  <si>
    <t xml:space="preserve">Head of Ecommerce</t>
  </si>
  <si>
    <t xml:space="preserve">Channel types: starting assumptions, not benchmarks</t>
  </si>
  <si>
    <t xml:space="preserve">Channel type</t>
  </si>
  <si>
    <t xml:space="preserve">Incrementality factor (default)</t>
  </si>
  <si>
    <t xml:space="preserve">Response exponent</t>
  </si>
  <si>
    <t xml:space="preserve">Brand search</t>
  </si>
  <si>
    <t xml:space="preserve">Many of these customers were already looking for you.</t>
  </si>
  <si>
    <t xml:space="preserve">Generic search</t>
  </si>
  <si>
    <t xml:space="preserve">Exponent of 0.65 matches the Budget Builder's paid search assumption.</t>
  </si>
  <si>
    <t xml:space="preserve">Shopping</t>
  </si>
  <si>
    <t xml:space="preserve">Paid social prospecting</t>
  </si>
  <si>
    <t xml:space="preserve">Often under-credited by last-click attribution.</t>
  </si>
  <si>
    <t xml:space="preserve">Paid social retargeting</t>
  </si>
  <si>
    <t xml:space="preserve">Often over-credited: these customers had already visited.</t>
  </si>
  <si>
    <t xml:space="preserve">Display and video</t>
  </si>
  <si>
    <t xml:space="preserve">Exponent of 0.80 matches the Budget Builder's display assumption.</t>
  </si>
  <si>
    <t xml:space="preserve">Affiliates</t>
  </si>
  <si>
    <t xml:space="preserve">Cashback and voucher sites usually sit lower than content partners.</t>
  </si>
  <si>
    <t xml:space="preserve">Influencer</t>
  </si>
  <si>
    <t xml:space="preserve">Other</t>
  </si>
  <si>
    <t xml:space="preserve">Incrementality factor: the share of the sales a campaign is credited with that would not have happened without it. Response exponent: how quickly returns fall as spend rises. At 0.65, doubling spend raises the sales a campaign causes by about 57%, not 100%. Replace both with your own test results; the Tests sheet overrides the factor campaign by campaign.</t>
  </si>
  <si>
    <t xml:space="preserve">Campaign data</t>
  </si>
  <si>
    <t xml:space="preserve">One row per campaign or channel for the period, as your attribution reports it. Gross sales are after discount and before returns, ex VAT.</t>
  </si>
  <si>
    <t xml:space="preserve">Campaign</t>
  </si>
  <si>
    <t xml:space="preserve">Attributed orders</t>
  </si>
  <si>
    <t xml:space="preserve">Attributed gross sales (£)</t>
  </si>
  <si>
    <t xml:space="preserve">Attributed new customers</t>
  </si>
  <si>
    <t xml:space="preserve">Returns rate (if different)</t>
  </si>
  <si>
    <t xml:space="preserve">Gross margin (if different)</t>
  </si>
  <si>
    <t xml:space="preserve">Generic search: core categories</t>
  </si>
  <si>
    <t xml:space="preserve">Generic search: long tail</t>
  </si>
  <si>
    <t xml:space="preserve">Shopping: full range</t>
  </si>
  <si>
    <t xml:space="preserve">Shopping: clearance lines</t>
  </si>
  <si>
    <t xml:space="preserve">Lower margin on clearance stock</t>
  </si>
  <si>
    <t xml:space="preserve">Paid social: prospecting</t>
  </si>
  <si>
    <t xml:space="preserve">Paid social: retargeting</t>
  </si>
  <si>
    <t xml:space="preserve">Display: prospecting</t>
  </si>
  <si>
    <t xml:space="preserve">Online video</t>
  </si>
  <si>
    <t xml:space="preserve">Affiliates: cashback and voucher</t>
  </si>
  <si>
    <t xml:space="preserve">Spend is commission paid</t>
  </si>
  <si>
    <t xml:space="preserve">Affiliates: content partners</t>
  </si>
  <si>
    <t xml:space="preserve">Influencer: seasonal</t>
  </si>
  <si>
    <t xml:space="preserve">Measured tests</t>
  </si>
  <si>
    <t xml:space="preserve">Holdout and on-off tests. A measured factor replaces the default for that campaign. Enter the campaign name exactly as it appears on Campaign Data.</t>
  </si>
  <si>
    <t xml:space="preserve">Test type</t>
  </si>
  <si>
    <t xml:space="preserve">When</t>
  </si>
  <si>
    <t xml:space="preserve">Sales the campaign was credited with in the test (£)</t>
  </si>
  <si>
    <t xml:space="preserve">Sales it caused, measured (£)</t>
  </si>
  <si>
    <t xml:space="preserve">Measured factor</t>
  </si>
  <si>
    <t xml:space="preserve">Matches a campaign?</t>
  </si>
  <si>
    <t xml:space="preserve">Geographic holdout</t>
  </si>
  <si>
    <t xml:space="preserve">Spring (example)</t>
  </si>
  <si>
    <t xml:space="preserve">Paused in two regions for four weeks</t>
  </si>
  <si>
    <t xml:space="preserve">Summer (example)</t>
  </si>
  <si>
    <t xml:space="preserve">Audience holdout</t>
  </si>
  <si>
    <t xml:space="preserve">Last click credited less than half of what it caused</t>
  </si>
  <si>
    <t xml:space="preserve">On-off test</t>
  </si>
  <si>
    <t xml:space="preserve">Most of these customers were already in the basket</t>
  </si>
  <si>
    <t xml:space="preserve">Campaign analysis</t>
  </si>
  <si>
    <t xml:space="preserve">Attributed sales, then the sales each campaign caused, then contribution, then the return on the average pound and on the last one.</t>
  </si>
  <si>
    <t xml:space="preserve">Returns rate</t>
  </si>
  <si>
    <t xml:space="preserve">Gross margin</t>
  </si>
  <si>
    <t xml:space="preserve">Attributed net sales (£)</t>
  </si>
  <si>
    <t xml:space="preserve">Incrementality factor</t>
  </si>
  <si>
    <t xml:space="preserve">Evidence</t>
  </si>
  <si>
    <t xml:space="preserve">Sales it caused, net (£)</t>
  </si>
  <si>
    <t xml:space="preserve">Orders it caused</t>
  </si>
  <si>
    <t xml:space="preserve">Contribution before media (£)</t>
  </si>
  <si>
    <t xml:space="preserve">Contribution per £1, average</t>
  </si>
  <si>
    <t xml:space="preserve">Contribution per £1, last pound</t>
  </si>
  <si>
    <t xml:space="preserve">New customers it caused</t>
  </si>
  <si>
    <t xml:space="preserve">Cost per new customer it caused (£)</t>
  </si>
  <si>
    <t xml:space="preserve">First-order payback</t>
  </si>
  <si>
    <t xml:space="preserve">Share of spend</t>
  </si>
  <si>
    <t xml:space="preserve">Spend where the last pound breaks even (£, estimate)</t>
  </si>
  <si>
    <t xml:space="preserve">Rank, least efficient first</t>
  </si>
  <si>
    <t xml:space="preserve">Total</t>
  </si>
  <si>
    <t xml:space="preserve">Step-down test: what if the budget were cut?</t>
  </si>
  <si>
    <t xml:space="preserve">Cut the least efficient spend first, judged on the last pound, and compare with cutting every campaign evenly. Estimates from each campaign's response curve.</t>
  </si>
  <si>
    <t xml:space="preserve">Cut in total spend</t>
  </si>
  <si>
    <t xml:space="preserve">Spend saved (£)</t>
  </si>
  <si>
    <t xml:space="preserve">Net sales lost (£)</t>
  </si>
  <si>
    <t xml:space="preserve">Share of the business's net sales</t>
  </si>
  <si>
    <t xml:space="preserve">Contribution before media lost (£)</t>
  </si>
  <si>
    <t xml:space="preserve">Change in contribution after media (£)</t>
  </si>
  <si>
    <t xml:space="preserve">Same cut spread evenly: change in contribution after media (£)</t>
  </si>
  <si>
    <t xml:space="preserve">Best of the three</t>
  </si>
  <si>
    <t xml:space="preserve">Detail by campaign</t>
  </si>
  <si>
    <t xml:space="preserve">Rank</t>
  </si>
  <si>
    <t xml:space="preserve">Spend ranked ahead of it (£)</t>
  </si>
  <si>
    <t xml:space="preserve">10%: share cut</t>
  </si>
  <si>
    <t xml:space="preserve">10%: spend saved</t>
  </si>
  <si>
    <t xml:space="preserve">10%: contribution lost</t>
  </si>
  <si>
    <t xml:space="preserve">10%: sales lost</t>
  </si>
  <si>
    <t xml:space="preserve">10%: evenly, contribution lost</t>
  </si>
  <si>
    <t xml:space="preserve">20%: share cut</t>
  </si>
  <si>
    <t xml:space="preserve">20%: spend saved</t>
  </si>
  <si>
    <t xml:space="preserve">20%: contribution lost</t>
  </si>
  <si>
    <t xml:space="preserve">20%: sales lost</t>
  </si>
  <si>
    <t xml:space="preserve">20%: evenly, contribution lost</t>
  </si>
  <si>
    <t xml:space="preserve">30%: share cut</t>
  </si>
  <si>
    <t xml:space="preserve">30%: spend saved</t>
  </si>
  <si>
    <t xml:space="preserve">30%: contribution lost</t>
  </si>
  <si>
    <t xml:space="preserve">30%: sales lost</t>
  </si>
  <si>
    <t xml:space="preserve">30%: evenly, contribution lost</t>
  </si>
  <si>
    <t xml:space="preserve">FAIL means fix before reading the verdicts. WARN means look first.</t>
  </si>
  <si>
    <t xml:space="preserve">#</t>
  </si>
  <si>
    <t xml:space="preserve">Check</t>
  </si>
  <si>
    <t xml:space="preserve">Status</t>
  </si>
  <si>
    <t xml:space="preserve">What to do</t>
  </si>
  <si>
    <t xml:space="preserve">No negative spend, orders, sales or customers</t>
  </si>
  <si>
    <t xml:space="preserve">Correct the negative values.</t>
  </si>
  <si>
    <t xml:space="preserve">Every campaign has a channel type from the Settings list</t>
  </si>
  <si>
    <t xml:space="preserve">Pick a channel type from the list. Blank types are treated as Other.</t>
  </si>
  <si>
    <t xml:space="preserve">Campaign names are unique</t>
  </si>
  <si>
    <t xml:space="preserve">Two rows share a name, so a test result could land on the wrong one.</t>
  </si>
  <si>
    <t xml:space="preserve">Every test matches a campaign</t>
  </si>
  <si>
    <t xml:space="preserve">Type the campaign name exactly as on Campaign Data.</t>
  </si>
  <si>
    <t xml:space="preserve">Measured factors between 0 and 2</t>
  </si>
  <si>
    <t xml:space="preserve">A factor above 1 is possible when attribution under-credits a campaign; above 2, check the test.</t>
  </si>
  <si>
    <t xml:space="preserve">Response exponents between 0.1 and 0.95</t>
  </si>
  <si>
    <t xml:space="preserve">At 1 or above, the last pound would earn as much as the first.</t>
  </si>
  <si>
    <t xml:space="preserve">Returns rates and margins between 0% and 100%</t>
  </si>
  <si>
    <t xml:space="preserve">Enter shares as percentages.</t>
  </si>
  <si>
    <t xml:space="preserve">New customers no more than orders</t>
  </si>
  <si>
    <t xml:space="preserve">A campaign cannot acquire more customers than it took orders.</t>
  </si>
  <si>
    <t xml:space="preserve">Channels claim no more than the business sold</t>
  </si>
  <si>
    <t xml:space="preserve">Attributed net sales add up to more than the business sold: channels are claiming the same orders.</t>
  </si>
  <si>
    <t xml:space="preserve">Share of spend measured by a test</t>
  </si>
  <si>
    <t xml:space="preserve">Less than a quarter of spend is measured. Plan holdouts on the largest untested campaigns.</t>
  </si>
  <si>
    <t xml:space="preserve">Overall status</t>
  </si>
</sst>
</file>

<file path=xl/styles.xml><?xml version="1.0" encoding="utf-8"?>
<styleSheet xmlns="http://schemas.openxmlformats.org/spreadsheetml/2006/main">
  <numFmts count="8">
    <numFmt numFmtId="164" formatCode="General"/>
    <numFmt numFmtId="165" formatCode="\£#,##0;&quot;(£&quot;#,##0\);\-"/>
    <numFmt numFmtId="166" formatCode="0.00;\(0.00\);\-"/>
    <numFmt numFmtId="167" formatCode="0%;\(0%\);\-"/>
    <numFmt numFmtId="168" formatCode="\£#,##0.00;&quot;(£&quot;#,##0.00\);\-"/>
    <numFmt numFmtId="169" formatCode="0.0%;\(0.0%\);\-"/>
    <numFmt numFmtId="170" formatCode="#,##0;\(#,##0\);\-"/>
    <numFmt numFmtId="171" formatCode="General"/>
  </numFmts>
  <fonts count="21">
    <font>
      <sz val="11"/>
      <color theme="1"/>
      <name val="Calibri"/>
      <family val="2"/>
      <charset val="1"/>
    </font>
    <font>
      <sz val="10"/>
      <name val="Arial"/>
      <family val="0"/>
    </font>
    <font>
      <sz val="10"/>
      <name val="Arial"/>
      <family val="0"/>
    </font>
    <font>
      <sz val="10"/>
      <name val="Arial"/>
      <family val="0"/>
    </font>
    <font>
      <b val="true"/>
      <sz val="14"/>
      <color rgb="FF002147"/>
      <name val="Arial"/>
      <family val="0"/>
      <charset val="1"/>
    </font>
    <font>
      <i val="true"/>
      <sz val="9"/>
      <color rgb="FF4A4A4A"/>
      <name val="Arial"/>
      <family val="0"/>
      <charset val="1"/>
    </font>
    <font>
      <b val="true"/>
      <sz val="11"/>
      <color rgb="FF002147"/>
      <name val="Arial"/>
      <family val="0"/>
      <charset val="1"/>
    </font>
    <font>
      <sz val="10"/>
      <color rgb="FF222222"/>
      <name val="Arial"/>
      <family val="0"/>
      <charset val="1"/>
    </font>
    <font>
      <sz val="10"/>
      <color rgb="FF0000FF"/>
      <name val="Arial"/>
      <family val="0"/>
      <charset val="1"/>
    </font>
    <font>
      <i val="true"/>
      <sz val="10"/>
      <color rgb="FF002147"/>
      <name val="Arial"/>
      <family val="0"/>
      <charset val="1"/>
    </font>
    <font>
      <sz val="8"/>
      <color rgb="FF4A4A4A"/>
      <name val="Arial"/>
      <family val="0"/>
      <charset val="1"/>
    </font>
    <font>
      <sz val="11"/>
      <color rgb="FF222222"/>
      <name val="Arial"/>
      <family val="0"/>
      <charset val="1"/>
    </font>
    <font>
      <sz val="11"/>
      <color rgb="FF008000"/>
      <name val="Arial"/>
      <family val="0"/>
      <charset val="1"/>
    </font>
    <font>
      <b val="true"/>
      <sz val="10"/>
      <color rgb="FF002147"/>
      <name val="Arial"/>
      <family val="0"/>
      <charset val="1"/>
    </font>
    <font>
      <b val="true"/>
      <sz val="9"/>
      <color rgb="FFFDFCF9"/>
      <name val="Arial"/>
      <family val="0"/>
      <charset val="1"/>
    </font>
    <font>
      <sz val="11"/>
      <color rgb="FF000000"/>
      <name val="Arial"/>
      <family val="0"/>
      <charset val="1"/>
    </font>
    <font>
      <sz val="9"/>
      <color rgb="FF0000FF"/>
      <name val="Arial"/>
      <family val="0"/>
      <charset val="1"/>
    </font>
    <font>
      <b val="true"/>
      <sz val="9"/>
      <color rgb="FF222222"/>
      <name val="Arial"/>
      <family val="0"/>
      <charset val="1"/>
    </font>
    <font>
      <b val="true"/>
      <sz val="9"/>
      <name val="Arial"/>
      <family val="0"/>
      <charset val="1"/>
    </font>
    <font>
      <b val="true"/>
      <sz val="9"/>
      <color rgb="FF000000"/>
      <name val="Arial"/>
      <family val="0"/>
      <charset val="1"/>
    </font>
    <font>
      <b val="true"/>
      <sz val="9"/>
      <color rgb="FF008000"/>
      <name val="Arial"/>
      <family val="0"/>
      <charset val="1"/>
    </font>
  </fonts>
  <fills count="6">
    <fill>
      <patternFill patternType="none"/>
    </fill>
    <fill>
      <patternFill patternType="gray125"/>
    </fill>
    <fill>
      <patternFill patternType="solid">
        <fgColor rgb="FFFFF4D6"/>
        <bgColor rgb="FFF2F2F2"/>
      </patternFill>
    </fill>
    <fill>
      <patternFill patternType="solid">
        <fgColor rgb="FFE6E9EE"/>
        <bgColor rgb="FFF2F2F2"/>
      </patternFill>
    </fill>
    <fill>
      <patternFill patternType="solid">
        <fgColor rgb="FF002147"/>
        <bgColor rgb="FF222222"/>
      </patternFill>
    </fill>
    <fill>
      <patternFill patternType="solid">
        <fgColor rgb="FFF2F2F2"/>
        <bgColor rgb="FFE6E9EE"/>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67" fontId="12" fillId="0" borderId="0" xfId="0" applyFont="true" applyBorder="false" applyAlignment="false" applyProtection="false">
      <alignment horizontal="general" vertical="bottom" textRotation="0" wrapText="false" indent="0" shrinkToFit="false"/>
      <protection locked="true" hidden="false"/>
    </xf>
    <xf numFmtId="168" fontId="12" fillId="0"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center" vertical="center"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16" fillId="2" borderId="0" xfId="0" applyFont="true" applyBorder="false" applyAlignment="false" applyProtection="true">
      <alignment horizontal="general" vertical="bottom" textRotation="0" wrapText="false" indent="0" shrinkToFit="false"/>
      <protection locked="false" hidden="false"/>
    </xf>
    <xf numFmtId="165" fontId="16" fillId="2" borderId="0" xfId="0" applyFont="true" applyBorder="false" applyAlignment="false" applyProtection="true">
      <alignment horizontal="general" vertical="bottom" textRotation="0" wrapText="false" indent="0" shrinkToFit="false"/>
      <protection locked="false" hidden="false"/>
    </xf>
    <xf numFmtId="169" fontId="16" fillId="2" borderId="0" xfId="0" applyFont="true" applyBorder="false" applyAlignment="false" applyProtection="true">
      <alignment horizontal="general" vertical="bottom" textRotation="0" wrapText="false" indent="0" shrinkToFit="false"/>
      <protection locked="false" hidden="false"/>
    </xf>
    <xf numFmtId="168" fontId="16" fillId="2" borderId="0" xfId="0" applyFont="true" applyBorder="false" applyAlignment="false" applyProtection="true">
      <alignment horizontal="general" vertical="bottom" textRotation="0" wrapText="false" indent="0" shrinkToFit="false"/>
      <protection locked="false" hidden="false"/>
    </xf>
    <xf numFmtId="166" fontId="16" fillId="2" borderId="0" xfId="0" applyFont="true" applyBorder="false" applyAlignment="false" applyProtection="true">
      <alignment horizontal="general" vertical="bottom" textRotation="0" wrapText="false" indent="0" shrinkToFit="false"/>
      <protection locked="false" hidden="false"/>
    </xf>
    <xf numFmtId="164" fontId="11" fillId="0" borderId="0" xfId="0" applyFont="true" applyBorder="true" applyAlignment="true" applyProtection="false">
      <alignment horizontal="general" vertical="top" textRotation="0" wrapText="true" indent="0" shrinkToFit="false"/>
      <protection locked="true" hidden="false"/>
    </xf>
    <xf numFmtId="170" fontId="16" fillId="2" borderId="0" xfId="0" applyFont="true" applyBorder="false" applyAlignment="false" applyProtection="true">
      <alignment horizontal="general" vertical="bottom" textRotation="0" wrapText="false" indent="0" shrinkToFit="false"/>
      <protection locked="fals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9" fontId="12" fillId="0" borderId="0" xfId="0" applyFont="true" applyBorder="false" applyAlignment="false" applyProtection="false">
      <alignment horizontal="general" vertical="bottom" textRotation="0" wrapText="false" indent="0" shrinkToFit="false"/>
      <protection locked="true" hidden="false"/>
    </xf>
    <xf numFmtId="165" fontId="15" fillId="0" borderId="0" xfId="0" applyFont="true" applyBorder="false" applyAlignment="false" applyProtection="false">
      <alignment horizontal="general" vertical="bottom" textRotation="0" wrapText="false" indent="0" shrinkToFit="false"/>
      <protection locked="true" hidden="false"/>
    </xf>
    <xf numFmtId="170" fontId="12" fillId="0" borderId="0" xfId="0" applyFont="true" applyBorder="false" applyAlignment="false" applyProtection="false">
      <alignment horizontal="general" vertical="bottom" textRotation="0" wrapText="false" indent="0" shrinkToFit="false"/>
      <protection locked="true" hidden="false"/>
    </xf>
    <xf numFmtId="168" fontId="15" fillId="0" borderId="0" xfId="0" applyFont="true" applyBorder="false" applyAlignment="false" applyProtection="false">
      <alignment horizontal="general" vertical="bottom" textRotation="0" wrapText="false" indent="0" shrinkToFit="false"/>
      <protection locked="true" hidden="false"/>
    </xf>
    <xf numFmtId="169" fontId="15"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71" fontId="15" fillId="0" borderId="0" xfId="0" applyFont="true" applyBorder="false" applyAlignment="false" applyProtection="false">
      <alignment horizontal="general" vertical="bottom" textRotation="0" wrapText="false" indent="0" shrinkToFit="false"/>
      <protection locked="true" hidden="false"/>
    </xf>
    <xf numFmtId="164" fontId="17" fillId="5" borderId="0" xfId="0" applyFont="true" applyBorder="false" applyAlignment="false" applyProtection="false">
      <alignment horizontal="general" vertical="bottom" textRotation="0" wrapText="false" indent="0" shrinkToFit="false"/>
      <protection locked="true" hidden="false"/>
    </xf>
    <xf numFmtId="164" fontId="18" fillId="5" borderId="0" xfId="0" applyFont="true" applyBorder="false" applyAlignment="false" applyProtection="false">
      <alignment horizontal="general" vertical="bottom" textRotation="0" wrapText="false" indent="0" shrinkToFit="false"/>
      <protection locked="true" hidden="false"/>
    </xf>
    <xf numFmtId="165" fontId="19" fillId="5" borderId="0" xfId="0" applyFont="true" applyBorder="false" applyAlignment="false" applyProtection="false">
      <alignment horizontal="general" vertical="bottom" textRotation="0" wrapText="false" indent="0" shrinkToFit="false"/>
      <protection locked="true" hidden="false"/>
    </xf>
    <xf numFmtId="166" fontId="20" fillId="5" borderId="0" xfId="0" applyFont="true" applyBorder="false" applyAlignment="false" applyProtection="false">
      <alignment horizontal="general" vertical="bottom" textRotation="0" wrapText="false" indent="0" shrinkToFit="false"/>
      <protection locked="true" hidden="false"/>
    </xf>
    <xf numFmtId="166" fontId="19" fillId="5" borderId="0" xfId="0" applyFont="true" applyBorder="false" applyAlignment="false" applyProtection="false">
      <alignment horizontal="general" vertical="bottom" textRotation="0" wrapText="false" indent="0" shrinkToFit="false"/>
      <protection locked="true" hidden="false"/>
    </xf>
    <xf numFmtId="170" fontId="19" fillId="5" borderId="0" xfId="0" applyFont="true" applyBorder="false" applyAlignment="false" applyProtection="false">
      <alignment horizontal="general" vertical="bottom" textRotation="0" wrapText="false" indent="0" shrinkToFit="false"/>
      <protection locked="true" hidden="false"/>
    </xf>
    <xf numFmtId="168" fontId="19" fillId="5" borderId="0" xfId="0" applyFont="true" applyBorder="false" applyAlignment="false" applyProtection="false">
      <alignment horizontal="general" vertical="bottom" textRotation="0" wrapText="false" indent="0" shrinkToFit="false"/>
      <protection locked="true" hidden="false"/>
    </xf>
    <xf numFmtId="167" fontId="16" fillId="2" borderId="0" xfId="0" applyFont="true" applyBorder="false" applyAlignment="false" applyProtection="true">
      <alignment horizontal="general" vertical="bottom" textRotation="0" wrapText="false" indent="0" shrinkToFit="false"/>
      <protection locked="false" hidden="false"/>
    </xf>
    <xf numFmtId="167" fontId="15"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002147"/>
      </font>
      <fill>
        <patternFill>
          <bgColor rgb="FFE6E9EE"/>
        </patternFill>
      </fill>
    </dxf>
    <dxf>
      <font>
        <name val="Arial"/>
        <charset val="1"/>
        <family val="0"/>
        <b val="1"/>
        <color rgb="FF002147"/>
      </font>
      <fill>
        <patternFill>
          <bgColor rgb="FFF6E7C1"/>
        </patternFill>
      </fill>
    </dxf>
    <dxf>
      <font>
        <name val="Arial"/>
        <charset val="1"/>
        <family val="0"/>
        <b val="1"/>
        <color rgb="FFFFFFFF"/>
      </font>
      <fill>
        <patternFill>
          <bgColor rgb="FFB00020"/>
        </patternFill>
      </fill>
    </dxf>
    <dxf>
      <font>
        <name val="Arial"/>
        <charset val="1"/>
        <family val="0"/>
        <b val="1"/>
        <color rgb="FFC69214"/>
      </font>
      <fill>
        <patternFill>
          <bgColor rgb="FFFFF4D6"/>
        </patternFill>
      </fill>
    </dxf>
  </dxfs>
  <colors>
    <indexedColors>
      <rgbColor rgb="FF000000"/>
      <rgbColor rgb="FFFFFFFF"/>
      <rgbColor rgb="FFFF0000"/>
      <rgbColor rgb="FF00FF00"/>
      <rgbColor rgb="FF0000FF"/>
      <rgbColor rgb="FFFFFF00"/>
      <rgbColor rgb="FFFF00FF"/>
      <rgbColor rgb="FF00FFFF"/>
      <rgbColor rgb="FFB00020"/>
      <rgbColor rgb="FF008000"/>
      <rgbColor rgb="FF000080"/>
      <rgbColor rgb="FF808000"/>
      <rgbColor rgb="FF800080"/>
      <rgbColor rgb="FF008080"/>
      <rgbColor rgb="FFC0C0C0"/>
      <rgbColor rgb="FF808080"/>
      <rgbColor rgb="FF9999FF"/>
      <rgbColor rgb="FF993366"/>
      <rgbColor rgb="FFFFF4D6"/>
      <rgbColor rgb="FFE6E9E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FDFCF9"/>
      <rgbColor rgb="FFF6E7C1"/>
      <rgbColor rgb="FF99CCFF"/>
      <rgbColor rgb="FFFF99CC"/>
      <rgbColor rgb="FFCC99FF"/>
      <rgbColor rgb="FFFFCC99"/>
      <rgbColor rgb="FF3366FF"/>
      <rgbColor rgb="FF33CCCC"/>
      <rgbColor rgb="FF99CC00"/>
      <rgbColor rgb="FFFFCC00"/>
      <rgbColor rgb="FFC69214"/>
      <rgbColor rgb="FFFF6600"/>
      <rgbColor rgb="FF666699"/>
      <rgbColor rgb="FF969696"/>
      <rgbColor rgb="FF002147"/>
      <rgbColor rgb="FF339966"/>
      <rgbColor rgb="FF003300"/>
      <rgbColor rgb="FF4A4A4A"/>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23.85" hidden="false" customHeight="false" outlineLevel="0" collapsed="false">
      <c r="A5" s="4" t="s">
        <v>3</v>
      </c>
    </row>
    <row r="6" customFormat="false" ht="15" hidden="false" customHeight="false" outlineLevel="0" collapsed="false">
      <c r="A6" s="4" t="s">
        <v>4</v>
      </c>
    </row>
    <row r="8" customFormat="false" ht="15" hidden="false" customHeight="false" outlineLevel="0" collapsed="false">
      <c r="A8" s="3" t="s">
        <v>5</v>
      </c>
    </row>
    <row r="9" customFormat="false" ht="35.05" hidden="false" customHeight="false" outlineLevel="0" collapsed="false">
      <c r="A9" s="4" t="s">
        <v>6</v>
      </c>
    </row>
    <row r="11" customFormat="false" ht="15" hidden="false" customHeight="false" outlineLevel="0" collapsed="false">
      <c r="A11" s="3" t="s">
        <v>7</v>
      </c>
    </row>
    <row r="12" customFormat="false" ht="15" hidden="false" customHeight="false" outlineLevel="0" collapsed="false">
      <c r="A12" s="4" t="s">
        <v>8</v>
      </c>
    </row>
    <row r="13" customFormat="false" ht="23.85" hidden="false" customHeight="false" outlineLevel="0" collapsed="false">
      <c r="A13" s="4" t="s">
        <v>9</v>
      </c>
    </row>
    <row r="14" customFormat="false" ht="23.85" hidden="false" customHeight="false" outlineLevel="0" collapsed="false">
      <c r="A14" s="4" t="s">
        <v>10</v>
      </c>
    </row>
    <row r="15" customFormat="false" ht="15" hidden="false" customHeight="false" outlineLevel="0" collapsed="false">
      <c r="A15" s="4" t="s">
        <v>11</v>
      </c>
    </row>
    <row r="16" customFormat="false" ht="23.85" hidden="false" customHeight="false" outlineLevel="0" collapsed="false">
      <c r="A16" s="4" t="s">
        <v>12</v>
      </c>
    </row>
    <row r="18" customFormat="false" ht="15" hidden="false" customHeight="false" outlineLevel="0" collapsed="false">
      <c r="A18" s="3" t="s">
        <v>13</v>
      </c>
    </row>
    <row r="19" customFormat="false" ht="35.05" hidden="false" customHeight="false" outlineLevel="0" collapsed="false">
      <c r="A19" s="4" t="s">
        <v>14</v>
      </c>
    </row>
    <row r="21" customFormat="false" ht="15" hidden="false" customHeight="false" outlineLevel="0" collapsed="false">
      <c r="A21" s="3" t="s">
        <v>15</v>
      </c>
    </row>
    <row r="22" customFormat="false" ht="15" hidden="false" customHeight="false" outlineLevel="0" collapsed="false">
      <c r="A22" s="4" t="s">
        <v>16</v>
      </c>
    </row>
    <row r="24" customFormat="false" ht="15" hidden="false" customHeight="false" outlineLevel="0" collapsed="false">
      <c r="A24" s="3" t="s">
        <v>17</v>
      </c>
    </row>
    <row r="25" customFormat="false" ht="15" hidden="false" customHeight="false" outlineLevel="0" collapsed="false">
      <c r="A25" s="5" t="s">
        <v>18</v>
      </c>
    </row>
    <row r="26" customFormat="false" ht="15" hidden="false" customHeight="false" outlineLevel="0" collapsed="false">
      <c r="A26" s="4" t="s">
        <v>19</v>
      </c>
    </row>
    <row r="28" customFormat="false" ht="15" hidden="false" customHeight="false" outlineLevel="0" collapsed="false">
      <c r="A28" s="3" t="s">
        <v>20</v>
      </c>
    </row>
    <row r="29" customFormat="false" ht="23.85" hidden="false" customHeight="false" outlineLevel="0" collapsed="false">
      <c r="A29" s="4" t="s">
        <v>21</v>
      </c>
    </row>
    <row r="30" customFormat="false" ht="23.85" hidden="false" customHeight="false" outlineLevel="0" collapsed="false">
      <c r="A30" s="4" t="s">
        <v>22</v>
      </c>
    </row>
    <row r="31" customFormat="false" ht="23.85" hidden="false" customHeight="false" outlineLevel="0" collapsed="false">
      <c r="A31" s="4" t="s">
        <v>23</v>
      </c>
    </row>
    <row r="33" customFormat="false" ht="15" hidden="false" customHeight="false" outlineLevel="0" collapsed="false">
      <c r="A33" s="6" t="s">
        <v>24</v>
      </c>
    </row>
    <row r="35" customFormat="false" ht="15" hidden="false" customHeight="false" outlineLevel="0" collapsed="false">
      <c r="A35" s="7" t="s">
        <v>25</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22"/>
    <col collapsed="false" customWidth="true" hidden="false" outlineLevel="0" max="3" min="3" style="0" width="18"/>
    <col collapsed="false" customWidth="true" hidden="false" outlineLevel="0" max="4" min="4" style="0" width="26"/>
  </cols>
  <sheetData>
    <row r="1" customFormat="false" ht="17.35" hidden="false" customHeight="false" outlineLevel="0" collapsed="false">
      <c r="A1" s="1" t="s">
        <v>26</v>
      </c>
    </row>
    <row r="2" customFormat="false" ht="15" hidden="false" customHeight="false" outlineLevel="0" collapsed="false">
      <c r="A2" s="2" t="s">
        <v>27</v>
      </c>
    </row>
    <row r="4" customFormat="false" ht="15" hidden="false" customHeight="false" outlineLevel="0" collapsed="false">
      <c r="A4" s="8" t="s">
        <v>28</v>
      </c>
      <c r="B4" s="9" t="str">
        <f aca="false">Checks!D16</f>
        <v>PASS</v>
      </c>
    </row>
    <row r="6" customFormat="false" ht="15" hidden="false" customHeight="false" outlineLevel="0" collapsed="false">
      <c r="A6" s="10" t="s">
        <v>29</v>
      </c>
      <c r="B6" s="10"/>
      <c r="C6" s="10"/>
      <c r="D6" s="10"/>
    </row>
    <row r="7" customFormat="false" ht="15" hidden="false" customHeight="false" outlineLevel="0" collapsed="false">
      <c r="A7" s="8" t="s">
        <v>30</v>
      </c>
      <c r="B7" s="9" t="str">
        <f aca="false">Settings!$B$5</f>
        <v>13 weeks to the end of October (example)</v>
      </c>
    </row>
    <row r="8" customFormat="false" ht="15" hidden="false" customHeight="false" outlineLevel="0" collapsed="false">
      <c r="A8" s="8" t="s">
        <v>31</v>
      </c>
      <c r="B8" s="11" t="n">
        <f aca="false">'Campaign Analysis'!$C$46</f>
        <v>685000</v>
      </c>
    </row>
    <row r="9" customFormat="false" ht="15" hidden="false" customHeight="false" outlineLevel="0" collapsed="false">
      <c r="A9" s="8" t="s">
        <v>32</v>
      </c>
      <c r="B9" s="12" t="n">
        <f aca="false">'Campaign Analysis'!$D$46</f>
        <v>5.68905109489051</v>
      </c>
    </row>
    <row r="10" customFormat="false" ht="15" hidden="false" customHeight="false" outlineLevel="0" collapsed="false">
      <c r="A10" s="8" t="s">
        <v>33</v>
      </c>
      <c r="B10" s="13" t="n">
        <f aca="false">'Campaign Analysis'!$H$46</f>
        <v>0.539328997930831</v>
      </c>
    </row>
    <row r="11" customFormat="false" ht="15" hidden="false" customHeight="false" outlineLevel="0" collapsed="false">
      <c r="A11" s="8" t="s">
        <v>34</v>
      </c>
      <c r="B11" s="11" t="n">
        <f aca="false">'Campaign Analysis'!$L$46</f>
        <v>705973.46</v>
      </c>
    </row>
    <row r="12" customFormat="false" ht="15" hidden="false" customHeight="false" outlineLevel="0" collapsed="false">
      <c r="A12" s="8" t="s">
        <v>35</v>
      </c>
      <c r="B12" s="11" t="n">
        <f aca="false">'Campaign Analysis'!$M$46</f>
        <v>20973.46</v>
      </c>
    </row>
    <row r="13" customFormat="false" ht="15" hidden="false" customHeight="false" outlineLevel="0" collapsed="false">
      <c r="A13" s="8" t="s">
        <v>36</v>
      </c>
      <c r="B13" s="14" t="n">
        <f aca="false">'Campaign Analysis'!$N$46</f>
        <v>1.03061818978102</v>
      </c>
    </row>
    <row r="14" customFormat="false" ht="15" hidden="false" customHeight="false" outlineLevel="0" collapsed="false">
      <c r="A14" s="8" t="s">
        <v>37</v>
      </c>
      <c r="B14" s="11" t="n">
        <f aca="false">SUMIF('Campaign Analysis'!$P$6:$P$45,"&lt;1",'Campaign Analysis'!$C$6:$C$45)</f>
        <v>540000</v>
      </c>
    </row>
    <row r="15" customFormat="false" ht="15" hidden="false" customHeight="false" outlineLevel="0" collapsed="false">
      <c r="A15" s="8" t="s">
        <v>38</v>
      </c>
      <c r="B15" s="11" t="n">
        <f aca="false">SUMIF('Campaign Analysis'!$I$6:$I$45,"Assumed",'Campaign Analysis'!$C$6:$C$45)</f>
        <v>445000</v>
      </c>
    </row>
    <row r="17" customFormat="false" ht="15" hidden="false" customHeight="false" outlineLevel="0" collapsed="false">
      <c r="A17" s="10" t="s">
        <v>39</v>
      </c>
      <c r="B17" s="10"/>
      <c r="C17" s="10"/>
      <c r="D17" s="10"/>
    </row>
    <row r="18" customFormat="false" ht="24" hidden="false" customHeight="true" outlineLevel="0" collapsed="false">
      <c r="A18" s="15" t="s">
        <v>40</v>
      </c>
      <c r="B18" s="15" t="s">
        <v>41</v>
      </c>
      <c r="C18" s="15" t="s">
        <v>42</v>
      </c>
      <c r="D18" s="15" t="s">
        <v>35</v>
      </c>
    </row>
    <row r="19" customFormat="false" ht="15" hidden="false" customHeight="false" outlineLevel="0" collapsed="false">
      <c r="A19" s="8" t="s">
        <v>43</v>
      </c>
      <c r="B19" s="9" t="n">
        <f aca="false">COUNTIF('Campaign Analysis'!$V$6:$V$45,A19)</f>
        <v>1</v>
      </c>
      <c r="C19" s="11" t="n">
        <f aca="false">SUMIF('Campaign Analysis'!$V$6:$V$45,A19,'Campaign Analysis'!$C$6:$C$45)</f>
        <v>40000</v>
      </c>
      <c r="D19" s="11" t="n">
        <f aca="false">SUMIF('Campaign Analysis'!$V$6:$V$45,A19,'Campaign Analysis'!$M$6:$M$45)</f>
        <v>43328</v>
      </c>
    </row>
    <row r="20" customFormat="false" ht="15" hidden="false" customHeight="false" outlineLevel="0" collapsed="false">
      <c r="A20" s="8" t="s">
        <v>44</v>
      </c>
      <c r="B20" s="9" t="n">
        <f aca="false">COUNTIF('Campaign Analysis'!$V$6:$V$45,A20)</f>
        <v>2</v>
      </c>
      <c r="C20" s="11" t="n">
        <f aca="false">SUMIF('Campaign Analysis'!$V$6:$V$45,A20,'Campaign Analysis'!$C$6:$C$45)</f>
        <v>105000</v>
      </c>
      <c r="D20" s="11" t="n">
        <f aca="false">SUMIF('Campaign Analysis'!$V$6:$V$45,A20,'Campaign Analysis'!$M$6:$M$45)</f>
        <v>50949.2</v>
      </c>
    </row>
    <row r="21" customFormat="false" ht="15" hidden="false" customHeight="false" outlineLevel="0" collapsed="false">
      <c r="A21" s="8" t="s">
        <v>45</v>
      </c>
      <c r="B21" s="9" t="n">
        <f aca="false">COUNTIF('Campaign Analysis'!$V$6:$V$45,A21)</f>
        <v>1</v>
      </c>
      <c r="C21" s="11" t="n">
        <f aca="false">SUMIF('Campaign Analysis'!$V$6:$V$45,A21,'Campaign Analysis'!$C$6:$C$45)</f>
        <v>60000</v>
      </c>
      <c r="D21" s="11" t="n">
        <f aca="false">SUMIF('Campaign Analysis'!$V$6:$V$45,A21,'Campaign Analysis'!$M$6:$M$45)</f>
        <v>2496</v>
      </c>
    </row>
    <row r="22" customFormat="false" ht="15" hidden="false" customHeight="false" outlineLevel="0" collapsed="false">
      <c r="A22" s="8" t="s">
        <v>46</v>
      </c>
      <c r="B22" s="9" t="n">
        <f aca="false">COUNTIF('Campaign Analysis'!$V$6:$V$45,A22)</f>
        <v>4</v>
      </c>
      <c r="C22" s="11" t="n">
        <f aca="false">SUMIF('Campaign Analysis'!$V$6:$V$45,A22,'Campaign Analysis'!$C$6:$C$45)</f>
        <v>130000</v>
      </c>
      <c r="D22" s="11" t="n">
        <f aca="false">SUMIF('Campaign Analysis'!$V$6:$V$45,A22,'Campaign Analysis'!$M$6:$M$45)</f>
        <v>-72546.74</v>
      </c>
    </row>
    <row r="23" customFormat="false" ht="15" hidden="false" customHeight="false" outlineLevel="0" collapsed="false">
      <c r="A23" s="8" t="s">
        <v>47</v>
      </c>
      <c r="B23" s="9" t="n">
        <f aca="false">COUNTIF('Campaign Analysis'!$V$6:$V$45,A23)</f>
        <v>0</v>
      </c>
      <c r="C23" s="11" t="n">
        <f aca="false">SUMIF('Campaign Analysis'!$V$6:$V$45,A23,'Campaign Analysis'!$C$6:$C$45)</f>
        <v>0</v>
      </c>
      <c r="D23" s="11" t="n">
        <f aca="false">SUMIF('Campaign Analysis'!$V$6:$V$45,A23,'Campaign Analysis'!$M$6:$M$45)</f>
        <v>0</v>
      </c>
    </row>
    <row r="24" customFormat="false" ht="15" hidden="false" customHeight="false" outlineLevel="0" collapsed="false">
      <c r="A24" s="8" t="s">
        <v>48</v>
      </c>
      <c r="B24" s="9" t="n">
        <f aca="false">COUNTIF('Campaign Analysis'!$V$6:$V$45,A24)</f>
        <v>2</v>
      </c>
      <c r="C24" s="11" t="n">
        <f aca="false">SUMIF('Campaign Analysis'!$V$6:$V$45,A24,'Campaign Analysis'!$C$6:$C$45)</f>
        <v>270000</v>
      </c>
      <c r="D24" s="11" t="n">
        <f aca="false">SUMIF('Campaign Analysis'!$V$6:$V$45,A24,'Campaign Analysis'!$M$6:$M$45)</f>
        <v>43386.2</v>
      </c>
    </row>
    <row r="25" customFormat="false" ht="15" hidden="false" customHeight="false" outlineLevel="0" collapsed="false">
      <c r="A25" s="8" t="s">
        <v>49</v>
      </c>
      <c r="B25" s="9" t="n">
        <f aca="false">COUNTIF('Campaign Analysis'!$V$6:$V$45,A25)</f>
        <v>2</v>
      </c>
      <c r="C25" s="11" t="n">
        <f aca="false">SUMIF('Campaign Analysis'!$V$6:$V$45,A25,'Campaign Analysis'!$C$6:$C$45)</f>
        <v>80000</v>
      </c>
      <c r="D25" s="11" t="n">
        <f aca="false">SUMIF('Campaign Analysis'!$V$6:$V$45,A25,'Campaign Analysis'!$M$6:$M$45)</f>
        <v>-46639.2</v>
      </c>
    </row>
    <row r="27" customFormat="false" ht="15" hidden="false" customHeight="false" outlineLevel="0" collapsed="false">
      <c r="A27" s="10" t="s">
        <v>50</v>
      </c>
      <c r="B27" s="10"/>
      <c r="C27" s="10"/>
      <c r="D27" s="10"/>
    </row>
    <row r="28" customFormat="false" ht="49.5" hidden="false" customHeight="true" outlineLevel="0" collapsed="false">
      <c r="A28" s="16" t="s">
        <v>51</v>
      </c>
      <c r="B28" s="17" t="str">
        <f aca="false">"Media spend of "&amp;TEXT(B8,"£#,##0")&amp;" reported a ROAS of "&amp;TEXT(B9,"0.0")&amp;". On the sales it actually caused, it returned "&amp;TEXT(B13,"£0.00")&amp;" of contribution for every £1, and "&amp;IF(B12&gt;=0,"made ","lost ")&amp;TEXT(ABS(B12),"£#,##0")&amp;" after its own cost."</f>
        <v>Media spend of £685,000 reported a ROAS of 5.7. On the sales it actually caused, it returned £1.03 of contribution for every £1, and made £20,973 after its own cost.</v>
      </c>
      <c r="C28" s="17"/>
      <c r="D28" s="17"/>
    </row>
    <row r="29" customFormat="false" ht="49.5" hidden="false" customHeight="true" outlineLevel="0" collapsed="false">
      <c r="A29" s="16" t="s">
        <v>52</v>
      </c>
      <c r="B29" s="18" t="str">
        <f aca="false">TEXT(B14,"£#,##0")&amp;" of spend ("&amp;TEXT(IFERROR(B14/B8,0),"0%")&amp;") sits in campaigns where the last pound returns less than it costs. Cutting the least efficient "&amp;TEXT('Step-Down'!B8,"0%")&amp;" of the budget would change contribution after media by "&amp;TEXT(INDEX('Step-Down'!F5:F7,MATCH('Step-Down'!B8,'Step-Down'!A5:A7,0)),"+£#,##0;-£#,##0")&amp;" and cost "&amp;TEXT(INDEX('Step-Down'!D5:D7,MATCH('Step-Down'!B8,'Step-Down'!A5:A7,0)),"0.0%")&amp;" of the business's net sales."</f>
        <v>£540,000 of spend (79%) sits in campaigns where the last pound returns less than it costs. Cutting the least efficient 30% of the budget would change contribution after media by +£117,929 and cost 3.0% of the business's net sales.</v>
      </c>
      <c r="C29" s="18"/>
      <c r="D29" s="18"/>
    </row>
    <row r="30" customFormat="false" ht="49.5" hidden="false" customHeight="true" outlineLevel="0" collapsed="false">
      <c r="A30" s="16" t="s">
        <v>53</v>
      </c>
      <c r="B30" s="18" t="str">
        <f aca="false">"Move the campaigns marked Cut and Trim first, starting at the top of the ranked list. Before moving the "&amp;COUNTIF('Campaign Analysis'!$V$6:$V$45,"Test*")&amp;" campaigns marked Test, run a holdout: "&amp;TEXT(B15,"£#,##0")&amp;" of spend rests on an assumed factor. Report contribution after media, not ROAS."</f>
        <v>Move the campaigns marked Cut and Trim first, starting at the top of the ranked list. Before moving the 4 campaigns marked Test, run a holdout: £445,000 of spend rests on an assumed factor. Report contribution after media, not ROAS.</v>
      </c>
      <c r="C30" s="18"/>
      <c r="D30" s="18"/>
    </row>
    <row r="31" customFormat="false" ht="15" hidden="false" customHeight="false" outlineLevel="0" collapsed="false">
      <c r="A31" s="8" t="s">
        <v>54</v>
      </c>
      <c r="B31" s="9" t="str">
        <f aca="false">Settings!$B$13</f>
        <v>Head of Ecommerce</v>
      </c>
    </row>
  </sheetData>
  <sheetProtection sheet="true" formatColumns="false" formatRows="false"/>
  <mergeCells count="3">
    <mergeCell ref="B28:D28"/>
    <mergeCell ref="B29:D29"/>
    <mergeCell ref="B30:D30"/>
  </mergeCells>
  <conditionalFormatting sqref="B4">
    <cfRule type="cellIs" priority="2" operator="equal" aboveAverage="0" equalAverage="0" bottom="0" percent="0" rank="0" text="" dxfId="0">
      <formula>"PASS"</formula>
    </cfRule>
    <cfRule type="cellIs" priority="3" operator="equal" aboveAverage="0" equalAverage="0" bottom="0" percent="0" rank="0" text="" dxfId="1">
      <formula>"WARN"</formula>
    </cfRule>
    <cfRule type="cellIs" priority="4" operator="equal" aboveAverage="0" equalAverage="0" bottom="0" percent="0" rank="0" text="" dxfId="2">
      <formula>"FAIL"</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22"/>
    <col collapsed="false" customWidth="true" hidden="false" outlineLevel="0" max="3" min="3" style="0" width="16"/>
    <col collapsed="false" customWidth="true" hidden="false" outlineLevel="0" max="4" min="4" style="0" width="70"/>
  </cols>
  <sheetData>
    <row r="1" customFormat="false" ht="17.35" hidden="false" customHeight="false" outlineLevel="0" collapsed="false">
      <c r="A1" s="1" t="s">
        <v>55</v>
      </c>
    </row>
    <row r="2" customFormat="false" ht="15" hidden="false" customHeight="false" outlineLevel="0" collapsed="false">
      <c r="A2" s="2" t="s">
        <v>56</v>
      </c>
    </row>
    <row r="3" customFormat="false" ht="36" hidden="false" customHeight="true" outlineLevel="0" collapsed="false">
      <c r="A3" s="15" t="s">
        <v>57</v>
      </c>
      <c r="B3" s="15" t="s">
        <v>58</v>
      </c>
      <c r="C3" s="15" t="s">
        <v>59</v>
      </c>
    </row>
    <row r="4" customFormat="false" ht="15" hidden="false" customHeight="false" outlineLevel="0" collapsed="false">
      <c r="A4" s="8" t="s">
        <v>60</v>
      </c>
      <c r="B4" s="19" t="s">
        <v>61</v>
      </c>
    </row>
    <row r="5" customFormat="false" ht="15" hidden="false" customHeight="false" outlineLevel="0" collapsed="false">
      <c r="A5" s="8" t="s">
        <v>30</v>
      </c>
      <c r="B5" s="19" t="s">
        <v>62</v>
      </c>
    </row>
    <row r="6" customFormat="false" ht="15" hidden="false" customHeight="false" outlineLevel="0" collapsed="false">
      <c r="A6" s="8" t="s">
        <v>63</v>
      </c>
      <c r="B6" s="20" t="n">
        <v>8000000</v>
      </c>
      <c r="C6" s="8" t="s">
        <v>64</v>
      </c>
    </row>
    <row r="7" customFormat="false" ht="15" hidden="false" customHeight="false" outlineLevel="0" collapsed="false">
      <c r="A7" s="8" t="s">
        <v>65</v>
      </c>
      <c r="B7" s="21" t="n">
        <v>0.58</v>
      </c>
      <c r="C7" s="8" t="s">
        <v>66</v>
      </c>
    </row>
    <row r="8" customFormat="false" ht="15" hidden="false" customHeight="false" outlineLevel="0" collapsed="false">
      <c r="A8" s="8" t="s">
        <v>67</v>
      </c>
      <c r="B8" s="21" t="n">
        <v>0.22</v>
      </c>
      <c r="C8" s="8" t="s">
        <v>68</v>
      </c>
    </row>
    <row r="9" customFormat="false" ht="15" hidden="false" customHeight="false" outlineLevel="0" collapsed="false">
      <c r="A9" s="8" t="s">
        <v>69</v>
      </c>
      <c r="B9" s="22" t="n">
        <v>9.2</v>
      </c>
      <c r="C9" s="8" t="s">
        <v>70</v>
      </c>
    </row>
    <row r="10" customFormat="false" ht="15" hidden="false" customHeight="false" outlineLevel="0" collapsed="false">
      <c r="A10" s="8" t="s">
        <v>71</v>
      </c>
      <c r="B10" s="21" t="n">
        <v>0.06</v>
      </c>
    </row>
    <row r="11" customFormat="false" ht="15" hidden="false" customHeight="false" outlineLevel="0" collapsed="false">
      <c r="A11" s="8" t="s">
        <v>72</v>
      </c>
      <c r="B11" s="22" t="n">
        <v>1.2</v>
      </c>
      <c r="C11" s="8" t="s">
        <v>73</v>
      </c>
    </row>
    <row r="12" customFormat="false" ht="15" hidden="false" customHeight="false" outlineLevel="0" collapsed="false">
      <c r="A12" s="8" t="s">
        <v>74</v>
      </c>
      <c r="B12" s="21" t="n">
        <v>0.05</v>
      </c>
      <c r="C12" s="8" t="s">
        <v>75</v>
      </c>
    </row>
    <row r="13" customFormat="false" ht="15" hidden="false" customHeight="false" outlineLevel="0" collapsed="false">
      <c r="A13" s="8" t="s">
        <v>76</v>
      </c>
      <c r="B13" s="19" t="s">
        <v>77</v>
      </c>
    </row>
    <row r="15" customFormat="false" ht="15" hidden="false" customHeight="false" outlineLevel="0" collapsed="false">
      <c r="A15" s="10" t="s">
        <v>78</v>
      </c>
      <c r="B15" s="10"/>
      <c r="C15" s="10"/>
      <c r="D15" s="10"/>
    </row>
    <row r="16" customFormat="false" ht="39.75" hidden="false" customHeight="true" outlineLevel="0" collapsed="false">
      <c r="A16" s="15" t="s">
        <v>79</v>
      </c>
      <c r="B16" s="15" t="s">
        <v>80</v>
      </c>
      <c r="C16" s="15" t="s">
        <v>81</v>
      </c>
      <c r="D16" s="15" t="s">
        <v>59</v>
      </c>
    </row>
    <row r="17" customFormat="false" ht="15" hidden="false" customHeight="false" outlineLevel="0" collapsed="false">
      <c r="A17" s="19" t="s">
        <v>82</v>
      </c>
      <c r="B17" s="23" t="n">
        <v>0.25</v>
      </c>
      <c r="C17" s="23" t="n">
        <v>0.4</v>
      </c>
      <c r="D17" s="8" t="s">
        <v>83</v>
      </c>
    </row>
    <row r="18" customFormat="false" ht="15" hidden="false" customHeight="false" outlineLevel="0" collapsed="false">
      <c r="A18" s="19" t="s">
        <v>84</v>
      </c>
      <c r="B18" s="23" t="n">
        <v>0.7</v>
      </c>
      <c r="C18" s="23" t="n">
        <v>0.65</v>
      </c>
      <c r="D18" s="8" t="s">
        <v>85</v>
      </c>
    </row>
    <row r="19" customFormat="false" ht="15" hidden="false" customHeight="false" outlineLevel="0" collapsed="false">
      <c r="A19" s="19" t="s">
        <v>86</v>
      </c>
      <c r="B19" s="23" t="n">
        <v>0.65</v>
      </c>
      <c r="C19" s="23" t="n">
        <v>0.65</v>
      </c>
      <c r="D19" s="8"/>
    </row>
    <row r="20" customFormat="false" ht="15" hidden="false" customHeight="false" outlineLevel="0" collapsed="false">
      <c r="A20" s="19" t="s">
        <v>87</v>
      </c>
      <c r="B20" s="23" t="n">
        <v>0.6</v>
      </c>
      <c r="C20" s="23" t="n">
        <v>0.75</v>
      </c>
      <c r="D20" s="8" t="s">
        <v>88</v>
      </c>
    </row>
    <row r="21" customFormat="false" ht="15" hidden="false" customHeight="false" outlineLevel="0" collapsed="false">
      <c r="A21" s="19" t="s">
        <v>89</v>
      </c>
      <c r="B21" s="23" t="n">
        <v>0.3</v>
      </c>
      <c r="C21" s="23" t="n">
        <v>0.6</v>
      </c>
      <c r="D21" s="8" t="s">
        <v>90</v>
      </c>
    </row>
    <row r="22" customFormat="false" ht="15" hidden="false" customHeight="false" outlineLevel="0" collapsed="false">
      <c r="A22" s="19" t="s">
        <v>91</v>
      </c>
      <c r="B22" s="23" t="n">
        <v>0.4</v>
      </c>
      <c r="C22" s="23" t="n">
        <v>0.8</v>
      </c>
      <c r="D22" s="8" t="s">
        <v>92</v>
      </c>
    </row>
    <row r="23" customFormat="false" ht="15" hidden="false" customHeight="false" outlineLevel="0" collapsed="false">
      <c r="A23" s="19" t="s">
        <v>93</v>
      </c>
      <c r="B23" s="23" t="n">
        <v>0.5</v>
      </c>
      <c r="C23" s="23" t="n">
        <v>0.85</v>
      </c>
      <c r="D23" s="8" t="s">
        <v>94</v>
      </c>
    </row>
    <row r="24" customFormat="false" ht="15" hidden="false" customHeight="false" outlineLevel="0" collapsed="false">
      <c r="A24" s="19" t="s">
        <v>95</v>
      </c>
      <c r="B24" s="23" t="n">
        <v>0.5</v>
      </c>
      <c r="C24" s="23" t="n">
        <v>0.75</v>
      </c>
      <c r="D24" s="8"/>
    </row>
    <row r="25" customFormat="false" ht="15" hidden="false" customHeight="false" outlineLevel="0" collapsed="false">
      <c r="A25" s="19" t="s">
        <v>96</v>
      </c>
      <c r="B25" s="23" t="n">
        <v>0.5</v>
      </c>
      <c r="C25" s="23" t="n">
        <v>0.7</v>
      </c>
      <c r="D25" s="8"/>
    </row>
    <row r="27" customFormat="false" ht="43.5" hidden="false" customHeight="true" outlineLevel="0" collapsed="false">
      <c r="A27" s="24" t="s">
        <v>97</v>
      </c>
      <c r="B27" s="24"/>
      <c r="C27" s="24"/>
      <c r="D27" s="24"/>
    </row>
  </sheetData>
  <sheetProtection sheet="true" formatColumns="false" formatRows="false"/>
  <mergeCells count="1">
    <mergeCell ref="A27:D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24"/>
    <col collapsed="false" customWidth="true" hidden="false" outlineLevel="0" max="3" min="3" style="0" width="14"/>
    <col collapsed="false" customWidth="true" hidden="false" outlineLevel="0" max="4" min="4" style="0" width="12"/>
    <col collapsed="false" customWidth="true" hidden="false" outlineLevel="0" max="5" min="5" style="0" width="15"/>
    <col collapsed="false" customWidth="true" hidden="false" outlineLevel="0" max="8" min="6" style="0" width="13"/>
    <col collapsed="false" customWidth="true" hidden="false" outlineLevel="0" max="9" min="9" style="0" width="34"/>
  </cols>
  <sheetData>
    <row r="1" customFormat="false" ht="17.35" hidden="false" customHeight="false" outlineLevel="0" collapsed="false">
      <c r="A1" s="1" t="s">
        <v>98</v>
      </c>
    </row>
    <row r="2" customFormat="false" ht="15" hidden="false" customHeight="false" outlineLevel="0" collapsed="false">
      <c r="A2" s="2" t="s">
        <v>99</v>
      </c>
    </row>
    <row r="5" customFormat="false" ht="43.5" hidden="false" customHeight="true" outlineLevel="0" collapsed="false">
      <c r="A5" s="15" t="s">
        <v>100</v>
      </c>
      <c r="B5" s="15" t="s">
        <v>79</v>
      </c>
      <c r="C5" s="15" t="s">
        <v>31</v>
      </c>
      <c r="D5" s="15" t="s">
        <v>101</v>
      </c>
      <c r="E5" s="15" t="s">
        <v>102</v>
      </c>
      <c r="F5" s="15" t="s">
        <v>103</v>
      </c>
      <c r="G5" s="15" t="s">
        <v>104</v>
      </c>
      <c r="H5" s="15" t="s">
        <v>105</v>
      </c>
      <c r="I5" s="15" t="s">
        <v>59</v>
      </c>
    </row>
    <row r="6" customFormat="false" ht="15" hidden="false" customHeight="false" outlineLevel="0" collapsed="false">
      <c r="A6" s="19" t="s">
        <v>82</v>
      </c>
      <c r="B6" s="19" t="s">
        <v>82</v>
      </c>
      <c r="C6" s="20" t="n">
        <v>60000</v>
      </c>
      <c r="D6" s="25" t="n">
        <v>9000</v>
      </c>
      <c r="E6" s="20" t="n">
        <v>900000</v>
      </c>
      <c r="F6" s="25" t="n">
        <v>1500</v>
      </c>
      <c r="G6" s="21"/>
      <c r="H6" s="21"/>
      <c r="I6" s="19"/>
    </row>
    <row r="7" customFormat="false" ht="15" hidden="false" customHeight="false" outlineLevel="0" collapsed="false">
      <c r="A7" s="19" t="s">
        <v>106</v>
      </c>
      <c r="B7" s="19" t="s">
        <v>84</v>
      </c>
      <c r="C7" s="20" t="n">
        <v>120000</v>
      </c>
      <c r="D7" s="25" t="n">
        <v>6000</v>
      </c>
      <c r="E7" s="20" t="n">
        <v>600000</v>
      </c>
      <c r="F7" s="25" t="n">
        <v>2600</v>
      </c>
      <c r="G7" s="21"/>
      <c r="H7" s="21"/>
      <c r="I7" s="19"/>
    </row>
    <row r="8" customFormat="false" ht="15" hidden="false" customHeight="false" outlineLevel="0" collapsed="false">
      <c r="A8" s="19" t="s">
        <v>107</v>
      </c>
      <c r="B8" s="19" t="s">
        <v>84</v>
      </c>
      <c r="C8" s="20" t="n">
        <v>40000</v>
      </c>
      <c r="D8" s="25" t="n">
        <v>3200</v>
      </c>
      <c r="E8" s="20" t="n">
        <v>320000</v>
      </c>
      <c r="F8" s="25" t="n">
        <v>1400</v>
      </c>
      <c r="G8" s="21"/>
      <c r="H8" s="21"/>
      <c r="I8" s="19"/>
    </row>
    <row r="9" customFormat="false" ht="15" hidden="false" customHeight="false" outlineLevel="0" collapsed="false">
      <c r="A9" s="19" t="s">
        <v>108</v>
      </c>
      <c r="B9" s="19" t="s">
        <v>86</v>
      </c>
      <c r="C9" s="20" t="n">
        <v>150000</v>
      </c>
      <c r="D9" s="25" t="n">
        <v>8500</v>
      </c>
      <c r="E9" s="20" t="n">
        <v>765000</v>
      </c>
      <c r="F9" s="25" t="n">
        <v>3000</v>
      </c>
      <c r="G9" s="21"/>
      <c r="H9" s="21"/>
      <c r="I9" s="19"/>
    </row>
    <row r="10" customFormat="false" ht="15" hidden="false" customHeight="false" outlineLevel="0" collapsed="false">
      <c r="A10" s="19" t="s">
        <v>109</v>
      </c>
      <c r="B10" s="19" t="s">
        <v>86</v>
      </c>
      <c r="C10" s="20" t="n">
        <v>30000</v>
      </c>
      <c r="D10" s="25" t="n">
        <v>1800</v>
      </c>
      <c r="E10" s="20" t="n">
        <v>126000</v>
      </c>
      <c r="F10" s="25" t="n">
        <v>700</v>
      </c>
      <c r="G10" s="21" t="n">
        <v>0.18</v>
      </c>
      <c r="H10" s="21" t="n">
        <v>0.35</v>
      </c>
      <c r="I10" s="19" t="s">
        <v>110</v>
      </c>
    </row>
    <row r="11" customFormat="false" ht="15" hidden="false" customHeight="false" outlineLevel="0" collapsed="false">
      <c r="A11" s="19" t="s">
        <v>111</v>
      </c>
      <c r="B11" s="19" t="s">
        <v>87</v>
      </c>
      <c r="C11" s="20" t="n">
        <v>90000</v>
      </c>
      <c r="D11" s="25" t="n">
        <v>2200</v>
      </c>
      <c r="E11" s="20" t="n">
        <v>220000</v>
      </c>
      <c r="F11" s="25" t="n">
        <v>1500</v>
      </c>
      <c r="G11" s="21"/>
      <c r="H11" s="21"/>
      <c r="I11" s="19"/>
    </row>
    <row r="12" customFormat="false" ht="15" hidden="false" customHeight="false" outlineLevel="0" collapsed="false">
      <c r="A12" s="19" t="s">
        <v>112</v>
      </c>
      <c r="B12" s="19" t="s">
        <v>89</v>
      </c>
      <c r="C12" s="20" t="n">
        <v>45000</v>
      </c>
      <c r="D12" s="25" t="n">
        <v>3000</v>
      </c>
      <c r="E12" s="20" t="n">
        <v>270000</v>
      </c>
      <c r="F12" s="25" t="n">
        <v>300</v>
      </c>
      <c r="G12" s="21"/>
      <c r="H12" s="21"/>
      <c r="I12" s="19"/>
    </row>
    <row r="13" customFormat="false" ht="15" hidden="false" customHeight="false" outlineLevel="0" collapsed="false">
      <c r="A13" s="19" t="s">
        <v>113</v>
      </c>
      <c r="B13" s="19" t="s">
        <v>91</v>
      </c>
      <c r="C13" s="20" t="n">
        <v>25000</v>
      </c>
      <c r="D13" s="25" t="n">
        <v>400</v>
      </c>
      <c r="E13" s="20" t="n">
        <v>36000</v>
      </c>
      <c r="F13" s="25" t="n">
        <v>200</v>
      </c>
      <c r="G13" s="21"/>
      <c r="H13" s="21"/>
      <c r="I13" s="19"/>
    </row>
    <row r="14" customFormat="false" ht="15" hidden="false" customHeight="false" outlineLevel="0" collapsed="false">
      <c r="A14" s="19" t="s">
        <v>114</v>
      </c>
      <c r="B14" s="19" t="s">
        <v>91</v>
      </c>
      <c r="C14" s="20" t="n">
        <v>35000</v>
      </c>
      <c r="D14" s="25" t="n">
        <v>500</v>
      </c>
      <c r="E14" s="20" t="n">
        <v>45000</v>
      </c>
      <c r="F14" s="25" t="n">
        <v>300</v>
      </c>
      <c r="G14" s="21"/>
      <c r="H14" s="21"/>
      <c r="I14" s="19"/>
    </row>
    <row r="15" customFormat="false" ht="15" hidden="false" customHeight="false" outlineLevel="0" collapsed="false">
      <c r="A15" s="19" t="s">
        <v>115</v>
      </c>
      <c r="B15" s="19" t="s">
        <v>93</v>
      </c>
      <c r="C15" s="20" t="n">
        <v>50000</v>
      </c>
      <c r="D15" s="25" t="n">
        <v>5000</v>
      </c>
      <c r="E15" s="20" t="n">
        <v>450000</v>
      </c>
      <c r="F15" s="25" t="n">
        <v>900</v>
      </c>
      <c r="G15" s="21"/>
      <c r="H15" s="21"/>
      <c r="I15" s="19" t="s">
        <v>116</v>
      </c>
    </row>
    <row r="16" customFormat="false" ht="15" hidden="false" customHeight="false" outlineLevel="0" collapsed="false">
      <c r="A16" s="19" t="s">
        <v>117</v>
      </c>
      <c r="B16" s="19" t="s">
        <v>93</v>
      </c>
      <c r="C16" s="20" t="n">
        <v>15000</v>
      </c>
      <c r="D16" s="25" t="n">
        <v>1000</v>
      </c>
      <c r="E16" s="20" t="n">
        <v>105000</v>
      </c>
      <c r="F16" s="25" t="n">
        <v>300</v>
      </c>
      <c r="G16" s="21"/>
      <c r="H16" s="21"/>
      <c r="I16" s="19" t="s">
        <v>116</v>
      </c>
    </row>
    <row r="17" customFormat="false" ht="15" hidden="false" customHeight="false" outlineLevel="0" collapsed="false">
      <c r="A17" s="19" t="s">
        <v>118</v>
      </c>
      <c r="B17" s="19" t="s">
        <v>95</v>
      </c>
      <c r="C17" s="20" t="n">
        <v>25000</v>
      </c>
      <c r="D17" s="25" t="n">
        <v>600</v>
      </c>
      <c r="E17" s="20" t="n">
        <v>60000</v>
      </c>
      <c r="F17" s="25" t="n">
        <v>400</v>
      </c>
      <c r="G17" s="21"/>
      <c r="H17" s="21"/>
      <c r="I17" s="19"/>
    </row>
    <row r="18" customFormat="false" ht="15" hidden="false" customHeight="false" outlineLevel="0" collapsed="false">
      <c r="A18" s="19"/>
      <c r="B18" s="19"/>
      <c r="C18" s="20"/>
      <c r="D18" s="25"/>
      <c r="E18" s="20"/>
      <c r="F18" s="25"/>
      <c r="G18" s="21"/>
      <c r="H18" s="21"/>
      <c r="I18" s="19"/>
    </row>
    <row r="19" customFormat="false" ht="15" hidden="false" customHeight="false" outlineLevel="0" collapsed="false">
      <c r="A19" s="19"/>
      <c r="B19" s="19"/>
      <c r="C19" s="20"/>
      <c r="D19" s="25"/>
      <c r="E19" s="20"/>
      <c r="F19" s="25"/>
      <c r="G19" s="21"/>
      <c r="H19" s="21"/>
      <c r="I19" s="19"/>
    </row>
    <row r="20" customFormat="false" ht="15" hidden="false" customHeight="false" outlineLevel="0" collapsed="false">
      <c r="A20" s="19"/>
      <c r="B20" s="19"/>
      <c r="C20" s="20"/>
      <c r="D20" s="25"/>
      <c r="E20" s="20"/>
      <c r="F20" s="25"/>
      <c r="G20" s="21"/>
      <c r="H20" s="21"/>
      <c r="I20" s="19"/>
    </row>
    <row r="21" customFormat="false" ht="15" hidden="false" customHeight="false" outlineLevel="0" collapsed="false">
      <c r="A21" s="19"/>
      <c r="B21" s="19"/>
      <c r="C21" s="20"/>
      <c r="D21" s="25"/>
      <c r="E21" s="20"/>
      <c r="F21" s="25"/>
      <c r="G21" s="21"/>
      <c r="H21" s="21"/>
      <c r="I21" s="19"/>
    </row>
    <row r="22" customFormat="false" ht="15" hidden="false" customHeight="false" outlineLevel="0" collapsed="false">
      <c r="A22" s="19"/>
      <c r="B22" s="19"/>
      <c r="C22" s="20"/>
      <c r="D22" s="25"/>
      <c r="E22" s="20"/>
      <c r="F22" s="25"/>
      <c r="G22" s="21"/>
      <c r="H22" s="21"/>
      <c r="I22" s="19"/>
    </row>
    <row r="23" customFormat="false" ht="15" hidden="false" customHeight="false" outlineLevel="0" collapsed="false">
      <c r="A23" s="19"/>
      <c r="B23" s="19"/>
      <c r="C23" s="20"/>
      <c r="D23" s="25"/>
      <c r="E23" s="20"/>
      <c r="F23" s="25"/>
      <c r="G23" s="21"/>
      <c r="H23" s="21"/>
      <c r="I23" s="19"/>
    </row>
    <row r="24" customFormat="false" ht="15" hidden="false" customHeight="false" outlineLevel="0" collapsed="false">
      <c r="A24" s="19"/>
      <c r="B24" s="19"/>
      <c r="C24" s="20"/>
      <c r="D24" s="25"/>
      <c r="E24" s="20"/>
      <c r="F24" s="25"/>
      <c r="G24" s="21"/>
      <c r="H24" s="21"/>
      <c r="I24" s="19"/>
    </row>
    <row r="25" customFormat="false" ht="15" hidden="false" customHeight="false" outlineLevel="0" collapsed="false">
      <c r="A25" s="19"/>
      <c r="B25" s="19"/>
      <c r="C25" s="20"/>
      <c r="D25" s="25"/>
      <c r="E25" s="20"/>
      <c r="F25" s="25"/>
      <c r="G25" s="21"/>
      <c r="H25" s="21"/>
      <c r="I25" s="19"/>
    </row>
    <row r="26" customFormat="false" ht="15" hidden="false" customHeight="false" outlineLevel="0" collapsed="false">
      <c r="A26" s="19"/>
      <c r="B26" s="19"/>
      <c r="C26" s="20"/>
      <c r="D26" s="25"/>
      <c r="E26" s="20"/>
      <c r="F26" s="25"/>
      <c r="G26" s="21"/>
      <c r="H26" s="21"/>
      <c r="I26" s="19"/>
    </row>
    <row r="27" customFormat="false" ht="15" hidden="false" customHeight="false" outlineLevel="0" collapsed="false">
      <c r="A27" s="19"/>
      <c r="B27" s="19"/>
      <c r="C27" s="20"/>
      <c r="D27" s="25"/>
      <c r="E27" s="20"/>
      <c r="F27" s="25"/>
      <c r="G27" s="21"/>
      <c r="H27" s="21"/>
      <c r="I27" s="19"/>
    </row>
    <row r="28" customFormat="false" ht="15" hidden="false" customHeight="false" outlineLevel="0" collapsed="false">
      <c r="A28" s="19"/>
      <c r="B28" s="19"/>
      <c r="C28" s="20"/>
      <c r="D28" s="25"/>
      <c r="E28" s="20"/>
      <c r="F28" s="25"/>
      <c r="G28" s="21"/>
      <c r="H28" s="21"/>
      <c r="I28" s="19"/>
    </row>
    <row r="29" customFormat="false" ht="15" hidden="false" customHeight="false" outlineLevel="0" collapsed="false">
      <c r="A29" s="19"/>
      <c r="B29" s="19"/>
      <c r="C29" s="20"/>
      <c r="D29" s="25"/>
      <c r="E29" s="20"/>
      <c r="F29" s="25"/>
      <c r="G29" s="21"/>
      <c r="H29" s="21"/>
      <c r="I29" s="19"/>
    </row>
    <row r="30" customFormat="false" ht="15" hidden="false" customHeight="false" outlineLevel="0" collapsed="false">
      <c r="A30" s="19"/>
      <c r="B30" s="19"/>
      <c r="C30" s="20"/>
      <c r="D30" s="25"/>
      <c r="E30" s="20"/>
      <c r="F30" s="25"/>
      <c r="G30" s="21"/>
      <c r="H30" s="21"/>
      <c r="I30" s="19"/>
    </row>
    <row r="31" customFormat="false" ht="15" hidden="false" customHeight="false" outlineLevel="0" collapsed="false">
      <c r="A31" s="19"/>
      <c r="B31" s="19"/>
      <c r="C31" s="20"/>
      <c r="D31" s="25"/>
      <c r="E31" s="20"/>
      <c r="F31" s="25"/>
      <c r="G31" s="21"/>
      <c r="H31" s="21"/>
      <c r="I31" s="19"/>
    </row>
    <row r="32" customFormat="false" ht="15" hidden="false" customHeight="false" outlineLevel="0" collapsed="false">
      <c r="A32" s="19"/>
      <c r="B32" s="19"/>
      <c r="C32" s="20"/>
      <c r="D32" s="25"/>
      <c r="E32" s="20"/>
      <c r="F32" s="25"/>
      <c r="G32" s="21"/>
      <c r="H32" s="21"/>
      <c r="I32" s="19"/>
    </row>
    <row r="33" customFormat="false" ht="15" hidden="false" customHeight="false" outlineLevel="0" collapsed="false">
      <c r="A33" s="19"/>
      <c r="B33" s="19"/>
      <c r="C33" s="20"/>
      <c r="D33" s="25"/>
      <c r="E33" s="20"/>
      <c r="F33" s="25"/>
      <c r="G33" s="21"/>
      <c r="H33" s="21"/>
      <c r="I33" s="19"/>
    </row>
    <row r="34" customFormat="false" ht="15" hidden="false" customHeight="false" outlineLevel="0" collapsed="false">
      <c r="A34" s="19"/>
      <c r="B34" s="19"/>
      <c r="C34" s="20"/>
      <c r="D34" s="25"/>
      <c r="E34" s="20"/>
      <c r="F34" s="25"/>
      <c r="G34" s="21"/>
      <c r="H34" s="21"/>
      <c r="I34" s="19"/>
    </row>
    <row r="35" customFormat="false" ht="15" hidden="false" customHeight="false" outlineLevel="0" collapsed="false">
      <c r="A35" s="19"/>
      <c r="B35" s="19"/>
      <c r="C35" s="20"/>
      <c r="D35" s="25"/>
      <c r="E35" s="20"/>
      <c r="F35" s="25"/>
      <c r="G35" s="21"/>
      <c r="H35" s="21"/>
      <c r="I35" s="19"/>
    </row>
    <row r="36" customFormat="false" ht="15" hidden="false" customHeight="false" outlineLevel="0" collapsed="false">
      <c r="A36" s="19"/>
      <c r="B36" s="19"/>
      <c r="C36" s="20"/>
      <c r="D36" s="25"/>
      <c r="E36" s="20"/>
      <c r="F36" s="25"/>
      <c r="G36" s="21"/>
      <c r="H36" s="21"/>
      <c r="I36" s="19"/>
    </row>
    <row r="37" customFormat="false" ht="15" hidden="false" customHeight="false" outlineLevel="0" collapsed="false">
      <c r="A37" s="19"/>
      <c r="B37" s="19"/>
      <c r="C37" s="20"/>
      <c r="D37" s="25"/>
      <c r="E37" s="20"/>
      <c r="F37" s="25"/>
      <c r="G37" s="21"/>
      <c r="H37" s="21"/>
      <c r="I37" s="19"/>
    </row>
    <row r="38" customFormat="false" ht="15" hidden="false" customHeight="false" outlineLevel="0" collapsed="false">
      <c r="A38" s="19"/>
      <c r="B38" s="19"/>
      <c r="C38" s="20"/>
      <c r="D38" s="25"/>
      <c r="E38" s="20"/>
      <c r="F38" s="25"/>
      <c r="G38" s="21"/>
      <c r="H38" s="21"/>
      <c r="I38" s="19"/>
    </row>
    <row r="39" customFormat="false" ht="15" hidden="false" customHeight="false" outlineLevel="0" collapsed="false">
      <c r="A39" s="19"/>
      <c r="B39" s="19"/>
      <c r="C39" s="20"/>
      <c r="D39" s="25"/>
      <c r="E39" s="20"/>
      <c r="F39" s="25"/>
      <c r="G39" s="21"/>
      <c r="H39" s="21"/>
      <c r="I39" s="19"/>
    </row>
    <row r="40" customFormat="false" ht="15" hidden="false" customHeight="false" outlineLevel="0" collapsed="false">
      <c r="A40" s="19"/>
      <c r="B40" s="19"/>
      <c r="C40" s="20"/>
      <c r="D40" s="25"/>
      <c r="E40" s="20"/>
      <c r="F40" s="25"/>
      <c r="G40" s="21"/>
      <c r="H40" s="21"/>
      <c r="I40" s="19"/>
    </row>
    <row r="41" customFormat="false" ht="15" hidden="false" customHeight="false" outlineLevel="0" collapsed="false">
      <c r="A41" s="19"/>
      <c r="B41" s="19"/>
      <c r="C41" s="20"/>
      <c r="D41" s="25"/>
      <c r="E41" s="20"/>
      <c r="F41" s="25"/>
      <c r="G41" s="21"/>
      <c r="H41" s="21"/>
      <c r="I41" s="19"/>
    </row>
    <row r="42" customFormat="false" ht="15" hidden="false" customHeight="false" outlineLevel="0" collapsed="false">
      <c r="A42" s="19"/>
      <c r="B42" s="19"/>
      <c r="C42" s="20"/>
      <c r="D42" s="25"/>
      <c r="E42" s="20"/>
      <c r="F42" s="25"/>
      <c r="G42" s="21"/>
      <c r="H42" s="21"/>
      <c r="I42" s="19"/>
    </row>
    <row r="43" customFormat="false" ht="15" hidden="false" customHeight="false" outlineLevel="0" collapsed="false">
      <c r="A43" s="19"/>
      <c r="B43" s="19"/>
      <c r="C43" s="20"/>
      <c r="D43" s="25"/>
      <c r="E43" s="20"/>
      <c r="F43" s="25"/>
      <c r="G43" s="21"/>
      <c r="H43" s="21"/>
      <c r="I43" s="19"/>
    </row>
    <row r="44" customFormat="false" ht="15" hidden="false" customHeight="false" outlineLevel="0" collapsed="false">
      <c r="A44" s="19"/>
      <c r="B44" s="19"/>
      <c r="C44" s="20"/>
      <c r="D44" s="25"/>
      <c r="E44" s="20"/>
      <c r="F44" s="25"/>
      <c r="G44" s="21"/>
      <c r="H44" s="21"/>
      <c r="I44" s="19"/>
    </row>
    <row r="45" customFormat="false" ht="15" hidden="false" customHeight="false" outlineLevel="0" collapsed="false">
      <c r="A45" s="19"/>
      <c r="B45" s="19"/>
      <c r="C45" s="20"/>
      <c r="D45" s="25"/>
      <c r="E45" s="20"/>
      <c r="F45" s="25"/>
      <c r="G45" s="21"/>
      <c r="H45" s="21"/>
      <c r="I45" s="19"/>
    </row>
  </sheetData>
  <sheetProtection sheet="true" formatColumns="false" formatRows="false"/>
  <dataValidations count="1">
    <dataValidation allowBlank="true" errorStyle="stop" operator="between" showDropDown="false" showErrorMessage="false" showInputMessage="false" sqref="B6:B45" type="list">
      <formula1>Settings!$A$17:$A$25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20"/>
    <col collapsed="false" customWidth="true" hidden="false" outlineLevel="0" max="4" min="3" style="0" width="18"/>
    <col collapsed="false" customWidth="true" hidden="false" outlineLevel="0" max="5" min="5" style="0" width="16"/>
    <col collapsed="false" customWidth="true" hidden="false" outlineLevel="0" max="7" min="6" style="0" width="12"/>
    <col collapsed="false" customWidth="true" hidden="false" outlineLevel="0" max="8" min="8" style="0" width="44"/>
  </cols>
  <sheetData>
    <row r="1" customFormat="false" ht="17.35" hidden="false" customHeight="false" outlineLevel="0" collapsed="false">
      <c r="A1" s="1" t="s">
        <v>119</v>
      </c>
    </row>
    <row r="2" customFormat="false" ht="15" hidden="false" customHeight="false" outlineLevel="0" collapsed="false">
      <c r="A2" s="2" t="s">
        <v>120</v>
      </c>
    </row>
    <row r="5" customFormat="false" ht="51.75" hidden="false" customHeight="true" outlineLevel="0" collapsed="false">
      <c r="A5" s="15" t="s">
        <v>100</v>
      </c>
      <c r="B5" s="15" t="s">
        <v>121</v>
      </c>
      <c r="C5" s="15" t="s">
        <v>122</v>
      </c>
      <c r="D5" s="15" t="s">
        <v>123</v>
      </c>
      <c r="E5" s="15" t="s">
        <v>124</v>
      </c>
      <c r="F5" s="15" t="s">
        <v>125</v>
      </c>
      <c r="G5" s="15" t="s">
        <v>126</v>
      </c>
      <c r="H5" s="15" t="s">
        <v>59</v>
      </c>
    </row>
    <row r="6" customFormat="false" ht="15" hidden="false" customHeight="false" outlineLevel="0" collapsed="false">
      <c r="A6" s="19" t="s">
        <v>82</v>
      </c>
      <c r="B6" s="19" t="s">
        <v>127</v>
      </c>
      <c r="C6" s="19" t="s">
        <v>128</v>
      </c>
      <c r="D6" s="20" t="n">
        <v>180000</v>
      </c>
      <c r="E6" s="20" t="n">
        <v>36000</v>
      </c>
      <c r="F6" s="26" t="n">
        <f aca="false">IF(OR($A6="",$D6&lt;=0),"",$E6/$D6)</f>
        <v>0.2</v>
      </c>
      <c r="G6" s="9" t="str">
        <f aca="false">IF($A6="","",IF(COUNTIF('Campaign Data'!$A$6:$A$45,$A6)&gt;0,"Yes","No"))</f>
        <v>Yes</v>
      </c>
      <c r="H6" s="19" t="s">
        <v>129</v>
      </c>
    </row>
    <row r="7" customFormat="false" ht="15" hidden="false" customHeight="false" outlineLevel="0" collapsed="false">
      <c r="A7" s="19" t="s">
        <v>107</v>
      </c>
      <c r="B7" s="19" t="s">
        <v>127</v>
      </c>
      <c r="C7" s="19" t="s">
        <v>130</v>
      </c>
      <c r="D7" s="20" t="n">
        <v>64000</v>
      </c>
      <c r="E7" s="20" t="n">
        <v>48000</v>
      </c>
      <c r="F7" s="26" t="n">
        <f aca="false">IF(OR($A7="",$D7&lt;=0),"",$E7/$D7)</f>
        <v>0.75</v>
      </c>
      <c r="G7" s="9" t="str">
        <f aca="false">IF($A7="","",IF(COUNTIF('Campaign Data'!$A$6:$A$45,$A7)&gt;0,"Yes","No"))</f>
        <v>Yes</v>
      </c>
      <c r="H7" s="19"/>
    </row>
    <row r="8" customFormat="false" ht="15" hidden="false" customHeight="false" outlineLevel="0" collapsed="false">
      <c r="A8" s="19" t="s">
        <v>111</v>
      </c>
      <c r="B8" s="19" t="s">
        <v>131</v>
      </c>
      <c r="C8" s="19" t="s">
        <v>130</v>
      </c>
      <c r="D8" s="20" t="n">
        <v>44000</v>
      </c>
      <c r="E8" s="20" t="n">
        <v>79200</v>
      </c>
      <c r="F8" s="26" t="n">
        <f aca="false">IF(OR($A8="",$D8&lt;=0),"",$E8/$D8)</f>
        <v>1.8</v>
      </c>
      <c r="G8" s="9" t="str">
        <f aca="false">IF($A8="","",IF(COUNTIF('Campaign Data'!$A$6:$A$45,$A8)&gt;0,"Yes","No"))</f>
        <v>Yes</v>
      </c>
      <c r="H8" s="19" t="s">
        <v>132</v>
      </c>
    </row>
    <row r="9" customFormat="false" ht="15" hidden="false" customHeight="false" outlineLevel="0" collapsed="false">
      <c r="A9" s="19" t="s">
        <v>115</v>
      </c>
      <c r="B9" s="19" t="s">
        <v>133</v>
      </c>
      <c r="C9" s="19" t="s">
        <v>128</v>
      </c>
      <c r="D9" s="20" t="n">
        <v>90000</v>
      </c>
      <c r="E9" s="20" t="n">
        <v>18000</v>
      </c>
      <c r="F9" s="26" t="n">
        <f aca="false">IF(OR($A9="",$D9&lt;=0),"",$E9/$D9)</f>
        <v>0.2</v>
      </c>
      <c r="G9" s="9" t="str">
        <f aca="false">IF($A9="","",IF(COUNTIF('Campaign Data'!$A$6:$A$45,$A9)&gt;0,"Yes","No"))</f>
        <v>Yes</v>
      </c>
      <c r="H9" s="19" t="s">
        <v>134</v>
      </c>
    </row>
    <row r="10" customFormat="false" ht="15" hidden="false" customHeight="false" outlineLevel="0" collapsed="false">
      <c r="A10" s="19"/>
      <c r="B10" s="19"/>
      <c r="C10" s="19"/>
      <c r="D10" s="20"/>
      <c r="E10" s="20"/>
      <c r="F10" s="26" t="str">
        <f aca="false">IF(OR($A10="",$D10&lt;=0),"",$E10/$D10)</f>
        <v/>
      </c>
      <c r="G10" s="9" t="str">
        <f aca="false">IF($A10="","",IF(COUNTIF('Campaign Data'!$A$6:$A$45,$A10)&gt;0,"Yes","No"))</f>
        <v/>
      </c>
      <c r="H10" s="19"/>
    </row>
    <row r="11" customFormat="false" ht="15" hidden="false" customHeight="false" outlineLevel="0" collapsed="false">
      <c r="A11" s="19"/>
      <c r="B11" s="19"/>
      <c r="C11" s="19"/>
      <c r="D11" s="20"/>
      <c r="E11" s="20"/>
      <c r="F11" s="26" t="str">
        <f aca="false">IF(OR($A11="",$D11&lt;=0),"",$E11/$D11)</f>
        <v/>
      </c>
      <c r="G11" s="9" t="str">
        <f aca="false">IF($A11="","",IF(COUNTIF('Campaign Data'!$A$6:$A$45,$A11)&gt;0,"Yes","No"))</f>
        <v/>
      </c>
      <c r="H11" s="19"/>
    </row>
    <row r="12" customFormat="false" ht="15" hidden="false" customHeight="false" outlineLevel="0" collapsed="false">
      <c r="A12" s="19"/>
      <c r="B12" s="19"/>
      <c r="C12" s="19"/>
      <c r="D12" s="20"/>
      <c r="E12" s="20"/>
      <c r="F12" s="26" t="str">
        <f aca="false">IF(OR($A12="",$D12&lt;=0),"",$E12/$D12)</f>
        <v/>
      </c>
      <c r="G12" s="9" t="str">
        <f aca="false">IF($A12="","",IF(COUNTIF('Campaign Data'!$A$6:$A$45,$A12)&gt;0,"Yes","No"))</f>
        <v/>
      </c>
      <c r="H12" s="19"/>
    </row>
    <row r="13" customFormat="false" ht="15" hidden="false" customHeight="false" outlineLevel="0" collapsed="false">
      <c r="A13" s="19"/>
      <c r="B13" s="19"/>
      <c r="C13" s="19"/>
      <c r="D13" s="20"/>
      <c r="E13" s="20"/>
      <c r="F13" s="26" t="str">
        <f aca="false">IF(OR($A13="",$D13&lt;=0),"",$E13/$D13)</f>
        <v/>
      </c>
      <c r="G13" s="9" t="str">
        <f aca="false">IF($A13="","",IF(COUNTIF('Campaign Data'!$A$6:$A$45,$A13)&gt;0,"Yes","No"))</f>
        <v/>
      </c>
      <c r="H13" s="19"/>
    </row>
    <row r="14" customFormat="false" ht="15" hidden="false" customHeight="false" outlineLevel="0" collapsed="false">
      <c r="A14" s="19"/>
      <c r="B14" s="19"/>
      <c r="C14" s="19"/>
      <c r="D14" s="20"/>
      <c r="E14" s="20"/>
      <c r="F14" s="26" t="str">
        <f aca="false">IF(OR($A14="",$D14&lt;=0),"",$E14/$D14)</f>
        <v/>
      </c>
      <c r="G14" s="9" t="str">
        <f aca="false">IF($A14="","",IF(COUNTIF('Campaign Data'!$A$6:$A$45,$A14)&gt;0,"Yes","No"))</f>
        <v/>
      </c>
      <c r="H14" s="19"/>
    </row>
    <row r="15" customFormat="false" ht="15" hidden="false" customHeight="false" outlineLevel="0" collapsed="false">
      <c r="A15" s="19"/>
      <c r="B15" s="19"/>
      <c r="C15" s="19"/>
      <c r="D15" s="20"/>
      <c r="E15" s="20"/>
      <c r="F15" s="26" t="str">
        <f aca="false">IF(OR($A15="",$D15&lt;=0),"",$E15/$D15)</f>
        <v/>
      </c>
      <c r="G15" s="9" t="str">
        <f aca="false">IF($A15="","",IF(COUNTIF('Campaign Data'!$A$6:$A$45,$A15)&gt;0,"Yes","No"))</f>
        <v/>
      </c>
      <c r="H15" s="19"/>
    </row>
    <row r="16" customFormat="false" ht="15" hidden="false" customHeight="false" outlineLevel="0" collapsed="false">
      <c r="A16" s="19"/>
      <c r="B16" s="19"/>
      <c r="C16" s="19"/>
      <c r="D16" s="20"/>
      <c r="E16" s="20"/>
      <c r="F16" s="26" t="str">
        <f aca="false">IF(OR($A16="",$D16&lt;=0),"",$E16/$D16)</f>
        <v/>
      </c>
      <c r="G16" s="9" t="str">
        <f aca="false">IF($A16="","",IF(COUNTIF('Campaign Data'!$A$6:$A$45,$A16)&gt;0,"Yes","No"))</f>
        <v/>
      </c>
      <c r="H16" s="19"/>
    </row>
    <row r="17" customFormat="false" ht="15" hidden="false" customHeight="false" outlineLevel="0" collapsed="false">
      <c r="A17" s="19"/>
      <c r="B17" s="19"/>
      <c r="C17" s="19"/>
      <c r="D17" s="20"/>
      <c r="E17" s="20"/>
      <c r="F17" s="26" t="str">
        <f aca="false">IF(OR($A17="",$D17&lt;=0),"",$E17/$D17)</f>
        <v/>
      </c>
      <c r="G17" s="9" t="str">
        <f aca="false">IF($A17="","",IF(COUNTIF('Campaign Data'!$A$6:$A$45,$A17)&gt;0,"Yes","No"))</f>
        <v/>
      </c>
      <c r="H17" s="19"/>
    </row>
    <row r="18" customFormat="false" ht="15" hidden="false" customHeight="false" outlineLevel="0" collapsed="false">
      <c r="A18" s="19"/>
      <c r="B18" s="19"/>
      <c r="C18" s="19"/>
      <c r="D18" s="20"/>
      <c r="E18" s="20"/>
      <c r="F18" s="26" t="str">
        <f aca="false">IF(OR($A18="",$D18&lt;=0),"",$E18/$D18)</f>
        <v/>
      </c>
      <c r="G18" s="9" t="str">
        <f aca="false">IF($A18="","",IF(COUNTIF('Campaign Data'!$A$6:$A$45,$A18)&gt;0,"Yes","No"))</f>
        <v/>
      </c>
      <c r="H18" s="19"/>
    </row>
    <row r="19" customFormat="false" ht="15" hidden="false" customHeight="false" outlineLevel="0" collapsed="false">
      <c r="A19" s="19"/>
      <c r="B19" s="19"/>
      <c r="C19" s="19"/>
      <c r="D19" s="20"/>
      <c r="E19" s="20"/>
      <c r="F19" s="26" t="str">
        <f aca="false">IF(OR($A19="",$D19&lt;=0),"",$E19/$D19)</f>
        <v/>
      </c>
      <c r="G19" s="9" t="str">
        <f aca="false">IF($A19="","",IF(COUNTIF('Campaign Data'!$A$6:$A$45,$A19)&gt;0,"Yes","No"))</f>
        <v/>
      </c>
      <c r="H19" s="19"/>
    </row>
    <row r="20" customFormat="false" ht="15" hidden="false" customHeight="false" outlineLevel="0" collapsed="false">
      <c r="A20" s="19"/>
      <c r="B20" s="19"/>
      <c r="C20" s="19"/>
      <c r="D20" s="20"/>
      <c r="E20" s="20"/>
      <c r="F20" s="26" t="str">
        <f aca="false">IF(OR($A20="",$D20&lt;=0),"",$E20/$D20)</f>
        <v/>
      </c>
      <c r="G20" s="9" t="str">
        <f aca="false">IF($A20="","",IF(COUNTIF('Campaign Data'!$A$6:$A$45,$A20)&gt;0,"Yes","No"))</f>
        <v/>
      </c>
      <c r="H20" s="19"/>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22"/>
    <col collapsed="false" customWidth="true" hidden="false" outlineLevel="0" max="3" min="3" style="0" width="12"/>
    <col collapsed="false" customWidth="true" hidden="false" outlineLevel="0" max="4" min="4" style="0" width="10"/>
    <col collapsed="false" customWidth="true" hidden="false" outlineLevel="0" max="6" min="5" style="0" width="9"/>
    <col collapsed="false" customWidth="true" hidden="false" outlineLevel="0" max="7" min="7" style="0" width="13"/>
    <col collapsed="false" customWidth="true" hidden="false" outlineLevel="0" max="8" min="8" style="0" width="12"/>
    <col collapsed="false" customWidth="true" hidden="false" outlineLevel="0" max="9" min="9" style="0" width="11"/>
    <col collapsed="false" customWidth="true" hidden="false" outlineLevel="0" max="10" min="10" style="0" width="13"/>
    <col collapsed="false" customWidth="true" hidden="false" outlineLevel="0" max="11" min="11" style="0" width="10"/>
    <col collapsed="false" customWidth="true" hidden="false" outlineLevel="0" max="13" min="12" style="0" width="14"/>
    <col collapsed="false" customWidth="true" hidden="false" outlineLevel="0" max="14" min="14" style="0" width="12"/>
    <col collapsed="false" customWidth="true" hidden="false" outlineLevel="0" max="15" min="15" style="0" width="10"/>
    <col collapsed="false" customWidth="true" hidden="false" outlineLevel="0" max="16" min="16" style="0" width="12"/>
    <col collapsed="false" customWidth="true" hidden="false" outlineLevel="0" max="17" min="17" style="0" width="11"/>
    <col collapsed="false" customWidth="true" hidden="false" outlineLevel="0" max="18" min="18" style="0" width="12"/>
    <col collapsed="false" customWidth="true" hidden="false" outlineLevel="0" max="19" min="19" style="0" width="10"/>
    <col collapsed="false" customWidth="true" hidden="false" outlineLevel="0" max="20" min="20" style="0" width="9"/>
    <col collapsed="false" customWidth="true" hidden="false" outlineLevel="0" max="21" min="21" style="0" width="15"/>
    <col collapsed="false" customWidth="true" hidden="false" outlineLevel="0" max="22" min="22" style="0" width="18"/>
    <col collapsed="false" customWidth="true" hidden="false" outlineLevel="0" max="23" min="23" style="0" width="60"/>
    <col collapsed="false" customWidth="true" hidden="false" outlineLevel="0" max="24" min="24" style="0" width="10"/>
  </cols>
  <sheetData>
    <row r="1" customFormat="false" ht="17.35" hidden="false" customHeight="false" outlineLevel="0" collapsed="false">
      <c r="A1" s="1" t="s">
        <v>135</v>
      </c>
    </row>
    <row r="2" customFormat="false" ht="15" hidden="false" customHeight="false" outlineLevel="0" collapsed="false">
      <c r="A2" s="2" t="s">
        <v>136</v>
      </c>
    </row>
    <row r="5" customFormat="false" ht="57.75" hidden="false" customHeight="true" outlineLevel="0" collapsed="false">
      <c r="A5" s="15" t="s">
        <v>100</v>
      </c>
      <c r="B5" s="15" t="s">
        <v>79</v>
      </c>
      <c r="C5" s="15" t="s">
        <v>31</v>
      </c>
      <c r="D5" s="15" t="s">
        <v>32</v>
      </c>
      <c r="E5" s="15" t="s">
        <v>137</v>
      </c>
      <c r="F5" s="15" t="s">
        <v>138</v>
      </c>
      <c r="G5" s="15" t="s">
        <v>139</v>
      </c>
      <c r="H5" s="15" t="s">
        <v>140</v>
      </c>
      <c r="I5" s="15" t="s">
        <v>141</v>
      </c>
      <c r="J5" s="15" t="s">
        <v>142</v>
      </c>
      <c r="K5" s="15" t="s">
        <v>143</v>
      </c>
      <c r="L5" s="15" t="s">
        <v>144</v>
      </c>
      <c r="M5" s="15" t="s">
        <v>35</v>
      </c>
      <c r="N5" s="15" t="s">
        <v>145</v>
      </c>
      <c r="O5" s="15" t="s">
        <v>81</v>
      </c>
      <c r="P5" s="15" t="s">
        <v>146</v>
      </c>
      <c r="Q5" s="15" t="s">
        <v>147</v>
      </c>
      <c r="R5" s="15" t="s">
        <v>148</v>
      </c>
      <c r="S5" s="15" t="s">
        <v>149</v>
      </c>
      <c r="T5" s="15" t="s">
        <v>150</v>
      </c>
      <c r="U5" s="15" t="s">
        <v>151</v>
      </c>
      <c r="V5" s="15" t="s">
        <v>40</v>
      </c>
      <c r="W5" s="15" t="s">
        <v>53</v>
      </c>
      <c r="X5" s="15" t="s">
        <v>152</v>
      </c>
    </row>
    <row r="6" customFormat="false" ht="26.85" hidden="false" customHeight="false" outlineLevel="0" collapsed="false">
      <c r="A6" s="9" t="str">
        <f aca="false">IF('Campaign Data'!$A6="","",'Campaign Data'!$A6)</f>
        <v>Brand search</v>
      </c>
      <c r="B6" s="9" t="str">
        <f aca="false">IF($A6="","",IF('Campaign Data'!$B6="","Other",'Campaign Data'!$B6))</f>
        <v>Brand search</v>
      </c>
      <c r="C6" s="11" t="n">
        <f aca="false">IF($A6="","",MAX(0,N('Campaign Data'!$C6)))</f>
        <v>60000</v>
      </c>
      <c r="D6" s="12" t="n">
        <f aca="false">IF($A6="","",IFERROR('Campaign Data'!$E6/$C6,0))</f>
        <v>15</v>
      </c>
      <c r="E6" s="27" t="n">
        <f aca="false">IF($A6="","",IF('Campaign Data'!$G6="",Settings!$B$8,'Campaign Data'!$G6))</f>
        <v>0.22</v>
      </c>
      <c r="F6" s="27" t="n">
        <f aca="false">IF($A6="","",IF('Campaign Data'!$H6="",Settings!$B$7,'Campaign Data'!$H6))</f>
        <v>0.58</v>
      </c>
      <c r="G6" s="11" t="n">
        <f aca="false">IF($A6="","",N('Campaign Data'!$E6)*(1-$E6))</f>
        <v>702000</v>
      </c>
      <c r="H6" s="12" t="n">
        <f aca="false">IF($A6="","",IF(SUMPRODUCT((Tests!$A$6:$A$20=$A6)*(Tests!$D$6:$D$20&gt;0))&gt;0,INDEX(Tests!$F$6:$F$20,MATCH($A6,Tests!$A$6:$A$20,0)),IFERROR(INDEX(Settings!$B$17:$B$25,MATCH($B6,Settings!$A$17:$A$25,0)),0.5)))</f>
        <v>0.2</v>
      </c>
      <c r="I6" s="9" t="str">
        <f aca="false">IF($A6="","",IF(SUMPRODUCT((Tests!$A$6:$A$20=$A6)*(Tests!$D$6:$D$20&gt;0))&gt;0,"Measured","Assumed"))</f>
        <v>Measured</v>
      </c>
      <c r="J6" s="28" t="n">
        <f aca="false">IF($A6="","",$G6*$H6)</f>
        <v>140400</v>
      </c>
      <c r="K6" s="29" t="n">
        <f aca="false">IF($A6="","",N('Campaign Data'!$D6)*$H6)</f>
        <v>1800</v>
      </c>
      <c r="L6" s="11" t="n">
        <f aca="false">IF($A6="","",$J6*$F6-$K6*Settings!$B$9-N('Campaign Data'!$E6)*$E6*$H6*Settings!$B$10)</f>
        <v>62496</v>
      </c>
      <c r="M6" s="28" t="n">
        <f aca="false">IF($A6="","",$L6-$C6)</f>
        <v>2496</v>
      </c>
      <c r="N6" s="30" t="n">
        <f aca="false">IF($A6="","",IFERROR($L6/$C6,0))</f>
        <v>1.0416</v>
      </c>
      <c r="O6" s="12" t="n">
        <f aca="false">IF($A6="","",IFERROR(INDEX(Settings!$C$17:$C$25,MATCH($B6,Settings!$A$17:$A$25,0)),0.7))</f>
        <v>0.4</v>
      </c>
      <c r="P6" s="30" t="n">
        <f aca="false">IF($A6="","",$N6*$O6)</f>
        <v>0.41664</v>
      </c>
      <c r="Q6" s="29" t="n">
        <f aca="false">IF($A6="","",N('Campaign Data'!$F6)*$H6)</f>
        <v>300</v>
      </c>
      <c r="R6" s="30" t="n">
        <f aca="false">IF($A6="","",IFERROR($C6/$Q6,0))</f>
        <v>200</v>
      </c>
      <c r="S6" s="26" t="n">
        <f aca="false">IF($A6="","",IFERROR(($L6/$K6)/$R6,0))</f>
        <v>0.1736</v>
      </c>
      <c r="T6" s="31" t="n">
        <f aca="false">IF($A6="","",IFERROR($C6/SUM($C$6:$C$45),0))</f>
        <v>0.0875912408759124</v>
      </c>
      <c r="U6" s="28" t="n">
        <f aca="false">IF($A6="","",IF(OR($C6&lt;=0,$P6&lt;=0,$O6&gt;=1),0,$C6*$P6^(1/(1-$O6))))</f>
        <v>13945.0321963369</v>
      </c>
      <c r="V6" s="9" t="str">
        <f aca="false">IF($A6="","",IF(AND($I6="Assumed",$T6&gt;Settings!$B$12,OR(IF($C6&lt;=0,"No spend",IF($N6&lt;1,"Cut",IF($P6&lt;1,"Trim",IF($P6&gt;=Settings!$B$11,"Scale","Hold"))))="Cut",IF($C6&lt;=0,"No spend",IF($N6&lt;1,"Cut",IF($P6&lt;1,"Trim",IF($P6&gt;=Settings!$B$11,"Scale","Hold"))))="Trim",IF($C6&lt;=0,"No spend",IF($N6&lt;1,"Cut",IF($P6&lt;1,"Trim",IF($P6&gt;=Settings!$B$11,"Scale","Hold"))))="Scale")),"Test before you "&amp;LOWER(IF($C6&lt;=0,"No spend",IF($N6&lt;1,"Cut",IF($P6&lt;1,"Trim",IF($P6&gt;=Settings!$B$11,"Scale","Hold"))))),IF($C6&lt;=0,"No spend",IF($N6&lt;1,"Cut",IF($P6&lt;1,"Trim",IF($P6&gt;=Settings!$B$11,"Scale","Hold"))))))</f>
        <v>Trim</v>
      </c>
      <c r="W6" s="32" t="str">
        <f aca="false">IF($A6="","",IF($V6="Cut","Stop it or cut it hard: even the average pound returns "&amp;TEXT($N6,"£0.00")&amp;".",IF($V6="Trim","Reduce spend towards "&amp;TEXT($U6,"£#,##0")&amp;": it pays on average, but the last pound returns "&amp;TEXT($P6,"£0.00")&amp;".",IF($V6="Scale","Add spend in steps towards "&amp;TEXT($U6,"£#,##0")&amp;", measuring each step: the last pound still returns "&amp;TEXT($P6,"£0.00")&amp;".",IF($V6="Hold","Hold: the last pound returns "&amp;TEXT($P6,"£0.00")&amp;", close to what it costs.",IF(LEFT($V6,4)="Test","Run a holdout before moving it: "&amp;TEXT($C6,"£#,##0")&amp;" rests on an assumed factor of "&amp;TEXT($H6,"0.00")&amp;".",""))))))</f>
        <v>Reduce spend towards £13,945: it pays on average, but the last pound returns £0.42.</v>
      </c>
      <c r="X6" s="33" t="n">
        <f aca="false">IF($A6="","",IF($C6&lt;=0,"",COUNTIFS($P$6:$P$45,"&lt;"&amp;$P6,$C$6:$C$45,"&gt;0")+COUNTIFS($P$6:$P6,$P6,$C$6:$C6,"&gt;0")))</f>
        <v>6</v>
      </c>
    </row>
    <row r="7" customFormat="false" ht="26.85" hidden="false" customHeight="false" outlineLevel="0" collapsed="false">
      <c r="A7" s="9" t="str">
        <f aca="false">IF('Campaign Data'!$A7="","",'Campaign Data'!$A7)</f>
        <v>Generic search: core categories</v>
      </c>
      <c r="B7" s="9" t="str">
        <f aca="false">IF($A7="","",IF('Campaign Data'!$B7="","Other",'Campaign Data'!$B7))</f>
        <v>Generic search</v>
      </c>
      <c r="C7" s="11" t="n">
        <f aca="false">IF($A7="","",MAX(0,N('Campaign Data'!$C7)))</f>
        <v>120000</v>
      </c>
      <c r="D7" s="12" t="n">
        <f aca="false">IF($A7="","",IFERROR('Campaign Data'!$E7/$C7,0))</f>
        <v>5</v>
      </c>
      <c r="E7" s="27" t="n">
        <f aca="false">IF($A7="","",IF('Campaign Data'!$G7="",Settings!$B$8,'Campaign Data'!$G7))</f>
        <v>0.22</v>
      </c>
      <c r="F7" s="27" t="n">
        <f aca="false">IF($A7="","",IF('Campaign Data'!$H7="",Settings!$B$7,'Campaign Data'!$H7))</f>
        <v>0.58</v>
      </c>
      <c r="G7" s="11" t="n">
        <f aca="false">IF($A7="","",N('Campaign Data'!$E7)*(1-$E7))</f>
        <v>468000</v>
      </c>
      <c r="H7" s="12" t="n">
        <f aca="false">IF($A7="","",IF(SUMPRODUCT((Tests!$A$6:$A$20=$A7)*(Tests!$D$6:$D$20&gt;0))&gt;0,INDEX(Tests!$F$6:$F$20,MATCH($A7,Tests!$A$6:$A$20,0)),IFERROR(INDEX(Settings!$B$17:$B$25,MATCH($B7,Settings!$A$17:$A$25,0)),0.5)))</f>
        <v>0.7</v>
      </c>
      <c r="I7" s="9" t="str">
        <f aca="false">IF($A7="","",IF(SUMPRODUCT((Tests!$A$6:$A$20=$A7)*(Tests!$D$6:$D$20&gt;0))&gt;0,"Measured","Assumed"))</f>
        <v>Assumed</v>
      </c>
      <c r="J7" s="28" t="n">
        <f aca="false">IF($A7="","",$G7*$H7)</f>
        <v>327600</v>
      </c>
      <c r="K7" s="29" t="n">
        <f aca="false">IF($A7="","",N('Campaign Data'!$D7)*$H7)</f>
        <v>4200</v>
      </c>
      <c r="L7" s="11" t="n">
        <f aca="false">IF($A7="","",$J7*$F7-$K7*Settings!$B$9-N('Campaign Data'!$E7)*$E7*$H7*Settings!$B$10)</f>
        <v>145824</v>
      </c>
      <c r="M7" s="28" t="n">
        <f aca="false">IF($A7="","",$L7-$C7)</f>
        <v>25824</v>
      </c>
      <c r="N7" s="30" t="n">
        <f aca="false">IF($A7="","",IFERROR($L7/$C7,0))</f>
        <v>1.2152</v>
      </c>
      <c r="O7" s="12" t="n">
        <f aca="false">IF($A7="","",IFERROR(INDEX(Settings!$C$17:$C$25,MATCH($B7,Settings!$A$17:$A$25,0)),0.7))</f>
        <v>0.65</v>
      </c>
      <c r="P7" s="30" t="n">
        <f aca="false">IF($A7="","",$N7*$O7)</f>
        <v>0.78988</v>
      </c>
      <c r="Q7" s="29" t="n">
        <f aca="false">IF($A7="","",N('Campaign Data'!$F7)*$H7)</f>
        <v>1820</v>
      </c>
      <c r="R7" s="30" t="n">
        <f aca="false">IF($A7="","",IFERROR($C7/$Q7,0))</f>
        <v>65.9340659340659</v>
      </c>
      <c r="S7" s="26" t="n">
        <f aca="false">IF($A7="","",IFERROR(($L7/$K7)/$R7,0))</f>
        <v>0.526586666666667</v>
      </c>
      <c r="T7" s="31" t="n">
        <f aca="false">IF($A7="","",IFERROR($C7/SUM($C$6:$C$45),0))</f>
        <v>0.175182481751825</v>
      </c>
      <c r="U7" s="28" t="n">
        <f aca="false">IF($A7="","",IF(OR($C7&lt;=0,$P7&lt;=0,$O7&gt;=1),0,$C7*$P7^(1/(1-$O7))))</f>
        <v>61164.4006743774</v>
      </c>
      <c r="V7" s="9" t="str">
        <f aca="false">IF($A7="","",IF(AND($I7="Assumed",$T7&gt;Settings!$B$12,OR(IF($C7&lt;=0,"No spend",IF($N7&lt;1,"Cut",IF($P7&lt;1,"Trim",IF($P7&gt;=Settings!$B$11,"Scale","Hold"))))="Cut",IF($C7&lt;=0,"No spend",IF($N7&lt;1,"Cut",IF($P7&lt;1,"Trim",IF($P7&gt;=Settings!$B$11,"Scale","Hold"))))="Trim",IF($C7&lt;=0,"No spend",IF($N7&lt;1,"Cut",IF($P7&lt;1,"Trim",IF($P7&gt;=Settings!$B$11,"Scale","Hold"))))="Scale")),"Test before you "&amp;LOWER(IF($C7&lt;=0,"No spend",IF($N7&lt;1,"Cut",IF($P7&lt;1,"Trim",IF($P7&gt;=Settings!$B$11,"Scale","Hold"))))),IF($C7&lt;=0,"No spend",IF($N7&lt;1,"Cut",IF($P7&lt;1,"Trim",IF($P7&gt;=Settings!$B$11,"Scale","Hold"))))))</f>
        <v>Test before you trim</v>
      </c>
      <c r="W7" s="32" t="str">
        <f aca="false">IF($A7="","",IF($V7="Cut","Stop it or cut it hard: even the average pound returns "&amp;TEXT($N7,"£0.00")&amp;".",IF($V7="Trim","Reduce spend towards "&amp;TEXT($U7,"£#,##0")&amp;": it pays on average, but the last pound returns "&amp;TEXT($P7,"£0.00")&amp;".",IF($V7="Scale","Add spend in steps towards "&amp;TEXT($U7,"£#,##0")&amp;", measuring each step: the last pound still returns "&amp;TEXT($P7,"£0.00")&amp;".",IF($V7="Hold","Hold: the last pound returns "&amp;TEXT($P7,"£0.00")&amp;", close to what it costs.",IF(LEFT($V7,4)="Test","Run a holdout before moving it: "&amp;TEXT($C7,"£#,##0")&amp;" rests on an assumed factor of "&amp;TEXT($H7,"0.00")&amp;".",""))))))</f>
        <v>Run a holdout before moving it: £120,000 rests on an assumed factor of 0.70.</v>
      </c>
      <c r="X7" s="33" t="n">
        <f aca="false">IF($A7="","",IF($C7&lt;=0,"",COUNTIFS($P$6:$P$45,"&lt;"&amp;$P7,$C$6:$C$45,"&gt;0")+COUNTIFS($P$6:$P7,$P7,$C$6:$C7,"&gt;0")))</f>
        <v>9</v>
      </c>
    </row>
    <row r="8" customFormat="false" ht="26.85" hidden="false" customHeight="false" outlineLevel="0" collapsed="false">
      <c r="A8" s="9" t="str">
        <f aca="false">IF('Campaign Data'!$A8="","",'Campaign Data'!$A8)</f>
        <v>Generic search: long tail</v>
      </c>
      <c r="B8" s="9" t="str">
        <f aca="false">IF($A8="","",IF('Campaign Data'!$B8="","Other",'Campaign Data'!$B8))</f>
        <v>Generic search</v>
      </c>
      <c r="C8" s="11" t="n">
        <f aca="false">IF($A8="","",MAX(0,N('Campaign Data'!$C8)))</f>
        <v>40000</v>
      </c>
      <c r="D8" s="12" t="n">
        <f aca="false">IF($A8="","",IFERROR('Campaign Data'!$E8/$C8,0))</f>
        <v>8</v>
      </c>
      <c r="E8" s="27" t="n">
        <f aca="false">IF($A8="","",IF('Campaign Data'!$G8="",Settings!$B$8,'Campaign Data'!$G8))</f>
        <v>0.22</v>
      </c>
      <c r="F8" s="27" t="n">
        <f aca="false">IF($A8="","",IF('Campaign Data'!$H8="",Settings!$B$7,'Campaign Data'!$H8))</f>
        <v>0.58</v>
      </c>
      <c r="G8" s="11" t="n">
        <f aca="false">IF($A8="","",N('Campaign Data'!$E8)*(1-$E8))</f>
        <v>249600</v>
      </c>
      <c r="H8" s="12" t="n">
        <f aca="false">IF($A8="","",IF(SUMPRODUCT((Tests!$A$6:$A$20=$A8)*(Tests!$D$6:$D$20&gt;0))&gt;0,INDEX(Tests!$F$6:$F$20,MATCH($A8,Tests!$A$6:$A$20,0)),IFERROR(INDEX(Settings!$B$17:$B$25,MATCH($B8,Settings!$A$17:$A$25,0)),0.5)))</f>
        <v>0.75</v>
      </c>
      <c r="I8" s="9" t="str">
        <f aca="false">IF($A8="","",IF(SUMPRODUCT((Tests!$A$6:$A$20=$A8)*(Tests!$D$6:$D$20&gt;0))&gt;0,"Measured","Assumed"))</f>
        <v>Measured</v>
      </c>
      <c r="J8" s="28" t="n">
        <f aca="false">IF($A8="","",$G8*$H8)</f>
        <v>187200</v>
      </c>
      <c r="K8" s="29" t="n">
        <f aca="false">IF($A8="","",N('Campaign Data'!$D8)*$H8)</f>
        <v>2400</v>
      </c>
      <c r="L8" s="11" t="n">
        <f aca="false">IF($A8="","",$J8*$F8-$K8*Settings!$B$9-N('Campaign Data'!$E8)*$E8*$H8*Settings!$B$10)</f>
        <v>83328</v>
      </c>
      <c r="M8" s="28" t="n">
        <f aca="false">IF($A8="","",$L8-$C8)</f>
        <v>43328</v>
      </c>
      <c r="N8" s="30" t="n">
        <f aca="false">IF($A8="","",IFERROR($L8/$C8,0))</f>
        <v>2.0832</v>
      </c>
      <c r="O8" s="12" t="n">
        <f aca="false">IF($A8="","",IFERROR(INDEX(Settings!$C$17:$C$25,MATCH($B8,Settings!$A$17:$A$25,0)),0.7))</f>
        <v>0.65</v>
      </c>
      <c r="P8" s="30" t="n">
        <f aca="false">IF($A8="","",$N8*$O8)</f>
        <v>1.35408</v>
      </c>
      <c r="Q8" s="29" t="n">
        <f aca="false">IF($A8="","",N('Campaign Data'!$F8)*$H8)</f>
        <v>1050</v>
      </c>
      <c r="R8" s="30" t="n">
        <f aca="false">IF($A8="","",IFERROR($C8/$Q8,0))</f>
        <v>38.0952380952381</v>
      </c>
      <c r="S8" s="26" t="n">
        <f aca="false">IF($A8="","",IFERROR(($L8/$K8)/$R8,0))</f>
        <v>0.9114</v>
      </c>
      <c r="T8" s="31" t="n">
        <f aca="false">IF($A8="","",IFERROR($C8/SUM($C$6:$C$45),0))</f>
        <v>0.0583941605839416</v>
      </c>
      <c r="U8" s="28" t="n">
        <f aca="false">IF($A8="","",IF(OR($C8&lt;=0,$P8&lt;=0,$O8&gt;=1),0,$C8*$P8^(1/(1-$O8))))</f>
        <v>95101.3386197851</v>
      </c>
      <c r="V8" s="9" t="str">
        <f aca="false">IF($A8="","",IF(AND($I8="Assumed",$T8&gt;Settings!$B$12,OR(IF($C8&lt;=0,"No spend",IF($N8&lt;1,"Cut",IF($P8&lt;1,"Trim",IF($P8&gt;=Settings!$B$11,"Scale","Hold"))))="Cut",IF($C8&lt;=0,"No spend",IF($N8&lt;1,"Cut",IF($P8&lt;1,"Trim",IF($P8&gt;=Settings!$B$11,"Scale","Hold"))))="Trim",IF($C8&lt;=0,"No spend",IF($N8&lt;1,"Cut",IF($P8&lt;1,"Trim",IF($P8&gt;=Settings!$B$11,"Scale","Hold"))))="Scale")),"Test before you "&amp;LOWER(IF($C8&lt;=0,"No spend",IF($N8&lt;1,"Cut",IF($P8&lt;1,"Trim",IF($P8&gt;=Settings!$B$11,"Scale","Hold"))))),IF($C8&lt;=0,"No spend",IF($N8&lt;1,"Cut",IF($P8&lt;1,"Trim",IF($P8&gt;=Settings!$B$11,"Scale","Hold"))))))</f>
        <v>Scale</v>
      </c>
      <c r="W8" s="32" t="str">
        <f aca="false">IF($A8="","",IF($V8="Cut","Stop it or cut it hard: even the average pound returns "&amp;TEXT($N8,"£0.00")&amp;".",IF($V8="Trim","Reduce spend towards "&amp;TEXT($U8,"£#,##0")&amp;": it pays on average, but the last pound returns "&amp;TEXT($P8,"£0.00")&amp;".",IF($V8="Scale","Add spend in steps towards "&amp;TEXT($U8,"£#,##0")&amp;", measuring each step: the last pound still returns "&amp;TEXT($P8,"£0.00")&amp;".",IF($V8="Hold","Hold: the last pound returns "&amp;TEXT($P8,"£0.00")&amp;", close to what it costs.",IF(LEFT($V8,4)="Test","Run a holdout before moving it: "&amp;TEXT($C8,"£#,##0")&amp;" rests on an assumed factor of "&amp;TEXT($H8,"0.00")&amp;".",""))))))</f>
        <v>Add spend in steps towards £95,101, measuring each step: the last pound still returns £1.35.</v>
      </c>
      <c r="X8" s="33" t="n">
        <f aca="false">IF($A8="","",IF($C8&lt;=0,"",COUNTIFS($P$6:$P$45,"&lt;"&amp;$P8,$C$6:$C$45,"&gt;0")+COUNTIFS($P$6:$P8,$P8,$C$6:$C8,"&gt;0")))</f>
        <v>12</v>
      </c>
    </row>
    <row r="9" customFormat="false" ht="26.85" hidden="false" customHeight="false" outlineLevel="0" collapsed="false">
      <c r="A9" s="9" t="str">
        <f aca="false">IF('Campaign Data'!$A9="","",'Campaign Data'!$A9)</f>
        <v>Shopping: full range</v>
      </c>
      <c r="B9" s="9" t="str">
        <f aca="false">IF($A9="","",IF('Campaign Data'!$B9="","Other",'Campaign Data'!$B9))</f>
        <v>Shopping</v>
      </c>
      <c r="C9" s="11" t="n">
        <f aca="false">IF($A9="","",MAX(0,N('Campaign Data'!$C9)))</f>
        <v>150000</v>
      </c>
      <c r="D9" s="12" t="n">
        <f aca="false">IF($A9="","",IFERROR('Campaign Data'!$E9/$C9,0))</f>
        <v>5.1</v>
      </c>
      <c r="E9" s="27" t="n">
        <f aca="false">IF($A9="","",IF('Campaign Data'!$G9="",Settings!$B$8,'Campaign Data'!$G9))</f>
        <v>0.22</v>
      </c>
      <c r="F9" s="27" t="n">
        <f aca="false">IF($A9="","",IF('Campaign Data'!$H9="",Settings!$B$7,'Campaign Data'!$H9))</f>
        <v>0.58</v>
      </c>
      <c r="G9" s="11" t="n">
        <f aca="false">IF($A9="","",N('Campaign Data'!$E9)*(1-$E9))</f>
        <v>596700</v>
      </c>
      <c r="H9" s="12" t="n">
        <f aca="false">IF($A9="","",IF(SUMPRODUCT((Tests!$A$6:$A$20=$A9)*(Tests!$D$6:$D$20&gt;0))&gt;0,INDEX(Tests!$F$6:$F$20,MATCH($A9,Tests!$A$6:$A$20,0)),IFERROR(INDEX(Settings!$B$17:$B$25,MATCH($B9,Settings!$A$17:$A$25,0)),0.5)))</f>
        <v>0.65</v>
      </c>
      <c r="I9" s="9" t="str">
        <f aca="false">IF($A9="","",IF(SUMPRODUCT((Tests!$A$6:$A$20=$A9)*(Tests!$D$6:$D$20&gt;0))&gt;0,"Measured","Assumed"))</f>
        <v>Assumed</v>
      </c>
      <c r="J9" s="28" t="n">
        <f aca="false">IF($A9="","",$G9*$H9)</f>
        <v>387855</v>
      </c>
      <c r="K9" s="29" t="n">
        <f aca="false">IF($A9="","",N('Campaign Data'!$D9)*$H9)</f>
        <v>5525</v>
      </c>
      <c r="L9" s="11" t="n">
        <f aca="false">IF($A9="","",$J9*$F9-$K9*Settings!$B$9-N('Campaign Data'!$E9)*$E9*$H9*Settings!$B$10)</f>
        <v>167562.2</v>
      </c>
      <c r="M9" s="28" t="n">
        <f aca="false">IF($A9="","",$L9-$C9)</f>
        <v>17562.2</v>
      </c>
      <c r="N9" s="30" t="n">
        <f aca="false">IF($A9="","",IFERROR($L9/$C9,0))</f>
        <v>1.11708133333333</v>
      </c>
      <c r="O9" s="12" t="n">
        <f aca="false">IF($A9="","",IFERROR(INDEX(Settings!$C$17:$C$25,MATCH($B9,Settings!$A$17:$A$25,0)),0.7))</f>
        <v>0.65</v>
      </c>
      <c r="P9" s="30" t="n">
        <f aca="false">IF($A9="","",$N9*$O9)</f>
        <v>0.726102866666667</v>
      </c>
      <c r="Q9" s="29" t="n">
        <f aca="false">IF($A9="","",N('Campaign Data'!$F9)*$H9)</f>
        <v>1950</v>
      </c>
      <c r="R9" s="30" t="n">
        <f aca="false">IF($A9="","",IFERROR($C9/$Q9,0))</f>
        <v>76.9230769230769</v>
      </c>
      <c r="S9" s="26" t="n">
        <f aca="false">IF($A9="","",IFERROR(($L9/$K9)/$R9,0))</f>
        <v>0.394264</v>
      </c>
      <c r="T9" s="31" t="n">
        <f aca="false">IF($A9="","",IFERROR($C9/SUM($C$6:$C$45),0))</f>
        <v>0.218978102189781</v>
      </c>
      <c r="U9" s="28" t="n">
        <f aca="false">IF($A9="","",IF(OR($C9&lt;=0,$P9&lt;=0,$O9&gt;=1),0,$C9*$P9^(1/(1-$O9))))</f>
        <v>60109.5006416763</v>
      </c>
      <c r="V9" s="9" t="str">
        <f aca="false">IF($A9="","",IF(AND($I9="Assumed",$T9&gt;Settings!$B$12,OR(IF($C9&lt;=0,"No spend",IF($N9&lt;1,"Cut",IF($P9&lt;1,"Trim",IF($P9&gt;=Settings!$B$11,"Scale","Hold"))))="Cut",IF($C9&lt;=0,"No spend",IF($N9&lt;1,"Cut",IF($P9&lt;1,"Trim",IF($P9&gt;=Settings!$B$11,"Scale","Hold"))))="Trim",IF($C9&lt;=0,"No spend",IF($N9&lt;1,"Cut",IF($P9&lt;1,"Trim",IF($P9&gt;=Settings!$B$11,"Scale","Hold"))))="Scale")),"Test before you "&amp;LOWER(IF($C9&lt;=0,"No spend",IF($N9&lt;1,"Cut",IF($P9&lt;1,"Trim",IF($P9&gt;=Settings!$B$11,"Scale","Hold"))))),IF($C9&lt;=0,"No spend",IF($N9&lt;1,"Cut",IF($P9&lt;1,"Trim",IF($P9&gt;=Settings!$B$11,"Scale","Hold"))))))</f>
        <v>Test before you trim</v>
      </c>
      <c r="W9" s="32" t="str">
        <f aca="false">IF($A9="","",IF($V9="Cut","Stop it or cut it hard: even the average pound returns "&amp;TEXT($N9,"£0.00")&amp;".",IF($V9="Trim","Reduce spend towards "&amp;TEXT($U9,"£#,##0")&amp;": it pays on average, but the last pound returns "&amp;TEXT($P9,"£0.00")&amp;".",IF($V9="Scale","Add spend in steps towards "&amp;TEXT($U9,"£#,##0")&amp;", measuring each step: the last pound still returns "&amp;TEXT($P9,"£0.00")&amp;".",IF($V9="Hold","Hold: the last pound returns "&amp;TEXT($P9,"£0.00")&amp;", close to what it costs.",IF(LEFT($V9,4)="Test","Run a holdout before moving it: "&amp;TEXT($C9,"£#,##0")&amp;" rests on an assumed factor of "&amp;TEXT($H9,"0.00")&amp;".",""))))))</f>
        <v>Run a holdout before moving it: £150,000 rests on an assumed factor of 0.65.</v>
      </c>
      <c r="X9" s="33" t="n">
        <f aca="false">IF($A9="","",IF($C9&lt;=0,"",COUNTIFS($P$6:$P$45,"&lt;"&amp;$P9,$C$6:$C$45,"&gt;0")+COUNTIFS($P$6:$P9,$P9,$C$6:$C9,"&gt;0")))</f>
        <v>8</v>
      </c>
    </row>
    <row r="10" customFormat="false" ht="15" hidden="false" customHeight="false" outlineLevel="0" collapsed="false">
      <c r="A10" s="9" t="str">
        <f aca="false">IF('Campaign Data'!$A10="","",'Campaign Data'!$A10)</f>
        <v>Shopping: clearance lines</v>
      </c>
      <c r="B10" s="9" t="str">
        <f aca="false">IF($A10="","",IF('Campaign Data'!$B10="","Other",'Campaign Data'!$B10))</f>
        <v>Shopping</v>
      </c>
      <c r="C10" s="11" t="n">
        <f aca="false">IF($A10="","",MAX(0,N('Campaign Data'!$C10)))</f>
        <v>30000</v>
      </c>
      <c r="D10" s="12" t="n">
        <f aca="false">IF($A10="","",IFERROR('Campaign Data'!$E10/$C10,0))</f>
        <v>4.2</v>
      </c>
      <c r="E10" s="27" t="n">
        <f aca="false">IF($A10="","",IF('Campaign Data'!$G10="",Settings!$B$8,'Campaign Data'!$G10))</f>
        <v>0.18</v>
      </c>
      <c r="F10" s="27" t="n">
        <f aca="false">IF($A10="","",IF('Campaign Data'!$H10="",Settings!$B$7,'Campaign Data'!$H10))</f>
        <v>0.35</v>
      </c>
      <c r="G10" s="11" t="n">
        <f aca="false">IF($A10="","",N('Campaign Data'!$E10)*(1-$E10))</f>
        <v>103320</v>
      </c>
      <c r="H10" s="12" t="n">
        <f aca="false">IF($A10="","",IF(SUMPRODUCT((Tests!$A$6:$A$20=$A10)*(Tests!$D$6:$D$20&gt;0))&gt;0,INDEX(Tests!$F$6:$F$20,MATCH($A10,Tests!$A$6:$A$20,0)),IFERROR(INDEX(Settings!$B$17:$B$25,MATCH($B10,Settings!$A$17:$A$25,0)),0.5)))</f>
        <v>0.65</v>
      </c>
      <c r="I10" s="9" t="str">
        <f aca="false">IF($A10="","",IF(SUMPRODUCT((Tests!$A$6:$A$20=$A10)*(Tests!$D$6:$D$20&gt;0))&gt;0,"Measured","Assumed"))</f>
        <v>Assumed</v>
      </c>
      <c r="J10" s="28" t="n">
        <f aca="false">IF($A10="","",$G10*$H10)</f>
        <v>67158</v>
      </c>
      <c r="K10" s="29" t="n">
        <f aca="false">IF($A10="","",N('Campaign Data'!$D10)*$H10)</f>
        <v>1170</v>
      </c>
      <c r="L10" s="11" t="n">
        <f aca="false">IF($A10="","",$J10*$F10-$K10*Settings!$B$9-N('Campaign Data'!$E10)*$E10*$H10*Settings!$B$10)</f>
        <v>11856.78</v>
      </c>
      <c r="M10" s="28" t="n">
        <f aca="false">IF($A10="","",$L10-$C10)</f>
        <v>-18143.22</v>
      </c>
      <c r="N10" s="30" t="n">
        <f aca="false">IF($A10="","",IFERROR($L10/$C10,0))</f>
        <v>0.395226</v>
      </c>
      <c r="O10" s="12" t="n">
        <f aca="false">IF($A10="","",IFERROR(INDEX(Settings!$C$17:$C$25,MATCH($B10,Settings!$A$17:$A$25,0)),0.7))</f>
        <v>0.65</v>
      </c>
      <c r="P10" s="30" t="n">
        <f aca="false">IF($A10="","",$N10*$O10)</f>
        <v>0.2568969</v>
      </c>
      <c r="Q10" s="29" t="n">
        <f aca="false">IF($A10="","",N('Campaign Data'!$F10)*$H10)</f>
        <v>455</v>
      </c>
      <c r="R10" s="30" t="n">
        <f aca="false">IF($A10="","",IFERROR($C10/$Q10,0))</f>
        <v>65.9340659340659</v>
      </c>
      <c r="S10" s="26" t="n">
        <f aca="false">IF($A10="","",IFERROR(($L10/$K10)/$R10,0))</f>
        <v>0.153699</v>
      </c>
      <c r="T10" s="31" t="n">
        <f aca="false">IF($A10="","",IFERROR($C10/SUM($C$6:$C$45),0))</f>
        <v>0.0437956204379562</v>
      </c>
      <c r="U10" s="28" t="n">
        <f aca="false">IF($A10="","",IF(OR($C10&lt;=0,$P10&lt;=0,$O10&gt;=1),0,$C10*$P10^(1/(1-$O10))))</f>
        <v>617.615245706949</v>
      </c>
      <c r="V10" s="9" t="str">
        <f aca="false">IF($A10="","",IF(AND($I10="Assumed",$T10&gt;Settings!$B$12,OR(IF($C10&lt;=0,"No spend",IF($N10&lt;1,"Cut",IF($P10&lt;1,"Trim",IF($P10&gt;=Settings!$B$11,"Scale","Hold"))))="Cut",IF($C10&lt;=0,"No spend",IF($N10&lt;1,"Cut",IF($P10&lt;1,"Trim",IF($P10&gt;=Settings!$B$11,"Scale","Hold"))))="Trim",IF($C10&lt;=0,"No spend",IF($N10&lt;1,"Cut",IF($P10&lt;1,"Trim",IF($P10&gt;=Settings!$B$11,"Scale","Hold"))))="Scale")),"Test before you "&amp;LOWER(IF($C10&lt;=0,"No spend",IF($N10&lt;1,"Cut",IF($P10&lt;1,"Trim",IF($P10&gt;=Settings!$B$11,"Scale","Hold"))))),IF($C10&lt;=0,"No spend",IF($N10&lt;1,"Cut",IF($P10&lt;1,"Trim",IF($P10&gt;=Settings!$B$11,"Scale","Hold"))))))</f>
        <v>Cut</v>
      </c>
      <c r="W10" s="32" t="str">
        <f aca="false">IF($A10="","",IF($V10="Cut","Stop it or cut it hard: even the average pound returns "&amp;TEXT($N10,"£0.00")&amp;".",IF($V10="Trim","Reduce spend towards "&amp;TEXT($U10,"£#,##0")&amp;": it pays on average, but the last pound returns "&amp;TEXT($P10,"£0.00")&amp;".",IF($V10="Scale","Add spend in steps towards "&amp;TEXT($U10,"£#,##0")&amp;", measuring each step: the last pound still returns "&amp;TEXT($P10,"£0.00")&amp;".",IF($V10="Hold","Hold: the last pound returns "&amp;TEXT($P10,"£0.00")&amp;", close to what it costs.",IF(LEFT($V10,4)="Test","Run a holdout before moving it: "&amp;TEXT($C10,"£#,##0")&amp;" rests on an assumed factor of "&amp;TEXT($H10,"0.00")&amp;".",""))))))</f>
        <v>Stop it or cut it hard: even the average pound returns £0.40.</v>
      </c>
      <c r="X10" s="33" t="n">
        <f aca="false">IF($A10="","",IF($C10&lt;=0,"",COUNTIFS($P$6:$P$45,"&lt;"&amp;$P10,$C$6:$C$45,"&gt;0")+COUNTIFS($P$6:$P10,$P10,$C$6:$C10,"&gt;0")))</f>
        <v>3</v>
      </c>
    </row>
    <row r="11" customFormat="false" ht="15" hidden="false" customHeight="false" outlineLevel="0" collapsed="false">
      <c r="A11" s="9" t="str">
        <f aca="false">IF('Campaign Data'!$A11="","",'Campaign Data'!$A11)</f>
        <v>Paid social: prospecting</v>
      </c>
      <c r="B11" s="9" t="str">
        <f aca="false">IF($A11="","",IF('Campaign Data'!$B11="","Other",'Campaign Data'!$B11))</f>
        <v>Paid social prospecting</v>
      </c>
      <c r="C11" s="11" t="n">
        <f aca="false">IF($A11="","",MAX(0,N('Campaign Data'!$C11)))</f>
        <v>90000</v>
      </c>
      <c r="D11" s="12" t="n">
        <f aca="false">IF($A11="","",IFERROR('Campaign Data'!$E11/$C11,0))</f>
        <v>2.44444444444444</v>
      </c>
      <c r="E11" s="27" t="n">
        <f aca="false">IF($A11="","",IF('Campaign Data'!$G11="",Settings!$B$8,'Campaign Data'!$G11))</f>
        <v>0.22</v>
      </c>
      <c r="F11" s="27" t="n">
        <f aca="false">IF($A11="","",IF('Campaign Data'!$H11="",Settings!$B$7,'Campaign Data'!$H11))</f>
        <v>0.58</v>
      </c>
      <c r="G11" s="11" t="n">
        <f aca="false">IF($A11="","",N('Campaign Data'!$E11)*(1-$E11))</f>
        <v>171600</v>
      </c>
      <c r="H11" s="12" t="n">
        <f aca="false">IF($A11="","",IF(SUMPRODUCT((Tests!$A$6:$A$20=$A11)*(Tests!$D$6:$D$20&gt;0))&gt;0,INDEX(Tests!$F$6:$F$20,MATCH($A11,Tests!$A$6:$A$20,0)),IFERROR(INDEX(Settings!$B$17:$B$25,MATCH($B11,Settings!$A$17:$A$25,0)),0.5)))</f>
        <v>1.8</v>
      </c>
      <c r="I11" s="9" t="str">
        <f aca="false">IF($A11="","",IF(SUMPRODUCT((Tests!$A$6:$A$20=$A11)*(Tests!$D$6:$D$20&gt;0))&gt;0,"Measured","Assumed"))</f>
        <v>Measured</v>
      </c>
      <c r="J11" s="28" t="n">
        <f aca="false">IF($A11="","",$G11*$H11)</f>
        <v>308880</v>
      </c>
      <c r="K11" s="29" t="n">
        <f aca="false">IF($A11="","",N('Campaign Data'!$D11)*$H11)</f>
        <v>3960</v>
      </c>
      <c r="L11" s="11" t="n">
        <f aca="false">IF($A11="","",$J11*$F11-$K11*Settings!$B$9-N('Campaign Data'!$E11)*$E11*$H11*Settings!$B$10)</f>
        <v>137491.2</v>
      </c>
      <c r="M11" s="28" t="n">
        <f aca="false">IF($A11="","",$L11-$C11)</f>
        <v>47491.2</v>
      </c>
      <c r="N11" s="30" t="n">
        <f aca="false">IF($A11="","",IFERROR($L11/$C11,0))</f>
        <v>1.52768</v>
      </c>
      <c r="O11" s="12" t="n">
        <f aca="false">IF($A11="","",IFERROR(INDEX(Settings!$C$17:$C$25,MATCH($B11,Settings!$A$17:$A$25,0)),0.7))</f>
        <v>0.75</v>
      </c>
      <c r="P11" s="30" t="n">
        <f aca="false">IF($A11="","",$N11*$O11)</f>
        <v>1.14576</v>
      </c>
      <c r="Q11" s="29" t="n">
        <f aca="false">IF($A11="","",N('Campaign Data'!$F11)*$H11)</f>
        <v>2700</v>
      </c>
      <c r="R11" s="30" t="n">
        <f aca="false">IF($A11="","",IFERROR($C11/$Q11,0))</f>
        <v>33.3333333333333</v>
      </c>
      <c r="S11" s="26" t="n">
        <f aca="false">IF($A11="","",IFERROR(($L11/$K11)/$R11,0))</f>
        <v>1.0416</v>
      </c>
      <c r="T11" s="31" t="n">
        <f aca="false">IF($A11="","",IFERROR($C11/SUM($C$6:$C$45),0))</f>
        <v>0.131386861313869</v>
      </c>
      <c r="U11" s="28" t="n">
        <f aca="false">IF($A11="","",IF(OR($C11&lt;=0,$P11&lt;=0,$O11&gt;=1),0,$C11*$P11^(1/(1-$O11))))</f>
        <v>155101.906074967</v>
      </c>
      <c r="V11" s="9" t="str">
        <f aca="false">IF($A11="","",IF(AND($I11="Assumed",$T11&gt;Settings!$B$12,OR(IF($C11&lt;=0,"No spend",IF($N11&lt;1,"Cut",IF($P11&lt;1,"Trim",IF($P11&gt;=Settings!$B$11,"Scale","Hold"))))="Cut",IF($C11&lt;=0,"No spend",IF($N11&lt;1,"Cut",IF($P11&lt;1,"Trim",IF($P11&gt;=Settings!$B$11,"Scale","Hold"))))="Trim",IF($C11&lt;=0,"No spend",IF($N11&lt;1,"Cut",IF($P11&lt;1,"Trim",IF($P11&gt;=Settings!$B$11,"Scale","Hold"))))="Scale")),"Test before you "&amp;LOWER(IF($C11&lt;=0,"No spend",IF($N11&lt;1,"Cut",IF($P11&lt;1,"Trim",IF($P11&gt;=Settings!$B$11,"Scale","Hold"))))),IF($C11&lt;=0,"No spend",IF($N11&lt;1,"Cut",IF($P11&lt;1,"Trim",IF($P11&gt;=Settings!$B$11,"Scale","Hold"))))))</f>
        <v>Hold</v>
      </c>
      <c r="W11" s="32" t="str">
        <f aca="false">IF($A11="","",IF($V11="Cut","Stop it or cut it hard: even the average pound returns "&amp;TEXT($N11,"£0.00")&amp;".",IF($V11="Trim","Reduce spend towards "&amp;TEXT($U11,"£#,##0")&amp;": it pays on average, but the last pound returns "&amp;TEXT($P11,"£0.00")&amp;".",IF($V11="Scale","Add spend in steps towards "&amp;TEXT($U11,"£#,##0")&amp;", measuring each step: the last pound still returns "&amp;TEXT($P11,"£0.00")&amp;".",IF($V11="Hold","Hold: the last pound returns "&amp;TEXT($P11,"£0.00")&amp;", close to what it costs.",IF(LEFT($V11,4)="Test","Run a holdout before moving it: "&amp;TEXT($C11,"£#,##0")&amp;" rests on an assumed factor of "&amp;TEXT($H11,"0.00")&amp;".",""))))))</f>
        <v>Hold: the last pound returns £1.15, close to what it costs.</v>
      </c>
      <c r="X11" s="33" t="n">
        <f aca="false">IF($A11="","",IF($C11&lt;=0,"",COUNTIFS($P$6:$P$45,"&lt;"&amp;$P11,$C$6:$C$45,"&gt;0")+COUNTIFS($P$6:$P11,$P11,$C$6:$C11,"&gt;0")))</f>
        <v>11</v>
      </c>
    </row>
    <row r="12" customFormat="false" ht="26.85" hidden="false" customHeight="false" outlineLevel="0" collapsed="false">
      <c r="A12" s="9" t="str">
        <f aca="false">IF('Campaign Data'!$A12="","",'Campaign Data'!$A12)</f>
        <v>Paid social: retargeting</v>
      </c>
      <c r="B12" s="9" t="str">
        <f aca="false">IF($A12="","",IF('Campaign Data'!$B12="","Other",'Campaign Data'!$B12))</f>
        <v>Paid social retargeting</v>
      </c>
      <c r="C12" s="11" t="n">
        <f aca="false">IF($A12="","",MAX(0,N('Campaign Data'!$C12)))</f>
        <v>45000</v>
      </c>
      <c r="D12" s="12" t="n">
        <f aca="false">IF($A12="","",IFERROR('Campaign Data'!$E12/$C12,0))</f>
        <v>6</v>
      </c>
      <c r="E12" s="27" t="n">
        <f aca="false">IF($A12="","",IF('Campaign Data'!$G12="",Settings!$B$8,'Campaign Data'!$G12))</f>
        <v>0.22</v>
      </c>
      <c r="F12" s="27" t="n">
        <f aca="false">IF($A12="","",IF('Campaign Data'!$H12="",Settings!$B$7,'Campaign Data'!$H12))</f>
        <v>0.58</v>
      </c>
      <c r="G12" s="11" t="n">
        <f aca="false">IF($A12="","",N('Campaign Data'!$E12)*(1-$E12))</f>
        <v>210600</v>
      </c>
      <c r="H12" s="12" t="n">
        <f aca="false">IF($A12="","",IF(SUMPRODUCT((Tests!$A$6:$A$20=$A12)*(Tests!$D$6:$D$20&gt;0))&gt;0,INDEX(Tests!$F$6:$F$20,MATCH($A12,Tests!$A$6:$A$20,0)),IFERROR(INDEX(Settings!$B$17:$B$25,MATCH($B12,Settings!$A$17:$A$25,0)),0.5)))</f>
        <v>0.3</v>
      </c>
      <c r="I12" s="9" t="str">
        <f aca="false">IF($A12="","",IF(SUMPRODUCT((Tests!$A$6:$A$20=$A12)*(Tests!$D$6:$D$20&gt;0))&gt;0,"Measured","Assumed"))</f>
        <v>Assumed</v>
      </c>
      <c r="J12" s="28" t="n">
        <f aca="false">IF($A12="","",$G12*$H12)</f>
        <v>63180</v>
      </c>
      <c r="K12" s="29" t="n">
        <f aca="false">IF($A12="","",N('Campaign Data'!$D12)*$H12)</f>
        <v>900</v>
      </c>
      <c r="L12" s="11" t="n">
        <f aca="false">IF($A12="","",$J12*$F12-$K12*Settings!$B$9-N('Campaign Data'!$E12)*$E12*$H12*Settings!$B$10)</f>
        <v>27295.2</v>
      </c>
      <c r="M12" s="28" t="n">
        <f aca="false">IF($A12="","",$L12-$C12)</f>
        <v>-17704.8</v>
      </c>
      <c r="N12" s="30" t="n">
        <f aca="false">IF($A12="","",IFERROR($L12/$C12,0))</f>
        <v>0.60656</v>
      </c>
      <c r="O12" s="12" t="n">
        <f aca="false">IF($A12="","",IFERROR(INDEX(Settings!$C$17:$C$25,MATCH($B12,Settings!$A$17:$A$25,0)),0.7))</f>
        <v>0.6</v>
      </c>
      <c r="P12" s="30" t="n">
        <f aca="false">IF($A12="","",$N12*$O12)</f>
        <v>0.363936</v>
      </c>
      <c r="Q12" s="29" t="n">
        <f aca="false">IF($A12="","",N('Campaign Data'!$F12)*$H12)</f>
        <v>90</v>
      </c>
      <c r="R12" s="30" t="n">
        <f aca="false">IF($A12="","",IFERROR($C12/$Q12,0))</f>
        <v>500</v>
      </c>
      <c r="S12" s="26" t="n">
        <f aca="false">IF($A12="","",IFERROR(($L12/$K12)/$R12,0))</f>
        <v>0.060656</v>
      </c>
      <c r="T12" s="31" t="n">
        <f aca="false">IF($A12="","",IFERROR($C12/SUM($C$6:$C$45),0))</f>
        <v>0.0656934306569343</v>
      </c>
      <c r="U12" s="28" t="n">
        <f aca="false">IF($A12="","",IF(OR($C12&lt;=0,$P12&lt;=0,$O12&gt;=1),0,$C12*$P12^(1/(1-$O12))))</f>
        <v>3595.63051455907</v>
      </c>
      <c r="V12" s="9" t="str">
        <f aca="false">IF($A12="","",IF(AND($I12="Assumed",$T12&gt;Settings!$B$12,OR(IF($C12&lt;=0,"No spend",IF($N12&lt;1,"Cut",IF($P12&lt;1,"Trim",IF($P12&gt;=Settings!$B$11,"Scale","Hold"))))="Cut",IF($C12&lt;=0,"No spend",IF($N12&lt;1,"Cut",IF($P12&lt;1,"Trim",IF($P12&gt;=Settings!$B$11,"Scale","Hold"))))="Trim",IF($C12&lt;=0,"No spend",IF($N12&lt;1,"Cut",IF($P12&lt;1,"Trim",IF($P12&gt;=Settings!$B$11,"Scale","Hold"))))="Scale")),"Test before you "&amp;LOWER(IF($C12&lt;=0,"No spend",IF($N12&lt;1,"Cut",IF($P12&lt;1,"Trim",IF($P12&gt;=Settings!$B$11,"Scale","Hold"))))),IF($C12&lt;=0,"No spend",IF($N12&lt;1,"Cut",IF($P12&lt;1,"Trim",IF($P12&gt;=Settings!$B$11,"Scale","Hold"))))))</f>
        <v>Test before you cut</v>
      </c>
      <c r="W12" s="32" t="str">
        <f aca="false">IF($A12="","",IF($V12="Cut","Stop it or cut it hard: even the average pound returns "&amp;TEXT($N12,"£0.00")&amp;".",IF($V12="Trim","Reduce spend towards "&amp;TEXT($U12,"£#,##0")&amp;": it pays on average, but the last pound returns "&amp;TEXT($P12,"£0.00")&amp;".",IF($V12="Scale","Add spend in steps towards "&amp;TEXT($U12,"£#,##0")&amp;", measuring each step: the last pound still returns "&amp;TEXT($P12,"£0.00")&amp;".",IF($V12="Hold","Hold: the last pound returns "&amp;TEXT($P12,"£0.00")&amp;", close to what it costs.",IF(LEFT($V12,4)="Test","Run a holdout before moving it: "&amp;TEXT($C12,"£#,##0")&amp;" rests on an assumed factor of "&amp;TEXT($H12,"0.00")&amp;".",""))))))</f>
        <v>Run a holdout before moving it: £45,000 rests on an assumed factor of 0.30.</v>
      </c>
      <c r="X12" s="33" t="n">
        <f aca="false">IF($A12="","",IF($C12&lt;=0,"",COUNTIFS($P$6:$P$45,"&lt;"&amp;$P12,$C$6:$C$45,"&gt;0")+COUNTIFS($P$6:$P12,$P12,$C$6:$C12,"&gt;0")))</f>
        <v>5</v>
      </c>
    </row>
    <row r="13" customFormat="false" ht="15" hidden="false" customHeight="false" outlineLevel="0" collapsed="false">
      <c r="A13" s="9" t="str">
        <f aca="false">IF('Campaign Data'!$A13="","",'Campaign Data'!$A13)</f>
        <v>Display: prospecting</v>
      </c>
      <c r="B13" s="9" t="str">
        <f aca="false">IF($A13="","",IF('Campaign Data'!$B13="","Other",'Campaign Data'!$B13))</f>
        <v>Display and video</v>
      </c>
      <c r="C13" s="11" t="n">
        <f aca="false">IF($A13="","",MAX(0,N('Campaign Data'!$C13)))</f>
        <v>25000</v>
      </c>
      <c r="D13" s="12" t="n">
        <f aca="false">IF($A13="","",IFERROR('Campaign Data'!$E13/$C13,0))</f>
        <v>1.44</v>
      </c>
      <c r="E13" s="27" t="n">
        <f aca="false">IF($A13="","",IF('Campaign Data'!$G13="",Settings!$B$8,'Campaign Data'!$G13))</f>
        <v>0.22</v>
      </c>
      <c r="F13" s="27" t="n">
        <f aca="false">IF($A13="","",IF('Campaign Data'!$H13="",Settings!$B$7,'Campaign Data'!$H13))</f>
        <v>0.58</v>
      </c>
      <c r="G13" s="11" t="n">
        <f aca="false">IF($A13="","",N('Campaign Data'!$E13)*(1-$E13))</f>
        <v>28080</v>
      </c>
      <c r="H13" s="12" t="n">
        <f aca="false">IF($A13="","",IF(SUMPRODUCT((Tests!$A$6:$A$20=$A13)*(Tests!$D$6:$D$20&gt;0))&gt;0,INDEX(Tests!$F$6:$F$20,MATCH($A13,Tests!$A$6:$A$20,0)),IFERROR(INDEX(Settings!$B$17:$B$25,MATCH($B13,Settings!$A$17:$A$25,0)),0.5)))</f>
        <v>0.4</v>
      </c>
      <c r="I13" s="9" t="str">
        <f aca="false">IF($A13="","",IF(SUMPRODUCT((Tests!$A$6:$A$20=$A13)*(Tests!$D$6:$D$20&gt;0))&gt;0,"Measured","Assumed"))</f>
        <v>Assumed</v>
      </c>
      <c r="J13" s="28" t="n">
        <f aca="false">IF($A13="","",$G13*$H13)</f>
        <v>11232</v>
      </c>
      <c r="K13" s="29" t="n">
        <f aca="false">IF($A13="","",N('Campaign Data'!$D13)*$H13)</f>
        <v>160</v>
      </c>
      <c r="L13" s="11" t="n">
        <f aca="false">IF($A13="","",$J13*$F13-$K13*Settings!$B$9-N('Campaign Data'!$E13)*$E13*$H13*Settings!$B$10)</f>
        <v>4852.48</v>
      </c>
      <c r="M13" s="28" t="n">
        <f aca="false">IF($A13="","",$L13-$C13)</f>
        <v>-20147.52</v>
      </c>
      <c r="N13" s="30" t="n">
        <f aca="false">IF($A13="","",IFERROR($L13/$C13,0))</f>
        <v>0.1940992</v>
      </c>
      <c r="O13" s="12" t="n">
        <f aca="false">IF($A13="","",IFERROR(INDEX(Settings!$C$17:$C$25,MATCH($B13,Settings!$A$17:$A$25,0)),0.7))</f>
        <v>0.8</v>
      </c>
      <c r="P13" s="30" t="n">
        <f aca="false">IF($A13="","",$N13*$O13)</f>
        <v>0.15527936</v>
      </c>
      <c r="Q13" s="29" t="n">
        <f aca="false">IF($A13="","",N('Campaign Data'!$F13)*$H13)</f>
        <v>80</v>
      </c>
      <c r="R13" s="30" t="n">
        <f aca="false">IF($A13="","",IFERROR($C13/$Q13,0))</f>
        <v>312.5</v>
      </c>
      <c r="S13" s="26" t="n">
        <f aca="false">IF($A13="","",IFERROR(($L13/$K13)/$R13,0))</f>
        <v>0.0970496</v>
      </c>
      <c r="T13" s="31" t="n">
        <f aca="false">IF($A13="","",IFERROR($C13/SUM($C$6:$C$45),0))</f>
        <v>0.0364963503649635</v>
      </c>
      <c r="U13" s="28" t="n">
        <f aca="false">IF($A13="","",IF(OR($C13&lt;=0,$P13&lt;=0,$O13&gt;=1),0,$C13*$P13^(1/(1-$O13))))</f>
        <v>2.25688105343732</v>
      </c>
      <c r="V13" s="9" t="str">
        <f aca="false">IF($A13="","",IF(AND($I13="Assumed",$T13&gt;Settings!$B$12,OR(IF($C13&lt;=0,"No spend",IF($N13&lt;1,"Cut",IF($P13&lt;1,"Trim",IF($P13&gt;=Settings!$B$11,"Scale","Hold"))))="Cut",IF($C13&lt;=0,"No spend",IF($N13&lt;1,"Cut",IF($P13&lt;1,"Trim",IF($P13&gt;=Settings!$B$11,"Scale","Hold"))))="Trim",IF($C13&lt;=0,"No spend",IF($N13&lt;1,"Cut",IF($P13&lt;1,"Trim",IF($P13&gt;=Settings!$B$11,"Scale","Hold"))))="Scale")),"Test before you "&amp;LOWER(IF($C13&lt;=0,"No spend",IF($N13&lt;1,"Cut",IF($P13&lt;1,"Trim",IF($P13&gt;=Settings!$B$11,"Scale","Hold"))))),IF($C13&lt;=0,"No spend",IF($N13&lt;1,"Cut",IF($P13&lt;1,"Trim",IF($P13&gt;=Settings!$B$11,"Scale","Hold"))))))</f>
        <v>Cut</v>
      </c>
      <c r="W13" s="32" t="str">
        <f aca="false">IF($A13="","",IF($V13="Cut","Stop it or cut it hard: even the average pound returns "&amp;TEXT($N13,"£0.00")&amp;".",IF($V13="Trim","Reduce spend towards "&amp;TEXT($U13,"£#,##0")&amp;": it pays on average, but the last pound returns "&amp;TEXT($P13,"£0.00")&amp;".",IF($V13="Scale","Add spend in steps towards "&amp;TEXT($U13,"£#,##0")&amp;", measuring each step: the last pound still returns "&amp;TEXT($P13,"£0.00")&amp;".",IF($V13="Hold","Hold: the last pound returns "&amp;TEXT($P13,"£0.00")&amp;", close to what it costs.",IF(LEFT($V13,4)="Test","Run a holdout before moving it: "&amp;TEXT($C13,"£#,##0")&amp;" rests on an assumed factor of "&amp;TEXT($H13,"0.00")&amp;".",""))))))</f>
        <v>Stop it or cut it hard: even the average pound returns £0.19.</v>
      </c>
      <c r="X13" s="33" t="n">
        <f aca="false">IF($A13="","",IF($C13&lt;=0,"",COUNTIFS($P$6:$P$45,"&lt;"&amp;$P13,$C$6:$C$45,"&gt;0")+COUNTIFS($P$6:$P13,$P13,$C$6:$C13,"&gt;0")))</f>
        <v>2</v>
      </c>
    </row>
    <row r="14" customFormat="false" ht="26.85" hidden="false" customHeight="false" outlineLevel="0" collapsed="false">
      <c r="A14" s="9" t="str">
        <f aca="false">IF('Campaign Data'!$A14="","",'Campaign Data'!$A14)</f>
        <v>Online video</v>
      </c>
      <c r="B14" s="9" t="str">
        <f aca="false">IF($A14="","",IF('Campaign Data'!$B14="","Other",'Campaign Data'!$B14))</f>
        <v>Display and video</v>
      </c>
      <c r="C14" s="11" t="n">
        <f aca="false">IF($A14="","",MAX(0,N('Campaign Data'!$C14)))</f>
        <v>35000</v>
      </c>
      <c r="D14" s="12" t="n">
        <f aca="false">IF($A14="","",IFERROR('Campaign Data'!$E14/$C14,0))</f>
        <v>1.28571428571429</v>
      </c>
      <c r="E14" s="27" t="n">
        <f aca="false">IF($A14="","",IF('Campaign Data'!$G14="",Settings!$B$8,'Campaign Data'!$G14))</f>
        <v>0.22</v>
      </c>
      <c r="F14" s="27" t="n">
        <f aca="false">IF($A14="","",IF('Campaign Data'!$H14="",Settings!$B$7,'Campaign Data'!$H14))</f>
        <v>0.58</v>
      </c>
      <c r="G14" s="11" t="n">
        <f aca="false">IF($A14="","",N('Campaign Data'!$E14)*(1-$E14))</f>
        <v>35100</v>
      </c>
      <c r="H14" s="12" t="n">
        <f aca="false">IF($A14="","",IF(SUMPRODUCT((Tests!$A$6:$A$20=$A14)*(Tests!$D$6:$D$20&gt;0))&gt;0,INDEX(Tests!$F$6:$F$20,MATCH($A14,Tests!$A$6:$A$20,0)),IFERROR(INDEX(Settings!$B$17:$B$25,MATCH($B14,Settings!$A$17:$A$25,0)),0.5)))</f>
        <v>0.4</v>
      </c>
      <c r="I14" s="9" t="str">
        <f aca="false">IF($A14="","",IF(SUMPRODUCT((Tests!$A$6:$A$20=$A14)*(Tests!$D$6:$D$20&gt;0))&gt;0,"Measured","Assumed"))</f>
        <v>Assumed</v>
      </c>
      <c r="J14" s="28" t="n">
        <f aca="false">IF($A14="","",$G14*$H14)</f>
        <v>14040</v>
      </c>
      <c r="K14" s="29" t="n">
        <f aca="false">IF($A14="","",N('Campaign Data'!$D14)*$H14)</f>
        <v>200</v>
      </c>
      <c r="L14" s="11" t="n">
        <f aca="false">IF($A14="","",$J14*$F14-$K14*Settings!$B$9-N('Campaign Data'!$E14)*$E14*$H14*Settings!$B$10)</f>
        <v>6065.6</v>
      </c>
      <c r="M14" s="28" t="n">
        <f aca="false">IF($A14="","",$L14-$C14)</f>
        <v>-28934.4</v>
      </c>
      <c r="N14" s="30" t="n">
        <f aca="false">IF($A14="","",IFERROR($L14/$C14,0))</f>
        <v>0.173302857142857</v>
      </c>
      <c r="O14" s="12" t="n">
        <f aca="false">IF($A14="","",IFERROR(INDEX(Settings!$C$17:$C$25,MATCH($B14,Settings!$A$17:$A$25,0)),0.7))</f>
        <v>0.8</v>
      </c>
      <c r="P14" s="30" t="n">
        <f aca="false">IF($A14="","",$N14*$O14)</f>
        <v>0.138642285714286</v>
      </c>
      <c r="Q14" s="29" t="n">
        <f aca="false">IF($A14="","",N('Campaign Data'!$F14)*$H14)</f>
        <v>120</v>
      </c>
      <c r="R14" s="30" t="n">
        <f aca="false">IF($A14="","",IFERROR($C14/$Q14,0))</f>
        <v>291.666666666667</v>
      </c>
      <c r="S14" s="26" t="n">
        <f aca="false">IF($A14="","",IFERROR(($L14/$K14)/$R14,0))</f>
        <v>0.103981714285714</v>
      </c>
      <c r="T14" s="31" t="n">
        <f aca="false">IF($A14="","",IFERROR($C14/SUM($C$6:$C$45),0))</f>
        <v>0.0510948905109489</v>
      </c>
      <c r="U14" s="28" t="n">
        <f aca="false">IF($A14="","",IF(OR($C14&lt;=0,$P14&lt;=0,$O14&gt;=1),0,$C14*$P14^(1/(1-$O14))))</f>
        <v>1.79286088783595</v>
      </c>
      <c r="V14" s="9" t="str">
        <f aca="false">IF($A14="","",IF(AND($I14="Assumed",$T14&gt;Settings!$B$12,OR(IF($C14&lt;=0,"No spend",IF($N14&lt;1,"Cut",IF($P14&lt;1,"Trim",IF($P14&gt;=Settings!$B$11,"Scale","Hold"))))="Cut",IF($C14&lt;=0,"No spend",IF($N14&lt;1,"Cut",IF($P14&lt;1,"Trim",IF($P14&gt;=Settings!$B$11,"Scale","Hold"))))="Trim",IF($C14&lt;=0,"No spend",IF($N14&lt;1,"Cut",IF($P14&lt;1,"Trim",IF($P14&gt;=Settings!$B$11,"Scale","Hold"))))="Scale")),"Test before you "&amp;LOWER(IF($C14&lt;=0,"No spend",IF($N14&lt;1,"Cut",IF($P14&lt;1,"Trim",IF($P14&gt;=Settings!$B$11,"Scale","Hold"))))),IF($C14&lt;=0,"No spend",IF($N14&lt;1,"Cut",IF($P14&lt;1,"Trim",IF($P14&gt;=Settings!$B$11,"Scale","Hold"))))))</f>
        <v>Test before you cut</v>
      </c>
      <c r="W14" s="32" t="str">
        <f aca="false">IF($A14="","",IF($V14="Cut","Stop it or cut it hard: even the average pound returns "&amp;TEXT($N14,"£0.00")&amp;".",IF($V14="Trim","Reduce spend towards "&amp;TEXT($U14,"£#,##0")&amp;": it pays on average, but the last pound returns "&amp;TEXT($P14,"£0.00")&amp;".",IF($V14="Scale","Add spend in steps towards "&amp;TEXT($U14,"£#,##0")&amp;", measuring each step: the last pound still returns "&amp;TEXT($P14,"£0.00")&amp;".",IF($V14="Hold","Hold: the last pound returns "&amp;TEXT($P14,"£0.00")&amp;", close to what it costs.",IF(LEFT($V14,4)="Test","Run a holdout before moving it: "&amp;TEXT($C14,"£#,##0")&amp;" rests on an assumed factor of "&amp;TEXT($H14,"0.00")&amp;".",""))))))</f>
        <v>Run a holdout before moving it: £35,000 rests on an assumed factor of 0.40.</v>
      </c>
      <c r="X14" s="33" t="n">
        <f aca="false">IF($A14="","",IF($C14&lt;=0,"",COUNTIFS($P$6:$P$45,"&lt;"&amp;$P14,$C$6:$C$45,"&gt;0")+COUNTIFS($P$6:$P14,$P14,$C$6:$C14,"&gt;0")))</f>
        <v>1</v>
      </c>
    </row>
    <row r="15" customFormat="false" ht="15" hidden="false" customHeight="false" outlineLevel="0" collapsed="false">
      <c r="A15" s="9" t="str">
        <f aca="false">IF('Campaign Data'!$A15="","",'Campaign Data'!$A15)</f>
        <v>Affiliates: cashback and voucher</v>
      </c>
      <c r="B15" s="9" t="str">
        <f aca="false">IF($A15="","",IF('Campaign Data'!$B15="","Other",'Campaign Data'!$B15))</f>
        <v>Affiliates</v>
      </c>
      <c r="C15" s="11" t="n">
        <f aca="false">IF($A15="","",MAX(0,N('Campaign Data'!$C15)))</f>
        <v>50000</v>
      </c>
      <c r="D15" s="12" t="n">
        <f aca="false">IF($A15="","",IFERROR('Campaign Data'!$E15/$C15,0))</f>
        <v>9</v>
      </c>
      <c r="E15" s="27" t="n">
        <f aca="false">IF($A15="","",IF('Campaign Data'!$G15="",Settings!$B$8,'Campaign Data'!$G15))</f>
        <v>0.22</v>
      </c>
      <c r="F15" s="27" t="n">
        <f aca="false">IF($A15="","",IF('Campaign Data'!$H15="",Settings!$B$7,'Campaign Data'!$H15))</f>
        <v>0.58</v>
      </c>
      <c r="G15" s="11" t="n">
        <f aca="false">IF($A15="","",N('Campaign Data'!$E15)*(1-$E15))</f>
        <v>351000</v>
      </c>
      <c r="H15" s="12" t="n">
        <f aca="false">IF($A15="","",IF(SUMPRODUCT((Tests!$A$6:$A$20=$A15)*(Tests!$D$6:$D$20&gt;0))&gt;0,INDEX(Tests!$F$6:$F$20,MATCH($A15,Tests!$A$6:$A$20,0)),IFERROR(INDEX(Settings!$B$17:$B$25,MATCH($B15,Settings!$A$17:$A$25,0)),0.5)))</f>
        <v>0.2</v>
      </c>
      <c r="I15" s="9" t="str">
        <f aca="false">IF($A15="","",IF(SUMPRODUCT((Tests!$A$6:$A$20=$A15)*(Tests!$D$6:$D$20&gt;0))&gt;0,"Measured","Assumed"))</f>
        <v>Measured</v>
      </c>
      <c r="J15" s="28" t="n">
        <f aca="false">IF($A15="","",$G15*$H15)</f>
        <v>70200</v>
      </c>
      <c r="K15" s="29" t="n">
        <f aca="false">IF($A15="","",N('Campaign Data'!$D15)*$H15)</f>
        <v>1000</v>
      </c>
      <c r="L15" s="11" t="n">
        <f aca="false">IF($A15="","",$J15*$F15-$K15*Settings!$B$9-N('Campaign Data'!$E15)*$E15*$H15*Settings!$B$10)</f>
        <v>30328</v>
      </c>
      <c r="M15" s="28" t="n">
        <f aca="false">IF($A15="","",$L15-$C15)</f>
        <v>-19672</v>
      </c>
      <c r="N15" s="30" t="n">
        <f aca="false">IF($A15="","",IFERROR($L15/$C15,0))</f>
        <v>0.60656</v>
      </c>
      <c r="O15" s="12" t="n">
        <f aca="false">IF($A15="","",IFERROR(INDEX(Settings!$C$17:$C$25,MATCH($B15,Settings!$A$17:$A$25,0)),0.7))</f>
        <v>0.85</v>
      </c>
      <c r="P15" s="30" t="n">
        <f aca="false">IF($A15="","",$N15*$O15)</f>
        <v>0.515576</v>
      </c>
      <c r="Q15" s="29" t="n">
        <f aca="false">IF($A15="","",N('Campaign Data'!$F15)*$H15)</f>
        <v>180</v>
      </c>
      <c r="R15" s="30" t="n">
        <f aca="false">IF($A15="","",IFERROR($C15/$Q15,0))</f>
        <v>277.777777777778</v>
      </c>
      <c r="S15" s="26" t="n">
        <f aca="false">IF($A15="","",IFERROR(($L15/$K15)/$R15,0))</f>
        <v>0.1091808</v>
      </c>
      <c r="T15" s="31" t="n">
        <f aca="false">IF($A15="","",IFERROR($C15/SUM($C$6:$C$45),0))</f>
        <v>0.072992700729927</v>
      </c>
      <c r="U15" s="28" t="n">
        <f aca="false">IF($A15="","",IF(OR($C15&lt;=0,$P15&lt;=0,$O15&gt;=1),0,$C15*$P15^(1/(1-$O15))))</f>
        <v>603.839181284604</v>
      </c>
      <c r="V15" s="9" t="str">
        <f aca="false">IF($A15="","",IF(AND($I15="Assumed",$T15&gt;Settings!$B$12,OR(IF($C15&lt;=0,"No spend",IF($N15&lt;1,"Cut",IF($P15&lt;1,"Trim",IF($P15&gt;=Settings!$B$11,"Scale","Hold"))))="Cut",IF($C15&lt;=0,"No spend",IF($N15&lt;1,"Cut",IF($P15&lt;1,"Trim",IF($P15&gt;=Settings!$B$11,"Scale","Hold"))))="Trim",IF($C15&lt;=0,"No spend",IF($N15&lt;1,"Cut",IF($P15&lt;1,"Trim",IF($P15&gt;=Settings!$B$11,"Scale","Hold"))))="Scale")),"Test before you "&amp;LOWER(IF($C15&lt;=0,"No spend",IF($N15&lt;1,"Cut",IF($P15&lt;1,"Trim",IF($P15&gt;=Settings!$B$11,"Scale","Hold"))))),IF($C15&lt;=0,"No spend",IF($N15&lt;1,"Cut",IF($P15&lt;1,"Trim",IF($P15&gt;=Settings!$B$11,"Scale","Hold"))))))</f>
        <v>Cut</v>
      </c>
      <c r="W15" s="32" t="str">
        <f aca="false">IF($A15="","",IF($V15="Cut","Stop it or cut it hard: even the average pound returns "&amp;TEXT($N15,"£0.00")&amp;".",IF($V15="Trim","Reduce spend towards "&amp;TEXT($U15,"£#,##0")&amp;": it pays on average, but the last pound returns "&amp;TEXT($P15,"£0.00")&amp;".",IF($V15="Scale","Add spend in steps towards "&amp;TEXT($U15,"£#,##0")&amp;", measuring each step: the last pound still returns "&amp;TEXT($P15,"£0.00")&amp;".",IF($V15="Hold","Hold: the last pound returns "&amp;TEXT($P15,"£0.00")&amp;", close to what it costs.",IF(LEFT($V15,4)="Test","Run a holdout before moving it: "&amp;TEXT($C15,"£#,##0")&amp;" rests on an assumed factor of "&amp;TEXT($H15,"0.00")&amp;".",""))))))</f>
        <v>Stop it or cut it hard: even the average pound returns £0.61.</v>
      </c>
      <c r="X15" s="33" t="n">
        <f aca="false">IF($A15="","",IF($C15&lt;=0,"",COUNTIFS($P$6:$P$45,"&lt;"&amp;$P15,$C$6:$C$45,"&gt;0")+COUNTIFS($P$6:$P15,$P15,$C$6:$C15,"&gt;0")))</f>
        <v>7</v>
      </c>
    </row>
    <row r="16" customFormat="false" ht="15" hidden="false" customHeight="false" outlineLevel="0" collapsed="false">
      <c r="A16" s="9" t="str">
        <f aca="false">IF('Campaign Data'!$A16="","",'Campaign Data'!$A16)</f>
        <v>Affiliates: content partners</v>
      </c>
      <c r="B16" s="9" t="str">
        <f aca="false">IF($A16="","",IF('Campaign Data'!$B16="","Other",'Campaign Data'!$B16))</f>
        <v>Affiliates</v>
      </c>
      <c r="C16" s="11" t="n">
        <f aca="false">IF($A16="","",MAX(0,N('Campaign Data'!$C16)))</f>
        <v>15000</v>
      </c>
      <c r="D16" s="12" t="n">
        <f aca="false">IF($A16="","",IFERROR('Campaign Data'!$E16/$C16,0))</f>
        <v>7</v>
      </c>
      <c r="E16" s="27" t="n">
        <f aca="false">IF($A16="","",IF('Campaign Data'!$G16="",Settings!$B$8,'Campaign Data'!$G16))</f>
        <v>0.22</v>
      </c>
      <c r="F16" s="27" t="n">
        <f aca="false">IF($A16="","",IF('Campaign Data'!$H16="",Settings!$B$7,'Campaign Data'!$H16))</f>
        <v>0.58</v>
      </c>
      <c r="G16" s="11" t="n">
        <f aca="false">IF($A16="","",N('Campaign Data'!$E16)*(1-$E16))</f>
        <v>81900</v>
      </c>
      <c r="H16" s="12" t="n">
        <f aca="false">IF($A16="","",IF(SUMPRODUCT((Tests!$A$6:$A$20=$A16)*(Tests!$D$6:$D$20&gt;0))&gt;0,INDEX(Tests!$F$6:$F$20,MATCH($A16,Tests!$A$6:$A$20,0)),IFERROR(INDEX(Settings!$B$17:$B$25,MATCH($B16,Settings!$A$17:$A$25,0)),0.5)))</f>
        <v>0.5</v>
      </c>
      <c r="I16" s="9" t="str">
        <f aca="false">IF($A16="","",IF(SUMPRODUCT((Tests!$A$6:$A$20=$A16)*(Tests!$D$6:$D$20&gt;0))&gt;0,"Measured","Assumed"))</f>
        <v>Assumed</v>
      </c>
      <c r="J16" s="28" t="n">
        <f aca="false">IF($A16="","",$G16*$H16)</f>
        <v>40950</v>
      </c>
      <c r="K16" s="29" t="n">
        <f aca="false">IF($A16="","",N('Campaign Data'!$D16)*$H16)</f>
        <v>500</v>
      </c>
      <c r="L16" s="11" t="n">
        <f aca="false">IF($A16="","",$J16*$F16-$K16*Settings!$B$9-N('Campaign Data'!$E16)*$E16*$H16*Settings!$B$10)</f>
        <v>18458</v>
      </c>
      <c r="M16" s="28" t="n">
        <f aca="false">IF($A16="","",$L16-$C16)</f>
        <v>3458</v>
      </c>
      <c r="N16" s="30" t="n">
        <f aca="false">IF($A16="","",IFERROR($L16/$C16,0))</f>
        <v>1.23053333333333</v>
      </c>
      <c r="O16" s="12" t="n">
        <f aca="false">IF($A16="","",IFERROR(INDEX(Settings!$C$17:$C$25,MATCH($B16,Settings!$A$17:$A$25,0)),0.7))</f>
        <v>0.85</v>
      </c>
      <c r="P16" s="30" t="n">
        <f aca="false">IF($A16="","",$N16*$O16)</f>
        <v>1.04595333333333</v>
      </c>
      <c r="Q16" s="29" t="n">
        <f aca="false">IF($A16="","",N('Campaign Data'!$F16)*$H16)</f>
        <v>150</v>
      </c>
      <c r="R16" s="30" t="n">
        <f aca="false">IF($A16="","",IFERROR($C16/$Q16,0))</f>
        <v>100</v>
      </c>
      <c r="S16" s="26" t="n">
        <f aca="false">IF($A16="","",IFERROR(($L16/$K16)/$R16,0))</f>
        <v>0.36916</v>
      </c>
      <c r="T16" s="31" t="n">
        <f aca="false">IF($A16="","",IFERROR($C16/SUM($C$6:$C$45),0))</f>
        <v>0.0218978102189781</v>
      </c>
      <c r="U16" s="28" t="n">
        <f aca="false">IF($A16="","",IF(OR($C16&lt;=0,$P16&lt;=0,$O16&gt;=1),0,$C16*$P16^(1/(1-$O16))))</f>
        <v>20238.2666863286</v>
      </c>
      <c r="V16" s="9" t="str">
        <f aca="false">IF($A16="","",IF(AND($I16="Assumed",$T16&gt;Settings!$B$12,OR(IF($C16&lt;=0,"No spend",IF($N16&lt;1,"Cut",IF($P16&lt;1,"Trim",IF($P16&gt;=Settings!$B$11,"Scale","Hold"))))="Cut",IF($C16&lt;=0,"No spend",IF($N16&lt;1,"Cut",IF($P16&lt;1,"Trim",IF($P16&gt;=Settings!$B$11,"Scale","Hold"))))="Trim",IF($C16&lt;=0,"No spend",IF($N16&lt;1,"Cut",IF($P16&lt;1,"Trim",IF($P16&gt;=Settings!$B$11,"Scale","Hold"))))="Scale")),"Test before you "&amp;LOWER(IF($C16&lt;=0,"No spend",IF($N16&lt;1,"Cut",IF($P16&lt;1,"Trim",IF($P16&gt;=Settings!$B$11,"Scale","Hold"))))),IF($C16&lt;=0,"No spend",IF($N16&lt;1,"Cut",IF($P16&lt;1,"Trim",IF($P16&gt;=Settings!$B$11,"Scale","Hold"))))))</f>
        <v>Hold</v>
      </c>
      <c r="W16" s="32" t="str">
        <f aca="false">IF($A16="","",IF($V16="Cut","Stop it or cut it hard: even the average pound returns "&amp;TEXT($N16,"£0.00")&amp;".",IF($V16="Trim","Reduce spend towards "&amp;TEXT($U16,"£#,##0")&amp;": it pays on average, but the last pound returns "&amp;TEXT($P16,"£0.00")&amp;".",IF($V16="Scale","Add spend in steps towards "&amp;TEXT($U16,"£#,##0")&amp;", measuring each step: the last pound still returns "&amp;TEXT($P16,"£0.00")&amp;".",IF($V16="Hold","Hold: the last pound returns "&amp;TEXT($P16,"£0.00")&amp;", close to what it costs.",IF(LEFT($V16,4)="Test","Run a holdout before moving it: "&amp;TEXT($C16,"£#,##0")&amp;" rests on an assumed factor of "&amp;TEXT($H16,"0.00")&amp;".",""))))))</f>
        <v>Hold: the last pound returns £1.05, close to what it costs.</v>
      </c>
      <c r="X16" s="33" t="n">
        <f aca="false">IF($A16="","",IF($C16&lt;=0,"",COUNTIFS($P$6:$P$45,"&lt;"&amp;$P16,$C$6:$C$45,"&gt;0")+COUNTIFS($P$6:$P16,$P16,$C$6:$C16,"&gt;0")))</f>
        <v>10</v>
      </c>
    </row>
    <row r="17" customFormat="false" ht="15" hidden="false" customHeight="false" outlineLevel="0" collapsed="false">
      <c r="A17" s="9" t="str">
        <f aca="false">IF('Campaign Data'!$A17="","",'Campaign Data'!$A17)</f>
        <v>Influencer: seasonal</v>
      </c>
      <c r="B17" s="9" t="str">
        <f aca="false">IF($A17="","",IF('Campaign Data'!$B17="","Other",'Campaign Data'!$B17))</f>
        <v>Influencer</v>
      </c>
      <c r="C17" s="11" t="n">
        <f aca="false">IF($A17="","",MAX(0,N('Campaign Data'!$C17)))</f>
        <v>25000</v>
      </c>
      <c r="D17" s="12" t="n">
        <f aca="false">IF($A17="","",IFERROR('Campaign Data'!$E17/$C17,0))</f>
        <v>2.4</v>
      </c>
      <c r="E17" s="27" t="n">
        <f aca="false">IF($A17="","",IF('Campaign Data'!$G17="",Settings!$B$8,'Campaign Data'!$G17))</f>
        <v>0.22</v>
      </c>
      <c r="F17" s="27" t="n">
        <f aca="false">IF($A17="","",IF('Campaign Data'!$H17="",Settings!$B$7,'Campaign Data'!$H17))</f>
        <v>0.58</v>
      </c>
      <c r="G17" s="11" t="n">
        <f aca="false">IF($A17="","",N('Campaign Data'!$E17)*(1-$E17))</f>
        <v>46800</v>
      </c>
      <c r="H17" s="12" t="n">
        <f aca="false">IF($A17="","",IF(SUMPRODUCT((Tests!$A$6:$A$20=$A17)*(Tests!$D$6:$D$20&gt;0))&gt;0,INDEX(Tests!$F$6:$F$20,MATCH($A17,Tests!$A$6:$A$20,0)),IFERROR(INDEX(Settings!$B$17:$B$25,MATCH($B17,Settings!$A$17:$A$25,0)),0.5)))</f>
        <v>0.5</v>
      </c>
      <c r="I17" s="9" t="str">
        <f aca="false">IF($A17="","",IF(SUMPRODUCT((Tests!$A$6:$A$20=$A17)*(Tests!$D$6:$D$20&gt;0))&gt;0,"Measured","Assumed"))</f>
        <v>Assumed</v>
      </c>
      <c r="J17" s="28" t="n">
        <f aca="false">IF($A17="","",$G17*$H17)</f>
        <v>23400</v>
      </c>
      <c r="K17" s="29" t="n">
        <f aca="false">IF($A17="","",N('Campaign Data'!$D17)*$H17)</f>
        <v>300</v>
      </c>
      <c r="L17" s="11" t="n">
        <f aca="false">IF($A17="","",$J17*$F17-$K17*Settings!$B$9-N('Campaign Data'!$E17)*$E17*$H17*Settings!$B$10)</f>
        <v>10416</v>
      </c>
      <c r="M17" s="28" t="n">
        <f aca="false">IF($A17="","",$L17-$C17)</f>
        <v>-14584</v>
      </c>
      <c r="N17" s="30" t="n">
        <f aca="false">IF($A17="","",IFERROR($L17/$C17,0))</f>
        <v>0.41664</v>
      </c>
      <c r="O17" s="12" t="n">
        <f aca="false">IF($A17="","",IFERROR(INDEX(Settings!$C$17:$C$25,MATCH($B17,Settings!$A$17:$A$25,0)),0.7))</f>
        <v>0.75</v>
      </c>
      <c r="P17" s="30" t="n">
        <f aca="false">IF($A17="","",$N17*$O17)</f>
        <v>0.31248</v>
      </c>
      <c r="Q17" s="29" t="n">
        <f aca="false">IF($A17="","",N('Campaign Data'!$F17)*$H17)</f>
        <v>200</v>
      </c>
      <c r="R17" s="30" t="n">
        <f aca="false">IF($A17="","",IFERROR($C17/$Q17,0))</f>
        <v>125</v>
      </c>
      <c r="S17" s="26" t="n">
        <f aca="false">IF($A17="","",IFERROR(($L17/$K17)/$R17,0))</f>
        <v>0.27776</v>
      </c>
      <c r="T17" s="31" t="n">
        <f aca="false">IF($A17="","",IFERROR($C17/SUM($C$6:$C$45),0))</f>
        <v>0.0364963503649635</v>
      </c>
      <c r="U17" s="28" t="n">
        <f aca="false">IF($A17="","",IF(OR($C17&lt;=0,$P17&lt;=0,$O17&gt;=1),0,$C17*$P17^(1/(1-$O17))))</f>
        <v>238.357549804437</v>
      </c>
      <c r="V17" s="9" t="str">
        <f aca="false">IF($A17="","",IF(AND($I17="Assumed",$T17&gt;Settings!$B$12,OR(IF($C17&lt;=0,"No spend",IF($N17&lt;1,"Cut",IF($P17&lt;1,"Trim",IF($P17&gt;=Settings!$B$11,"Scale","Hold"))))="Cut",IF($C17&lt;=0,"No spend",IF($N17&lt;1,"Cut",IF($P17&lt;1,"Trim",IF($P17&gt;=Settings!$B$11,"Scale","Hold"))))="Trim",IF($C17&lt;=0,"No spend",IF($N17&lt;1,"Cut",IF($P17&lt;1,"Trim",IF($P17&gt;=Settings!$B$11,"Scale","Hold"))))="Scale")),"Test before you "&amp;LOWER(IF($C17&lt;=0,"No spend",IF($N17&lt;1,"Cut",IF($P17&lt;1,"Trim",IF($P17&gt;=Settings!$B$11,"Scale","Hold"))))),IF($C17&lt;=0,"No spend",IF($N17&lt;1,"Cut",IF($P17&lt;1,"Trim",IF($P17&gt;=Settings!$B$11,"Scale","Hold"))))))</f>
        <v>Cut</v>
      </c>
      <c r="W17" s="32" t="str">
        <f aca="false">IF($A17="","",IF($V17="Cut","Stop it or cut it hard: even the average pound returns "&amp;TEXT($N17,"£0.00")&amp;".",IF($V17="Trim","Reduce spend towards "&amp;TEXT($U17,"£#,##0")&amp;": it pays on average, but the last pound returns "&amp;TEXT($P17,"£0.00")&amp;".",IF($V17="Scale","Add spend in steps towards "&amp;TEXT($U17,"£#,##0")&amp;", measuring each step: the last pound still returns "&amp;TEXT($P17,"£0.00")&amp;".",IF($V17="Hold","Hold: the last pound returns "&amp;TEXT($P17,"£0.00")&amp;", close to what it costs.",IF(LEFT($V17,4)="Test","Run a holdout before moving it: "&amp;TEXT($C17,"£#,##0")&amp;" rests on an assumed factor of "&amp;TEXT($H17,"0.00")&amp;".",""))))))</f>
        <v>Stop it or cut it hard: even the average pound returns £0.42.</v>
      </c>
      <c r="X17" s="33" t="n">
        <f aca="false">IF($A17="","",IF($C17&lt;=0,"",COUNTIFS($P$6:$P$45,"&lt;"&amp;$P17,$C$6:$C$45,"&gt;0")+COUNTIFS($P$6:$P17,$P17,$C$6:$C17,"&gt;0")))</f>
        <v>4</v>
      </c>
    </row>
    <row r="18" customFormat="false" ht="15" hidden="false" customHeight="false" outlineLevel="0" collapsed="false">
      <c r="A18" s="9" t="str">
        <f aca="false">IF('Campaign Data'!$A18="","",'Campaign Data'!$A18)</f>
        <v/>
      </c>
      <c r="B18" s="9" t="str">
        <f aca="false">IF($A18="","",IF('Campaign Data'!$B18="","Other",'Campaign Data'!$B18))</f>
        <v/>
      </c>
      <c r="C18" s="11" t="str">
        <f aca="false">IF($A18="","",MAX(0,N('Campaign Data'!$C18)))</f>
        <v/>
      </c>
      <c r="D18" s="12" t="str">
        <f aca="false">IF($A18="","",IFERROR('Campaign Data'!$E18/$C18,0))</f>
        <v/>
      </c>
      <c r="E18" s="27" t="str">
        <f aca="false">IF($A18="","",IF('Campaign Data'!$G18="",Settings!$B$8,'Campaign Data'!$G18))</f>
        <v/>
      </c>
      <c r="F18" s="27" t="str">
        <f aca="false">IF($A18="","",IF('Campaign Data'!$H18="",Settings!$B$7,'Campaign Data'!$H18))</f>
        <v/>
      </c>
      <c r="G18" s="11" t="str">
        <f aca="false">IF($A18="","",N('Campaign Data'!$E18)*(1-$E18))</f>
        <v/>
      </c>
      <c r="H18" s="12" t="str">
        <f aca="false">IF($A18="","",IF(SUMPRODUCT((Tests!$A$6:$A$20=$A18)*(Tests!$D$6:$D$20&gt;0))&gt;0,INDEX(Tests!$F$6:$F$20,MATCH($A18,Tests!$A$6:$A$20,0)),IFERROR(INDEX(Settings!$B$17:$B$25,MATCH($B18,Settings!$A$17:$A$25,0)),0.5)))</f>
        <v/>
      </c>
      <c r="I18" s="9" t="str">
        <f aca="false">IF($A18="","",IF(SUMPRODUCT((Tests!$A$6:$A$20=$A18)*(Tests!$D$6:$D$20&gt;0))&gt;0,"Measured","Assumed"))</f>
        <v/>
      </c>
      <c r="J18" s="28" t="str">
        <f aca="false">IF($A18="","",$G18*$H18)</f>
        <v/>
      </c>
      <c r="K18" s="29" t="str">
        <f aca="false">IF($A18="","",N('Campaign Data'!$D18)*$H18)</f>
        <v/>
      </c>
      <c r="L18" s="11" t="str">
        <f aca="false">IF($A18="","",$J18*$F18-$K18*Settings!$B$9-N('Campaign Data'!$E18)*$E18*$H18*Settings!$B$10)</f>
        <v/>
      </c>
      <c r="M18" s="28" t="str">
        <f aca="false">IF($A18="","",$L18-$C18)</f>
        <v/>
      </c>
      <c r="N18" s="30" t="str">
        <f aca="false">IF($A18="","",IFERROR($L18/$C18,0))</f>
        <v/>
      </c>
      <c r="O18" s="12" t="str">
        <f aca="false">IF($A18="","",IFERROR(INDEX(Settings!$C$17:$C$25,MATCH($B18,Settings!$A$17:$A$25,0)),0.7))</f>
        <v/>
      </c>
      <c r="P18" s="30" t="str">
        <f aca="false">IF($A18="","",$N18*$O18)</f>
        <v/>
      </c>
      <c r="Q18" s="29" t="str">
        <f aca="false">IF($A18="","",N('Campaign Data'!$F18)*$H18)</f>
        <v/>
      </c>
      <c r="R18" s="30" t="str">
        <f aca="false">IF($A18="","",IFERROR($C18/$Q18,0))</f>
        <v/>
      </c>
      <c r="S18" s="26" t="str">
        <f aca="false">IF($A18="","",IFERROR(($L18/$K18)/$R18,0))</f>
        <v/>
      </c>
      <c r="T18" s="31" t="str">
        <f aca="false">IF($A18="","",IFERROR($C18/SUM($C$6:$C$45),0))</f>
        <v/>
      </c>
      <c r="U18" s="28" t="str">
        <f aca="false">IF($A18="","",IF(OR($C18&lt;=0,$P18&lt;=0,$O18&gt;=1),0,$C18*$P18^(1/(1-$O18))))</f>
        <v/>
      </c>
      <c r="V18" s="9" t="str">
        <f aca="false">IF($A18="","",IF(AND($I18="Assumed",$T18&gt;Settings!$B$12,OR(IF($C18&lt;=0,"No spend",IF($N18&lt;1,"Cut",IF($P18&lt;1,"Trim",IF($P18&gt;=Settings!$B$11,"Scale","Hold"))))="Cut",IF($C18&lt;=0,"No spend",IF($N18&lt;1,"Cut",IF($P18&lt;1,"Trim",IF($P18&gt;=Settings!$B$11,"Scale","Hold"))))="Trim",IF($C18&lt;=0,"No spend",IF($N18&lt;1,"Cut",IF($P18&lt;1,"Trim",IF($P18&gt;=Settings!$B$11,"Scale","Hold"))))="Scale")),"Test before you "&amp;LOWER(IF($C18&lt;=0,"No spend",IF($N18&lt;1,"Cut",IF($P18&lt;1,"Trim",IF($P18&gt;=Settings!$B$11,"Scale","Hold"))))),IF($C18&lt;=0,"No spend",IF($N18&lt;1,"Cut",IF($P18&lt;1,"Trim",IF($P18&gt;=Settings!$B$11,"Scale","Hold"))))))</f>
        <v/>
      </c>
      <c r="W18" s="32" t="str">
        <f aca="false">IF($A18="","",IF($V18="Cut","Stop it or cut it hard: even the average pound returns "&amp;TEXT($N18,"£0.00")&amp;".",IF($V18="Trim","Reduce spend towards "&amp;TEXT($U18,"£#,##0")&amp;": it pays on average, but the last pound returns "&amp;TEXT($P18,"£0.00")&amp;".",IF($V18="Scale","Add spend in steps towards "&amp;TEXT($U18,"£#,##0")&amp;", measuring each step: the last pound still returns "&amp;TEXT($P18,"£0.00")&amp;".",IF($V18="Hold","Hold: the last pound returns "&amp;TEXT($P18,"£0.00")&amp;", close to what it costs.",IF(LEFT($V18,4)="Test","Run a holdout before moving it: "&amp;TEXT($C18,"£#,##0")&amp;" rests on an assumed factor of "&amp;TEXT($H18,"0.00")&amp;".",""))))))</f>
        <v/>
      </c>
      <c r="X18" s="33" t="str">
        <f aca="false">IF($A18="","",IF($C18&lt;=0,"",COUNTIFS($P$6:$P$45,"&lt;"&amp;$P18,$C$6:$C$45,"&gt;0")+COUNTIFS($P$6:$P18,$P18,$C$6:$C18,"&gt;0")))</f>
        <v/>
      </c>
    </row>
    <row r="19" customFormat="false" ht="15" hidden="false" customHeight="false" outlineLevel="0" collapsed="false">
      <c r="A19" s="9" t="str">
        <f aca="false">IF('Campaign Data'!$A19="","",'Campaign Data'!$A19)</f>
        <v/>
      </c>
      <c r="B19" s="9" t="str">
        <f aca="false">IF($A19="","",IF('Campaign Data'!$B19="","Other",'Campaign Data'!$B19))</f>
        <v/>
      </c>
      <c r="C19" s="11" t="str">
        <f aca="false">IF($A19="","",MAX(0,N('Campaign Data'!$C19)))</f>
        <v/>
      </c>
      <c r="D19" s="12" t="str">
        <f aca="false">IF($A19="","",IFERROR('Campaign Data'!$E19/$C19,0))</f>
        <v/>
      </c>
      <c r="E19" s="27" t="str">
        <f aca="false">IF($A19="","",IF('Campaign Data'!$G19="",Settings!$B$8,'Campaign Data'!$G19))</f>
        <v/>
      </c>
      <c r="F19" s="27" t="str">
        <f aca="false">IF($A19="","",IF('Campaign Data'!$H19="",Settings!$B$7,'Campaign Data'!$H19))</f>
        <v/>
      </c>
      <c r="G19" s="11" t="str">
        <f aca="false">IF($A19="","",N('Campaign Data'!$E19)*(1-$E19))</f>
        <v/>
      </c>
      <c r="H19" s="12" t="str">
        <f aca="false">IF($A19="","",IF(SUMPRODUCT((Tests!$A$6:$A$20=$A19)*(Tests!$D$6:$D$20&gt;0))&gt;0,INDEX(Tests!$F$6:$F$20,MATCH($A19,Tests!$A$6:$A$20,0)),IFERROR(INDEX(Settings!$B$17:$B$25,MATCH($B19,Settings!$A$17:$A$25,0)),0.5)))</f>
        <v/>
      </c>
      <c r="I19" s="9" t="str">
        <f aca="false">IF($A19="","",IF(SUMPRODUCT((Tests!$A$6:$A$20=$A19)*(Tests!$D$6:$D$20&gt;0))&gt;0,"Measured","Assumed"))</f>
        <v/>
      </c>
      <c r="J19" s="28" t="str">
        <f aca="false">IF($A19="","",$G19*$H19)</f>
        <v/>
      </c>
      <c r="K19" s="29" t="str">
        <f aca="false">IF($A19="","",N('Campaign Data'!$D19)*$H19)</f>
        <v/>
      </c>
      <c r="L19" s="11" t="str">
        <f aca="false">IF($A19="","",$J19*$F19-$K19*Settings!$B$9-N('Campaign Data'!$E19)*$E19*$H19*Settings!$B$10)</f>
        <v/>
      </c>
      <c r="M19" s="28" t="str">
        <f aca="false">IF($A19="","",$L19-$C19)</f>
        <v/>
      </c>
      <c r="N19" s="30" t="str">
        <f aca="false">IF($A19="","",IFERROR($L19/$C19,0))</f>
        <v/>
      </c>
      <c r="O19" s="12" t="str">
        <f aca="false">IF($A19="","",IFERROR(INDEX(Settings!$C$17:$C$25,MATCH($B19,Settings!$A$17:$A$25,0)),0.7))</f>
        <v/>
      </c>
      <c r="P19" s="30" t="str">
        <f aca="false">IF($A19="","",$N19*$O19)</f>
        <v/>
      </c>
      <c r="Q19" s="29" t="str">
        <f aca="false">IF($A19="","",N('Campaign Data'!$F19)*$H19)</f>
        <v/>
      </c>
      <c r="R19" s="30" t="str">
        <f aca="false">IF($A19="","",IFERROR($C19/$Q19,0))</f>
        <v/>
      </c>
      <c r="S19" s="26" t="str">
        <f aca="false">IF($A19="","",IFERROR(($L19/$K19)/$R19,0))</f>
        <v/>
      </c>
      <c r="T19" s="31" t="str">
        <f aca="false">IF($A19="","",IFERROR($C19/SUM($C$6:$C$45),0))</f>
        <v/>
      </c>
      <c r="U19" s="28" t="str">
        <f aca="false">IF($A19="","",IF(OR($C19&lt;=0,$P19&lt;=0,$O19&gt;=1),0,$C19*$P19^(1/(1-$O19))))</f>
        <v/>
      </c>
      <c r="V19" s="9" t="str">
        <f aca="false">IF($A19="","",IF(AND($I19="Assumed",$T19&gt;Settings!$B$12,OR(IF($C19&lt;=0,"No spend",IF($N19&lt;1,"Cut",IF($P19&lt;1,"Trim",IF($P19&gt;=Settings!$B$11,"Scale","Hold"))))="Cut",IF($C19&lt;=0,"No spend",IF($N19&lt;1,"Cut",IF($P19&lt;1,"Trim",IF($P19&gt;=Settings!$B$11,"Scale","Hold"))))="Trim",IF($C19&lt;=0,"No spend",IF($N19&lt;1,"Cut",IF($P19&lt;1,"Trim",IF($P19&gt;=Settings!$B$11,"Scale","Hold"))))="Scale")),"Test before you "&amp;LOWER(IF($C19&lt;=0,"No spend",IF($N19&lt;1,"Cut",IF($P19&lt;1,"Trim",IF($P19&gt;=Settings!$B$11,"Scale","Hold"))))),IF($C19&lt;=0,"No spend",IF($N19&lt;1,"Cut",IF($P19&lt;1,"Trim",IF($P19&gt;=Settings!$B$11,"Scale","Hold"))))))</f>
        <v/>
      </c>
      <c r="W19" s="32" t="str">
        <f aca="false">IF($A19="","",IF($V19="Cut","Stop it or cut it hard: even the average pound returns "&amp;TEXT($N19,"£0.00")&amp;".",IF($V19="Trim","Reduce spend towards "&amp;TEXT($U19,"£#,##0")&amp;": it pays on average, but the last pound returns "&amp;TEXT($P19,"£0.00")&amp;".",IF($V19="Scale","Add spend in steps towards "&amp;TEXT($U19,"£#,##0")&amp;", measuring each step: the last pound still returns "&amp;TEXT($P19,"£0.00")&amp;".",IF($V19="Hold","Hold: the last pound returns "&amp;TEXT($P19,"£0.00")&amp;", close to what it costs.",IF(LEFT($V19,4)="Test","Run a holdout before moving it: "&amp;TEXT($C19,"£#,##0")&amp;" rests on an assumed factor of "&amp;TEXT($H19,"0.00")&amp;".",""))))))</f>
        <v/>
      </c>
      <c r="X19" s="33" t="str">
        <f aca="false">IF($A19="","",IF($C19&lt;=0,"",COUNTIFS($P$6:$P$45,"&lt;"&amp;$P19,$C$6:$C$45,"&gt;0")+COUNTIFS($P$6:$P19,$P19,$C$6:$C19,"&gt;0")))</f>
        <v/>
      </c>
    </row>
    <row r="20" customFormat="false" ht="15" hidden="false" customHeight="false" outlineLevel="0" collapsed="false">
      <c r="A20" s="9" t="str">
        <f aca="false">IF('Campaign Data'!$A20="","",'Campaign Data'!$A20)</f>
        <v/>
      </c>
      <c r="B20" s="9" t="str">
        <f aca="false">IF($A20="","",IF('Campaign Data'!$B20="","Other",'Campaign Data'!$B20))</f>
        <v/>
      </c>
      <c r="C20" s="11" t="str">
        <f aca="false">IF($A20="","",MAX(0,N('Campaign Data'!$C20)))</f>
        <v/>
      </c>
      <c r="D20" s="12" t="str">
        <f aca="false">IF($A20="","",IFERROR('Campaign Data'!$E20/$C20,0))</f>
        <v/>
      </c>
      <c r="E20" s="27" t="str">
        <f aca="false">IF($A20="","",IF('Campaign Data'!$G20="",Settings!$B$8,'Campaign Data'!$G20))</f>
        <v/>
      </c>
      <c r="F20" s="27" t="str">
        <f aca="false">IF($A20="","",IF('Campaign Data'!$H20="",Settings!$B$7,'Campaign Data'!$H20))</f>
        <v/>
      </c>
      <c r="G20" s="11" t="str">
        <f aca="false">IF($A20="","",N('Campaign Data'!$E20)*(1-$E20))</f>
        <v/>
      </c>
      <c r="H20" s="12" t="str">
        <f aca="false">IF($A20="","",IF(SUMPRODUCT((Tests!$A$6:$A$20=$A20)*(Tests!$D$6:$D$20&gt;0))&gt;0,INDEX(Tests!$F$6:$F$20,MATCH($A20,Tests!$A$6:$A$20,0)),IFERROR(INDEX(Settings!$B$17:$B$25,MATCH($B20,Settings!$A$17:$A$25,0)),0.5)))</f>
        <v/>
      </c>
      <c r="I20" s="9" t="str">
        <f aca="false">IF($A20="","",IF(SUMPRODUCT((Tests!$A$6:$A$20=$A20)*(Tests!$D$6:$D$20&gt;0))&gt;0,"Measured","Assumed"))</f>
        <v/>
      </c>
      <c r="J20" s="28" t="str">
        <f aca="false">IF($A20="","",$G20*$H20)</f>
        <v/>
      </c>
      <c r="K20" s="29" t="str">
        <f aca="false">IF($A20="","",N('Campaign Data'!$D20)*$H20)</f>
        <v/>
      </c>
      <c r="L20" s="11" t="str">
        <f aca="false">IF($A20="","",$J20*$F20-$K20*Settings!$B$9-N('Campaign Data'!$E20)*$E20*$H20*Settings!$B$10)</f>
        <v/>
      </c>
      <c r="M20" s="28" t="str">
        <f aca="false">IF($A20="","",$L20-$C20)</f>
        <v/>
      </c>
      <c r="N20" s="30" t="str">
        <f aca="false">IF($A20="","",IFERROR($L20/$C20,0))</f>
        <v/>
      </c>
      <c r="O20" s="12" t="str">
        <f aca="false">IF($A20="","",IFERROR(INDEX(Settings!$C$17:$C$25,MATCH($B20,Settings!$A$17:$A$25,0)),0.7))</f>
        <v/>
      </c>
      <c r="P20" s="30" t="str">
        <f aca="false">IF($A20="","",$N20*$O20)</f>
        <v/>
      </c>
      <c r="Q20" s="29" t="str">
        <f aca="false">IF($A20="","",N('Campaign Data'!$F20)*$H20)</f>
        <v/>
      </c>
      <c r="R20" s="30" t="str">
        <f aca="false">IF($A20="","",IFERROR($C20/$Q20,0))</f>
        <v/>
      </c>
      <c r="S20" s="26" t="str">
        <f aca="false">IF($A20="","",IFERROR(($L20/$K20)/$R20,0))</f>
        <v/>
      </c>
      <c r="T20" s="31" t="str">
        <f aca="false">IF($A20="","",IFERROR($C20/SUM($C$6:$C$45),0))</f>
        <v/>
      </c>
      <c r="U20" s="28" t="str">
        <f aca="false">IF($A20="","",IF(OR($C20&lt;=0,$P20&lt;=0,$O20&gt;=1),0,$C20*$P20^(1/(1-$O20))))</f>
        <v/>
      </c>
      <c r="V20" s="9" t="str">
        <f aca="false">IF($A20="","",IF(AND($I20="Assumed",$T20&gt;Settings!$B$12,OR(IF($C20&lt;=0,"No spend",IF($N20&lt;1,"Cut",IF($P20&lt;1,"Trim",IF($P20&gt;=Settings!$B$11,"Scale","Hold"))))="Cut",IF($C20&lt;=0,"No spend",IF($N20&lt;1,"Cut",IF($P20&lt;1,"Trim",IF($P20&gt;=Settings!$B$11,"Scale","Hold"))))="Trim",IF($C20&lt;=0,"No spend",IF($N20&lt;1,"Cut",IF($P20&lt;1,"Trim",IF($P20&gt;=Settings!$B$11,"Scale","Hold"))))="Scale")),"Test before you "&amp;LOWER(IF($C20&lt;=0,"No spend",IF($N20&lt;1,"Cut",IF($P20&lt;1,"Trim",IF($P20&gt;=Settings!$B$11,"Scale","Hold"))))),IF($C20&lt;=0,"No spend",IF($N20&lt;1,"Cut",IF($P20&lt;1,"Trim",IF($P20&gt;=Settings!$B$11,"Scale","Hold"))))))</f>
        <v/>
      </c>
      <c r="W20" s="32" t="str">
        <f aca="false">IF($A20="","",IF($V20="Cut","Stop it or cut it hard: even the average pound returns "&amp;TEXT($N20,"£0.00")&amp;".",IF($V20="Trim","Reduce spend towards "&amp;TEXT($U20,"£#,##0")&amp;": it pays on average, but the last pound returns "&amp;TEXT($P20,"£0.00")&amp;".",IF($V20="Scale","Add spend in steps towards "&amp;TEXT($U20,"£#,##0")&amp;", measuring each step: the last pound still returns "&amp;TEXT($P20,"£0.00")&amp;".",IF($V20="Hold","Hold: the last pound returns "&amp;TEXT($P20,"£0.00")&amp;", close to what it costs.",IF(LEFT($V20,4)="Test","Run a holdout before moving it: "&amp;TEXT($C20,"£#,##0")&amp;" rests on an assumed factor of "&amp;TEXT($H20,"0.00")&amp;".",""))))))</f>
        <v/>
      </c>
      <c r="X20" s="33" t="str">
        <f aca="false">IF($A20="","",IF($C20&lt;=0,"",COUNTIFS($P$6:$P$45,"&lt;"&amp;$P20,$C$6:$C$45,"&gt;0")+COUNTIFS($P$6:$P20,$P20,$C$6:$C20,"&gt;0")))</f>
        <v/>
      </c>
    </row>
    <row r="21" customFormat="false" ht="15" hidden="false" customHeight="false" outlineLevel="0" collapsed="false">
      <c r="A21" s="9" t="str">
        <f aca="false">IF('Campaign Data'!$A21="","",'Campaign Data'!$A21)</f>
        <v/>
      </c>
      <c r="B21" s="9" t="str">
        <f aca="false">IF($A21="","",IF('Campaign Data'!$B21="","Other",'Campaign Data'!$B21))</f>
        <v/>
      </c>
      <c r="C21" s="11" t="str">
        <f aca="false">IF($A21="","",MAX(0,N('Campaign Data'!$C21)))</f>
        <v/>
      </c>
      <c r="D21" s="12" t="str">
        <f aca="false">IF($A21="","",IFERROR('Campaign Data'!$E21/$C21,0))</f>
        <v/>
      </c>
      <c r="E21" s="27" t="str">
        <f aca="false">IF($A21="","",IF('Campaign Data'!$G21="",Settings!$B$8,'Campaign Data'!$G21))</f>
        <v/>
      </c>
      <c r="F21" s="27" t="str">
        <f aca="false">IF($A21="","",IF('Campaign Data'!$H21="",Settings!$B$7,'Campaign Data'!$H21))</f>
        <v/>
      </c>
      <c r="G21" s="11" t="str">
        <f aca="false">IF($A21="","",N('Campaign Data'!$E21)*(1-$E21))</f>
        <v/>
      </c>
      <c r="H21" s="12" t="str">
        <f aca="false">IF($A21="","",IF(SUMPRODUCT((Tests!$A$6:$A$20=$A21)*(Tests!$D$6:$D$20&gt;0))&gt;0,INDEX(Tests!$F$6:$F$20,MATCH($A21,Tests!$A$6:$A$20,0)),IFERROR(INDEX(Settings!$B$17:$B$25,MATCH($B21,Settings!$A$17:$A$25,0)),0.5)))</f>
        <v/>
      </c>
      <c r="I21" s="9" t="str">
        <f aca="false">IF($A21="","",IF(SUMPRODUCT((Tests!$A$6:$A$20=$A21)*(Tests!$D$6:$D$20&gt;0))&gt;0,"Measured","Assumed"))</f>
        <v/>
      </c>
      <c r="J21" s="28" t="str">
        <f aca="false">IF($A21="","",$G21*$H21)</f>
        <v/>
      </c>
      <c r="K21" s="29" t="str">
        <f aca="false">IF($A21="","",N('Campaign Data'!$D21)*$H21)</f>
        <v/>
      </c>
      <c r="L21" s="11" t="str">
        <f aca="false">IF($A21="","",$J21*$F21-$K21*Settings!$B$9-N('Campaign Data'!$E21)*$E21*$H21*Settings!$B$10)</f>
        <v/>
      </c>
      <c r="M21" s="28" t="str">
        <f aca="false">IF($A21="","",$L21-$C21)</f>
        <v/>
      </c>
      <c r="N21" s="30" t="str">
        <f aca="false">IF($A21="","",IFERROR($L21/$C21,0))</f>
        <v/>
      </c>
      <c r="O21" s="12" t="str">
        <f aca="false">IF($A21="","",IFERROR(INDEX(Settings!$C$17:$C$25,MATCH($B21,Settings!$A$17:$A$25,0)),0.7))</f>
        <v/>
      </c>
      <c r="P21" s="30" t="str">
        <f aca="false">IF($A21="","",$N21*$O21)</f>
        <v/>
      </c>
      <c r="Q21" s="29" t="str">
        <f aca="false">IF($A21="","",N('Campaign Data'!$F21)*$H21)</f>
        <v/>
      </c>
      <c r="R21" s="30" t="str">
        <f aca="false">IF($A21="","",IFERROR($C21/$Q21,0))</f>
        <v/>
      </c>
      <c r="S21" s="26" t="str">
        <f aca="false">IF($A21="","",IFERROR(($L21/$K21)/$R21,0))</f>
        <v/>
      </c>
      <c r="T21" s="31" t="str">
        <f aca="false">IF($A21="","",IFERROR($C21/SUM($C$6:$C$45),0))</f>
        <v/>
      </c>
      <c r="U21" s="28" t="str">
        <f aca="false">IF($A21="","",IF(OR($C21&lt;=0,$P21&lt;=0,$O21&gt;=1),0,$C21*$P21^(1/(1-$O21))))</f>
        <v/>
      </c>
      <c r="V21" s="9" t="str">
        <f aca="false">IF($A21="","",IF(AND($I21="Assumed",$T21&gt;Settings!$B$12,OR(IF($C21&lt;=0,"No spend",IF($N21&lt;1,"Cut",IF($P21&lt;1,"Trim",IF($P21&gt;=Settings!$B$11,"Scale","Hold"))))="Cut",IF($C21&lt;=0,"No spend",IF($N21&lt;1,"Cut",IF($P21&lt;1,"Trim",IF($P21&gt;=Settings!$B$11,"Scale","Hold"))))="Trim",IF($C21&lt;=0,"No spend",IF($N21&lt;1,"Cut",IF($P21&lt;1,"Trim",IF($P21&gt;=Settings!$B$11,"Scale","Hold"))))="Scale")),"Test before you "&amp;LOWER(IF($C21&lt;=0,"No spend",IF($N21&lt;1,"Cut",IF($P21&lt;1,"Trim",IF($P21&gt;=Settings!$B$11,"Scale","Hold"))))),IF($C21&lt;=0,"No spend",IF($N21&lt;1,"Cut",IF($P21&lt;1,"Trim",IF($P21&gt;=Settings!$B$11,"Scale","Hold"))))))</f>
        <v/>
      </c>
      <c r="W21" s="32" t="str">
        <f aca="false">IF($A21="","",IF($V21="Cut","Stop it or cut it hard: even the average pound returns "&amp;TEXT($N21,"£0.00")&amp;".",IF($V21="Trim","Reduce spend towards "&amp;TEXT($U21,"£#,##0")&amp;": it pays on average, but the last pound returns "&amp;TEXT($P21,"£0.00")&amp;".",IF($V21="Scale","Add spend in steps towards "&amp;TEXT($U21,"£#,##0")&amp;", measuring each step: the last pound still returns "&amp;TEXT($P21,"£0.00")&amp;".",IF($V21="Hold","Hold: the last pound returns "&amp;TEXT($P21,"£0.00")&amp;", close to what it costs.",IF(LEFT($V21,4)="Test","Run a holdout before moving it: "&amp;TEXT($C21,"£#,##0")&amp;" rests on an assumed factor of "&amp;TEXT($H21,"0.00")&amp;".",""))))))</f>
        <v/>
      </c>
      <c r="X21" s="33" t="str">
        <f aca="false">IF($A21="","",IF($C21&lt;=0,"",COUNTIFS($P$6:$P$45,"&lt;"&amp;$P21,$C$6:$C$45,"&gt;0")+COUNTIFS($P$6:$P21,$P21,$C$6:$C21,"&gt;0")))</f>
        <v/>
      </c>
    </row>
    <row r="22" customFormat="false" ht="15" hidden="false" customHeight="false" outlineLevel="0" collapsed="false">
      <c r="A22" s="9" t="str">
        <f aca="false">IF('Campaign Data'!$A22="","",'Campaign Data'!$A22)</f>
        <v/>
      </c>
      <c r="B22" s="9" t="str">
        <f aca="false">IF($A22="","",IF('Campaign Data'!$B22="","Other",'Campaign Data'!$B22))</f>
        <v/>
      </c>
      <c r="C22" s="11" t="str">
        <f aca="false">IF($A22="","",MAX(0,N('Campaign Data'!$C22)))</f>
        <v/>
      </c>
      <c r="D22" s="12" t="str">
        <f aca="false">IF($A22="","",IFERROR('Campaign Data'!$E22/$C22,0))</f>
        <v/>
      </c>
      <c r="E22" s="27" t="str">
        <f aca="false">IF($A22="","",IF('Campaign Data'!$G22="",Settings!$B$8,'Campaign Data'!$G22))</f>
        <v/>
      </c>
      <c r="F22" s="27" t="str">
        <f aca="false">IF($A22="","",IF('Campaign Data'!$H22="",Settings!$B$7,'Campaign Data'!$H22))</f>
        <v/>
      </c>
      <c r="G22" s="11" t="str">
        <f aca="false">IF($A22="","",N('Campaign Data'!$E22)*(1-$E22))</f>
        <v/>
      </c>
      <c r="H22" s="12" t="str">
        <f aca="false">IF($A22="","",IF(SUMPRODUCT((Tests!$A$6:$A$20=$A22)*(Tests!$D$6:$D$20&gt;0))&gt;0,INDEX(Tests!$F$6:$F$20,MATCH($A22,Tests!$A$6:$A$20,0)),IFERROR(INDEX(Settings!$B$17:$B$25,MATCH($B22,Settings!$A$17:$A$25,0)),0.5)))</f>
        <v/>
      </c>
      <c r="I22" s="9" t="str">
        <f aca="false">IF($A22="","",IF(SUMPRODUCT((Tests!$A$6:$A$20=$A22)*(Tests!$D$6:$D$20&gt;0))&gt;0,"Measured","Assumed"))</f>
        <v/>
      </c>
      <c r="J22" s="28" t="str">
        <f aca="false">IF($A22="","",$G22*$H22)</f>
        <v/>
      </c>
      <c r="K22" s="29" t="str">
        <f aca="false">IF($A22="","",N('Campaign Data'!$D22)*$H22)</f>
        <v/>
      </c>
      <c r="L22" s="11" t="str">
        <f aca="false">IF($A22="","",$J22*$F22-$K22*Settings!$B$9-N('Campaign Data'!$E22)*$E22*$H22*Settings!$B$10)</f>
        <v/>
      </c>
      <c r="M22" s="28" t="str">
        <f aca="false">IF($A22="","",$L22-$C22)</f>
        <v/>
      </c>
      <c r="N22" s="30" t="str">
        <f aca="false">IF($A22="","",IFERROR($L22/$C22,0))</f>
        <v/>
      </c>
      <c r="O22" s="12" t="str">
        <f aca="false">IF($A22="","",IFERROR(INDEX(Settings!$C$17:$C$25,MATCH($B22,Settings!$A$17:$A$25,0)),0.7))</f>
        <v/>
      </c>
      <c r="P22" s="30" t="str">
        <f aca="false">IF($A22="","",$N22*$O22)</f>
        <v/>
      </c>
      <c r="Q22" s="29" t="str">
        <f aca="false">IF($A22="","",N('Campaign Data'!$F22)*$H22)</f>
        <v/>
      </c>
      <c r="R22" s="30" t="str">
        <f aca="false">IF($A22="","",IFERROR($C22/$Q22,0))</f>
        <v/>
      </c>
      <c r="S22" s="26" t="str">
        <f aca="false">IF($A22="","",IFERROR(($L22/$K22)/$R22,0))</f>
        <v/>
      </c>
      <c r="T22" s="31" t="str">
        <f aca="false">IF($A22="","",IFERROR($C22/SUM($C$6:$C$45),0))</f>
        <v/>
      </c>
      <c r="U22" s="28" t="str">
        <f aca="false">IF($A22="","",IF(OR($C22&lt;=0,$P22&lt;=0,$O22&gt;=1),0,$C22*$P22^(1/(1-$O22))))</f>
        <v/>
      </c>
      <c r="V22" s="9" t="str">
        <f aca="false">IF($A22="","",IF(AND($I22="Assumed",$T22&gt;Settings!$B$12,OR(IF($C22&lt;=0,"No spend",IF($N22&lt;1,"Cut",IF($P22&lt;1,"Trim",IF($P22&gt;=Settings!$B$11,"Scale","Hold"))))="Cut",IF($C22&lt;=0,"No spend",IF($N22&lt;1,"Cut",IF($P22&lt;1,"Trim",IF($P22&gt;=Settings!$B$11,"Scale","Hold"))))="Trim",IF($C22&lt;=0,"No spend",IF($N22&lt;1,"Cut",IF($P22&lt;1,"Trim",IF($P22&gt;=Settings!$B$11,"Scale","Hold"))))="Scale")),"Test before you "&amp;LOWER(IF($C22&lt;=0,"No spend",IF($N22&lt;1,"Cut",IF($P22&lt;1,"Trim",IF($P22&gt;=Settings!$B$11,"Scale","Hold"))))),IF($C22&lt;=0,"No spend",IF($N22&lt;1,"Cut",IF($P22&lt;1,"Trim",IF($P22&gt;=Settings!$B$11,"Scale","Hold"))))))</f>
        <v/>
      </c>
      <c r="W22" s="32" t="str">
        <f aca="false">IF($A22="","",IF($V22="Cut","Stop it or cut it hard: even the average pound returns "&amp;TEXT($N22,"£0.00")&amp;".",IF($V22="Trim","Reduce spend towards "&amp;TEXT($U22,"£#,##0")&amp;": it pays on average, but the last pound returns "&amp;TEXT($P22,"£0.00")&amp;".",IF($V22="Scale","Add spend in steps towards "&amp;TEXT($U22,"£#,##0")&amp;", measuring each step: the last pound still returns "&amp;TEXT($P22,"£0.00")&amp;".",IF($V22="Hold","Hold: the last pound returns "&amp;TEXT($P22,"£0.00")&amp;", close to what it costs.",IF(LEFT($V22,4)="Test","Run a holdout before moving it: "&amp;TEXT($C22,"£#,##0")&amp;" rests on an assumed factor of "&amp;TEXT($H22,"0.00")&amp;".",""))))))</f>
        <v/>
      </c>
      <c r="X22" s="33" t="str">
        <f aca="false">IF($A22="","",IF($C22&lt;=0,"",COUNTIFS($P$6:$P$45,"&lt;"&amp;$P22,$C$6:$C$45,"&gt;0")+COUNTIFS($P$6:$P22,$P22,$C$6:$C22,"&gt;0")))</f>
        <v/>
      </c>
    </row>
    <row r="23" customFormat="false" ht="15" hidden="false" customHeight="false" outlineLevel="0" collapsed="false">
      <c r="A23" s="9" t="str">
        <f aca="false">IF('Campaign Data'!$A23="","",'Campaign Data'!$A23)</f>
        <v/>
      </c>
      <c r="B23" s="9" t="str">
        <f aca="false">IF($A23="","",IF('Campaign Data'!$B23="","Other",'Campaign Data'!$B23))</f>
        <v/>
      </c>
      <c r="C23" s="11" t="str">
        <f aca="false">IF($A23="","",MAX(0,N('Campaign Data'!$C23)))</f>
        <v/>
      </c>
      <c r="D23" s="12" t="str">
        <f aca="false">IF($A23="","",IFERROR('Campaign Data'!$E23/$C23,0))</f>
        <v/>
      </c>
      <c r="E23" s="27" t="str">
        <f aca="false">IF($A23="","",IF('Campaign Data'!$G23="",Settings!$B$8,'Campaign Data'!$G23))</f>
        <v/>
      </c>
      <c r="F23" s="27" t="str">
        <f aca="false">IF($A23="","",IF('Campaign Data'!$H23="",Settings!$B$7,'Campaign Data'!$H23))</f>
        <v/>
      </c>
      <c r="G23" s="11" t="str">
        <f aca="false">IF($A23="","",N('Campaign Data'!$E23)*(1-$E23))</f>
        <v/>
      </c>
      <c r="H23" s="12" t="str">
        <f aca="false">IF($A23="","",IF(SUMPRODUCT((Tests!$A$6:$A$20=$A23)*(Tests!$D$6:$D$20&gt;0))&gt;0,INDEX(Tests!$F$6:$F$20,MATCH($A23,Tests!$A$6:$A$20,0)),IFERROR(INDEX(Settings!$B$17:$B$25,MATCH($B23,Settings!$A$17:$A$25,0)),0.5)))</f>
        <v/>
      </c>
      <c r="I23" s="9" t="str">
        <f aca="false">IF($A23="","",IF(SUMPRODUCT((Tests!$A$6:$A$20=$A23)*(Tests!$D$6:$D$20&gt;0))&gt;0,"Measured","Assumed"))</f>
        <v/>
      </c>
      <c r="J23" s="28" t="str">
        <f aca="false">IF($A23="","",$G23*$H23)</f>
        <v/>
      </c>
      <c r="K23" s="29" t="str">
        <f aca="false">IF($A23="","",N('Campaign Data'!$D23)*$H23)</f>
        <v/>
      </c>
      <c r="L23" s="11" t="str">
        <f aca="false">IF($A23="","",$J23*$F23-$K23*Settings!$B$9-N('Campaign Data'!$E23)*$E23*$H23*Settings!$B$10)</f>
        <v/>
      </c>
      <c r="M23" s="28" t="str">
        <f aca="false">IF($A23="","",$L23-$C23)</f>
        <v/>
      </c>
      <c r="N23" s="30" t="str">
        <f aca="false">IF($A23="","",IFERROR($L23/$C23,0))</f>
        <v/>
      </c>
      <c r="O23" s="12" t="str">
        <f aca="false">IF($A23="","",IFERROR(INDEX(Settings!$C$17:$C$25,MATCH($B23,Settings!$A$17:$A$25,0)),0.7))</f>
        <v/>
      </c>
      <c r="P23" s="30" t="str">
        <f aca="false">IF($A23="","",$N23*$O23)</f>
        <v/>
      </c>
      <c r="Q23" s="29" t="str">
        <f aca="false">IF($A23="","",N('Campaign Data'!$F23)*$H23)</f>
        <v/>
      </c>
      <c r="R23" s="30" t="str">
        <f aca="false">IF($A23="","",IFERROR($C23/$Q23,0))</f>
        <v/>
      </c>
      <c r="S23" s="26" t="str">
        <f aca="false">IF($A23="","",IFERROR(($L23/$K23)/$R23,0))</f>
        <v/>
      </c>
      <c r="T23" s="31" t="str">
        <f aca="false">IF($A23="","",IFERROR($C23/SUM($C$6:$C$45),0))</f>
        <v/>
      </c>
      <c r="U23" s="28" t="str">
        <f aca="false">IF($A23="","",IF(OR($C23&lt;=0,$P23&lt;=0,$O23&gt;=1),0,$C23*$P23^(1/(1-$O23))))</f>
        <v/>
      </c>
      <c r="V23" s="9" t="str">
        <f aca="false">IF($A23="","",IF(AND($I23="Assumed",$T23&gt;Settings!$B$12,OR(IF($C23&lt;=0,"No spend",IF($N23&lt;1,"Cut",IF($P23&lt;1,"Trim",IF($P23&gt;=Settings!$B$11,"Scale","Hold"))))="Cut",IF($C23&lt;=0,"No spend",IF($N23&lt;1,"Cut",IF($P23&lt;1,"Trim",IF($P23&gt;=Settings!$B$11,"Scale","Hold"))))="Trim",IF($C23&lt;=0,"No spend",IF($N23&lt;1,"Cut",IF($P23&lt;1,"Trim",IF($P23&gt;=Settings!$B$11,"Scale","Hold"))))="Scale")),"Test before you "&amp;LOWER(IF($C23&lt;=0,"No spend",IF($N23&lt;1,"Cut",IF($P23&lt;1,"Trim",IF($P23&gt;=Settings!$B$11,"Scale","Hold"))))),IF($C23&lt;=0,"No spend",IF($N23&lt;1,"Cut",IF($P23&lt;1,"Trim",IF($P23&gt;=Settings!$B$11,"Scale","Hold"))))))</f>
        <v/>
      </c>
      <c r="W23" s="32" t="str">
        <f aca="false">IF($A23="","",IF($V23="Cut","Stop it or cut it hard: even the average pound returns "&amp;TEXT($N23,"£0.00")&amp;".",IF($V23="Trim","Reduce spend towards "&amp;TEXT($U23,"£#,##0")&amp;": it pays on average, but the last pound returns "&amp;TEXT($P23,"£0.00")&amp;".",IF($V23="Scale","Add spend in steps towards "&amp;TEXT($U23,"£#,##0")&amp;", measuring each step: the last pound still returns "&amp;TEXT($P23,"£0.00")&amp;".",IF($V23="Hold","Hold: the last pound returns "&amp;TEXT($P23,"£0.00")&amp;", close to what it costs.",IF(LEFT($V23,4)="Test","Run a holdout before moving it: "&amp;TEXT($C23,"£#,##0")&amp;" rests on an assumed factor of "&amp;TEXT($H23,"0.00")&amp;".",""))))))</f>
        <v/>
      </c>
      <c r="X23" s="33" t="str">
        <f aca="false">IF($A23="","",IF($C23&lt;=0,"",COUNTIFS($P$6:$P$45,"&lt;"&amp;$P23,$C$6:$C$45,"&gt;0")+COUNTIFS($P$6:$P23,$P23,$C$6:$C23,"&gt;0")))</f>
        <v/>
      </c>
    </row>
    <row r="24" customFormat="false" ht="15" hidden="false" customHeight="false" outlineLevel="0" collapsed="false">
      <c r="A24" s="9" t="str">
        <f aca="false">IF('Campaign Data'!$A24="","",'Campaign Data'!$A24)</f>
        <v/>
      </c>
      <c r="B24" s="9" t="str">
        <f aca="false">IF($A24="","",IF('Campaign Data'!$B24="","Other",'Campaign Data'!$B24))</f>
        <v/>
      </c>
      <c r="C24" s="11" t="str">
        <f aca="false">IF($A24="","",MAX(0,N('Campaign Data'!$C24)))</f>
        <v/>
      </c>
      <c r="D24" s="12" t="str">
        <f aca="false">IF($A24="","",IFERROR('Campaign Data'!$E24/$C24,0))</f>
        <v/>
      </c>
      <c r="E24" s="27" t="str">
        <f aca="false">IF($A24="","",IF('Campaign Data'!$G24="",Settings!$B$8,'Campaign Data'!$G24))</f>
        <v/>
      </c>
      <c r="F24" s="27" t="str">
        <f aca="false">IF($A24="","",IF('Campaign Data'!$H24="",Settings!$B$7,'Campaign Data'!$H24))</f>
        <v/>
      </c>
      <c r="G24" s="11" t="str">
        <f aca="false">IF($A24="","",N('Campaign Data'!$E24)*(1-$E24))</f>
        <v/>
      </c>
      <c r="H24" s="12" t="str">
        <f aca="false">IF($A24="","",IF(SUMPRODUCT((Tests!$A$6:$A$20=$A24)*(Tests!$D$6:$D$20&gt;0))&gt;0,INDEX(Tests!$F$6:$F$20,MATCH($A24,Tests!$A$6:$A$20,0)),IFERROR(INDEX(Settings!$B$17:$B$25,MATCH($B24,Settings!$A$17:$A$25,0)),0.5)))</f>
        <v/>
      </c>
      <c r="I24" s="9" t="str">
        <f aca="false">IF($A24="","",IF(SUMPRODUCT((Tests!$A$6:$A$20=$A24)*(Tests!$D$6:$D$20&gt;0))&gt;0,"Measured","Assumed"))</f>
        <v/>
      </c>
      <c r="J24" s="28" t="str">
        <f aca="false">IF($A24="","",$G24*$H24)</f>
        <v/>
      </c>
      <c r="K24" s="29" t="str">
        <f aca="false">IF($A24="","",N('Campaign Data'!$D24)*$H24)</f>
        <v/>
      </c>
      <c r="L24" s="11" t="str">
        <f aca="false">IF($A24="","",$J24*$F24-$K24*Settings!$B$9-N('Campaign Data'!$E24)*$E24*$H24*Settings!$B$10)</f>
        <v/>
      </c>
      <c r="M24" s="28" t="str">
        <f aca="false">IF($A24="","",$L24-$C24)</f>
        <v/>
      </c>
      <c r="N24" s="30" t="str">
        <f aca="false">IF($A24="","",IFERROR($L24/$C24,0))</f>
        <v/>
      </c>
      <c r="O24" s="12" t="str">
        <f aca="false">IF($A24="","",IFERROR(INDEX(Settings!$C$17:$C$25,MATCH($B24,Settings!$A$17:$A$25,0)),0.7))</f>
        <v/>
      </c>
      <c r="P24" s="30" t="str">
        <f aca="false">IF($A24="","",$N24*$O24)</f>
        <v/>
      </c>
      <c r="Q24" s="29" t="str">
        <f aca="false">IF($A24="","",N('Campaign Data'!$F24)*$H24)</f>
        <v/>
      </c>
      <c r="R24" s="30" t="str">
        <f aca="false">IF($A24="","",IFERROR($C24/$Q24,0))</f>
        <v/>
      </c>
      <c r="S24" s="26" t="str">
        <f aca="false">IF($A24="","",IFERROR(($L24/$K24)/$R24,0))</f>
        <v/>
      </c>
      <c r="T24" s="31" t="str">
        <f aca="false">IF($A24="","",IFERROR($C24/SUM($C$6:$C$45),0))</f>
        <v/>
      </c>
      <c r="U24" s="28" t="str">
        <f aca="false">IF($A24="","",IF(OR($C24&lt;=0,$P24&lt;=0,$O24&gt;=1),0,$C24*$P24^(1/(1-$O24))))</f>
        <v/>
      </c>
      <c r="V24" s="9" t="str">
        <f aca="false">IF($A24="","",IF(AND($I24="Assumed",$T24&gt;Settings!$B$12,OR(IF($C24&lt;=0,"No spend",IF($N24&lt;1,"Cut",IF($P24&lt;1,"Trim",IF($P24&gt;=Settings!$B$11,"Scale","Hold"))))="Cut",IF($C24&lt;=0,"No spend",IF($N24&lt;1,"Cut",IF($P24&lt;1,"Trim",IF($P24&gt;=Settings!$B$11,"Scale","Hold"))))="Trim",IF($C24&lt;=0,"No spend",IF($N24&lt;1,"Cut",IF($P24&lt;1,"Trim",IF($P24&gt;=Settings!$B$11,"Scale","Hold"))))="Scale")),"Test before you "&amp;LOWER(IF($C24&lt;=0,"No spend",IF($N24&lt;1,"Cut",IF($P24&lt;1,"Trim",IF($P24&gt;=Settings!$B$11,"Scale","Hold"))))),IF($C24&lt;=0,"No spend",IF($N24&lt;1,"Cut",IF($P24&lt;1,"Trim",IF($P24&gt;=Settings!$B$11,"Scale","Hold"))))))</f>
        <v/>
      </c>
      <c r="W24" s="32" t="str">
        <f aca="false">IF($A24="","",IF($V24="Cut","Stop it or cut it hard: even the average pound returns "&amp;TEXT($N24,"£0.00")&amp;".",IF($V24="Trim","Reduce spend towards "&amp;TEXT($U24,"£#,##0")&amp;": it pays on average, but the last pound returns "&amp;TEXT($P24,"£0.00")&amp;".",IF($V24="Scale","Add spend in steps towards "&amp;TEXT($U24,"£#,##0")&amp;", measuring each step: the last pound still returns "&amp;TEXT($P24,"£0.00")&amp;".",IF($V24="Hold","Hold: the last pound returns "&amp;TEXT($P24,"£0.00")&amp;", close to what it costs.",IF(LEFT($V24,4)="Test","Run a holdout before moving it: "&amp;TEXT($C24,"£#,##0")&amp;" rests on an assumed factor of "&amp;TEXT($H24,"0.00")&amp;".",""))))))</f>
        <v/>
      </c>
      <c r="X24" s="33" t="str">
        <f aca="false">IF($A24="","",IF($C24&lt;=0,"",COUNTIFS($P$6:$P$45,"&lt;"&amp;$P24,$C$6:$C$45,"&gt;0")+COUNTIFS($P$6:$P24,$P24,$C$6:$C24,"&gt;0")))</f>
        <v/>
      </c>
    </row>
    <row r="25" customFormat="false" ht="15" hidden="false" customHeight="false" outlineLevel="0" collapsed="false">
      <c r="A25" s="9" t="str">
        <f aca="false">IF('Campaign Data'!$A25="","",'Campaign Data'!$A25)</f>
        <v/>
      </c>
      <c r="B25" s="9" t="str">
        <f aca="false">IF($A25="","",IF('Campaign Data'!$B25="","Other",'Campaign Data'!$B25))</f>
        <v/>
      </c>
      <c r="C25" s="11" t="str">
        <f aca="false">IF($A25="","",MAX(0,N('Campaign Data'!$C25)))</f>
        <v/>
      </c>
      <c r="D25" s="12" t="str">
        <f aca="false">IF($A25="","",IFERROR('Campaign Data'!$E25/$C25,0))</f>
        <v/>
      </c>
      <c r="E25" s="27" t="str">
        <f aca="false">IF($A25="","",IF('Campaign Data'!$G25="",Settings!$B$8,'Campaign Data'!$G25))</f>
        <v/>
      </c>
      <c r="F25" s="27" t="str">
        <f aca="false">IF($A25="","",IF('Campaign Data'!$H25="",Settings!$B$7,'Campaign Data'!$H25))</f>
        <v/>
      </c>
      <c r="G25" s="11" t="str">
        <f aca="false">IF($A25="","",N('Campaign Data'!$E25)*(1-$E25))</f>
        <v/>
      </c>
      <c r="H25" s="12" t="str">
        <f aca="false">IF($A25="","",IF(SUMPRODUCT((Tests!$A$6:$A$20=$A25)*(Tests!$D$6:$D$20&gt;0))&gt;0,INDEX(Tests!$F$6:$F$20,MATCH($A25,Tests!$A$6:$A$20,0)),IFERROR(INDEX(Settings!$B$17:$B$25,MATCH($B25,Settings!$A$17:$A$25,0)),0.5)))</f>
        <v/>
      </c>
      <c r="I25" s="9" t="str">
        <f aca="false">IF($A25="","",IF(SUMPRODUCT((Tests!$A$6:$A$20=$A25)*(Tests!$D$6:$D$20&gt;0))&gt;0,"Measured","Assumed"))</f>
        <v/>
      </c>
      <c r="J25" s="28" t="str">
        <f aca="false">IF($A25="","",$G25*$H25)</f>
        <v/>
      </c>
      <c r="K25" s="29" t="str">
        <f aca="false">IF($A25="","",N('Campaign Data'!$D25)*$H25)</f>
        <v/>
      </c>
      <c r="L25" s="11" t="str">
        <f aca="false">IF($A25="","",$J25*$F25-$K25*Settings!$B$9-N('Campaign Data'!$E25)*$E25*$H25*Settings!$B$10)</f>
        <v/>
      </c>
      <c r="M25" s="28" t="str">
        <f aca="false">IF($A25="","",$L25-$C25)</f>
        <v/>
      </c>
      <c r="N25" s="30" t="str">
        <f aca="false">IF($A25="","",IFERROR($L25/$C25,0))</f>
        <v/>
      </c>
      <c r="O25" s="12" t="str">
        <f aca="false">IF($A25="","",IFERROR(INDEX(Settings!$C$17:$C$25,MATCH($B25,Settings!$A$17:$A$25,0)),0.7))</f>
        <v/>
      </c>
      <c r="P25" s="30" t="str">
        <f aca="false">IF($A25="","",$N25*$O25)</f>
        <v/>
      </c>
      <c r="Q25" s="29" t="str">
        <f aca="false">IF($A25="","",N('Campaign Data'!$F25)*$H25)</f>
        <v/>
      </c>
      <c r="R25" s="30" t="str">
        <f aca="false">IF($A25="","",IFERROR($C25/$Q25,0))</f>
        <v/>
      </c>
      <c r="S25" s="26" t="str">
        <f aca="false">IF($A25="","",IFERROR(($L25/$K25)/$R25,0))</f>
        <v/>
      </c>
      <c r="T25" s="31" t="str">
        <f aca="false">IF($A25="","",IFERROR($C25/SUM($C$6:$C$45),0))</f>
        <v/>
      </c>
      <c r="U25" s="28" t="str">
        <f aca="false">IF($A25="","",IF(OR($C25&lt;=0,$P25&lt;=0,$O25&gt;=1),0,$C25*$P25^(1/(1-$O25))))</f>
        <v/>
      </c>
      <c r="V25" s="9" t="str">
        <f aca="false">IF($A25="","",IF(AND($I25="Assumed",$T25&gt;Settings!$B$12,OR(IF($C25&lt;=0,"No spend",IF($N25&lt;1,"Cut",IF($P25&lt;1,"Trim",IF($P25&gt;=Settings!$B$11,"Scale","Hold"))))="Cut",IF($C25&lt;=0,"No spend",IF($N25&lt;1,"Cut",IF($P25&lt;1,"Trim",IF($P25&gt;=Settings!$B$11,"Scale","Hold"))))="Trim",IF($C25&lt;=0,"No spend",IF($N25&lt;1,"Cut",IF($P25&lt;1,"Trim",IF($P25&gt;=Settings!$B$11,"Scale","Hold"))))="Scale")),"Test before you "&amp;LOWER(IF($C25&lt;=0,"No spend",IF($N25&lt;1,"Cut",IF($P25&lt;1,"Trim",IF($P25&gt;=Settings!$B$11,"Scale","Hold"))))),IF($C25&lt;=0,"No spend",IF($N25&lt;1,"Cut",IF($P25&lt;1,"Trim",IF($P25&gt;=Settings!$B$11,"Scale","Hold"))))))</f>
        <v/>
      </c>
      <c r="W25" s="32" t="str">
        <f aca="false">IF($A25="","",IF($V25="Cut","Stop it or cut it hard: even the average pound returns "&amp;TEXT($N25,"£0.00")&amp;".",IF($V25="Trim","Reduce spend towards "&amp;TEXT($U25,"£#,##0")&amp;": it pays on average, but the last pound returns "&amp;TEXT($P25,"£0.00")&amp;".",IF($V25="Scale","Add spend in steps towards "&amp;TEXT($U25,"£#,##0")&amp;", measuring each step: the last pound still returns "&amp;TEXT($P25,"£0.00")&amp;".",IF($V25="Hold","Hold: the last pound returns "&amp;TEXT($P25,"£0.00")&amp;", close to what it costs.",IF(LEFT($V25,4)="Test","Run a holdout before moving it: "&amp;TEXT($C25,"£#,##0")&amp;" rests on an assumed factor of "&amp;TEXT($H25,"0.00")&amp;".",""))))))</f>
        <v/>
      </c>
      <c r="X25" s="33" t="str">
        <f aca="false">IF($A25="","",IF($C25&lt;=0,"",COUNTIFS($P$6:$P$45,"&lt;"&amp;$P25,$C$6:$C$45,"&gt;0")+COUNTIFS($P$6:$P25,$P25,$C$6:$C25,"&gt;0")))</f>
        <v/>
      </c>
    </row>
    <row r="26" customFormat="false" ht="15" hidden="false" customHeight="false" outlineLevel="0" collapsed="false">
      <c r="A26" s="9" t="str">
        <f aca="false">IF('Campaign Data'!$A26="","",'Campaign Data'!$A26)</f>
        <v/>
      </c>
      <c r="B26" s="9" t="str">
        <f aca="false">IF($A26="","",IF('Campaign Data'!$B26="","Other",'Campaign Data'!$B26))</f>
        <v/>
      </c>
      <c r="C26" s="11" t="str">
        <f aca="false">IF($A26="","",MAX(0,N('Campaign Data'!$C26)))</f>
        <v/>
      </c>
      <c r="D26" s="12" t="str">
        <f aca="false">IF($A26="","",IFERROR('Campaign Data'!$E26/$C26,0))</f>
        <v/>
      </c>
      <c r="E26" s="27" t="str">
        <f aca="false">IF($A26="","",IF('Campaign Data'!$G26="",Settings!$B$8,'Campaign Data'!$G26))</f>
        <v/>
      </c>
      <c r="F26" s="27" t="str">
        <f aca="false">IF($A26="","",IF('Campaign Data'!$H26="",Settings!$B$7,'Campaign Data'!$H26))</f>
        <v/>
      </c>
      <c r="G26" s="11" t="str">
        <f aca="false">IF($A26="","",N('Campaign Data'!$E26)*(1-$E26))</f>
        <v/>
      </c>
      <c r="H26" s="12" t="str">
        <f aca="false">IF($A26="","",IF(SUMPRODUCT((Tests!$A$6:$A$20=$A26)*(Tests!$D$6:$D$20&gt;0))&gt;0,INDEX(Tests!$F$6:$F$20,MATCH($A26,Tests!$A$6:$A$20,0)),IFERROR(INDEX(Settings!$B$17:$B$25,MATCH($B26,Settings!$A$17:$A$25,0)),0.5)))</f>
        <v/>
      </c>
      <c r="I26" s="9" t="str">
        <f aca="false">IF($A26="","",IF(SUMPRODUCT((Tests!$A$6:$A$20=$A26)*(Tests!$D$6:$D$20&gt;0))&gt;0,"Measured","Assumed"))</f>
        <v/>
      </c>
      <c r="J26" s="28" t="str">
        <f aca="false">IF($A26="","",$G26*$H26)</f>
        <v/>
      </c>
      <c r="K26" s="29" t="str">
        <f aca="false">IF($A26="","",N('Campaign Data'!$D26)*$H26)</f>
        <v/>
      </c>
      <c r="L26" s="11" t="str">
        <f aca="false">IF($A26="","",$J26*$F26-$K26*Settings!$B$9-N('Campaign Data'!$E26)*$E26*$H26*Settings!$B$10)</f>
        <v/>
      </c>
      <c r="M26" s="28" t="str">
        <f aca="false">IF($A26="","",$L26-$C26)</f>
        <v/>
      </c>
      <c r="N26" s="30" t="str">
        <f aca="false">IF($A26="","",IFERROR($L26/$C26,0))</f>
        <v/>
      </c>
      <c r="O26" s="12" t="str">
        <f aca="false">IF($A26="","",IFERROR(INDEX(Settings!$C$17:$C$25,MATCH($B26,Settings!$A$17:$A$25,0)),0.7))</f>
        <v/>
      </c>
      <c r="P26" s="30" t="str">
        <f aca="false">IF($A26="","",$N26*$O26)</f>
        <v/>
      </c>
      <c r="Q26" s="29" t="str">
        <f aca="false">IF($A26="","",N('Campaign Data'!$F26)*$H26)</f>
        <v/>
      </c>
      <c r="R26" s="30" t="str">
        <f aca="false">IF($A26="","",IFERROR($C26/$Q26,0))</f>
        <v/>
      </c>
      <c r="S26" s="26" t="str">
        <f aca="false">IF($A26="","",IFERROR(($L26/$K26)/$R26,0))</f>
        <v/>
      </c>
      <c r="T26" s="31" t="str">
        <f aca="false">IF($A26="","",IFERROR($C26/SUM($C$6:$C$45),0))</f>
        <v/>
      </c>
      <c r="U26" s="28" t="str">
        <f aca="false">IF($A26="","",IF(OR($C26&lt;=0,$P26&lt;=0,$O26&gt;=1),0,$C26*$P26^(1/(1-$O26))))</f>
        <v/>
      </c>
      <c r="V26" s="9" t="str">
        <f aca="false">IF($A26="","",IF(AND($I26="Assumed",$T26&gt;Settings!$B$12,OR(IF($C26&lt;=0,"No spend",IF($N26&lt;1,"Cut",IF($P26&lt;1,"Trim",IF($P26&gt;=Settings!$B$11,"Scale","Hold"))))="Cut",IF($C26&lt;=0,"No spend",IF($N26&lt;1,"Cut",IF($P26&lt;1,"Trim",IF($P26&gt;=Settings!$B$11,"Scale","Hold"))))="Trim",IF($C26&lt;=0,"No spend",IF($N26&lt;1,"Cut",IF($P26&lt;1,"Trim",IF($P26&gt;=Settings!$B$11,"Scale","Hold"))))="Scale")),"Test before you "&amp;LOWER(IF($C26&lt;=0,"No spend",IF($N26&lt;1,"Cut",IF($P26&lt;1,"Trim",IF($P26&gt;=Settings!$B$11,"Scale","Hold"))))),IF($C26&lt;=0,"No spend",IF($N26&lt;1,"Cut",IF($P26&lt;1,"Trim",IF($P26&gt;=Settings!$B$11,"Scale","Hold"))))))</f>
        <v/>
      </c>
      <c r="W26" s="32" t="str">
        <f aca="false">IF($A26="","",IF($V26="Cut","Stop it or cut it hard: even the average pound returns "&amp;TEXT($N26,"£0.00")&amp;".",IF($V26="Trim","Reduce spend towards "&amp;TEXT($U26,"£#,##0")&amp;": it pays on average, but the last pound returns "&amp;TEXT($P26,"£0.00")&amp;".",IF($V26="Scale","Add spend in steps towards "&amp;TEXT($U26,"£#,##0")&amp;", measuring each step: the last pound still returns "&amp;TEXT($P26,"£0.00")&amp;".",IF($V26="Hold","Hold: the last pound returns "&amp;TEXT($P26,"£0.00")&amp;", close to what it costs.",IF(LEFT($V26,4)="Test","Run a holdout before moving it: "&amp;TEXT($C26,"£#,##0")&amp;" rests on an assumed factor of "&amp;TEXT($H26,"0.00")&amp;".",""))))))</f>
        <v/>
      </c>
      <c r="X26" s="33" t="str">
        <f aca="false">IF($A26="","",IF($C26&lt;=0,"",COUNTIFS($P$6:$P$45,"&lt;"&amp;$P26,$C$6:$C$45,"&gt;0")+COUNTIFS($P$6:$P26,$P26,$C$6:$C26,"&gt;0")))</f>
        <v/>
      </c>
    </row>
    <row r="27" customFormat="false" ht="15" hidden="false" customHeight="false" outlineLevel="0" collapsed="false">
      <c r="A27" s="9" t="str">
        <f aca="false">IF('Campaign Data'!$A27="","",'Campaign Data'!$A27)</f>
        <v/>
      </c>
      <c r="B27" s="9" t="str">
        <f aca="false">IF($A27="","",IF('Campaign Data'!$B27="","Other",'Campaign Data'!$B27))</f>
        <v/>
      </c>
      <c r="C27" s="11" t="str">
        <f aca="false">IF($A27="","",MAX(0,N('Campaign Data'!$C27)))</f>
        <v/>
      </c>
      <c r="D27" s="12" t="str">
        <f aca="false">IF($A27="","",IFERROR('Campaign Data'!$E27/$C27,0))</f>
        <v/>
      </c>
      <c r="E27" s="27" t="str">
        <f aca="false">IF($A27="","",IF('Campaign Data'!$G27="",Settings!$B$8,'Campaign Data'!$G27))</f>
        <v/>
      </c>
      <c r="F27" s="27" t="str">
        <f aca="false">IF($A27="","",IF('Campaign Data'!$H27="",Settings!$B$7,'Campaign Data'!$H27))</f>
        <v/>
      </c>
      <c r="G27" s="11" t="str">
        <f aca="false">IF($A27="","",N('Campaign Data'!$E27)*(1-$E27))</f>
        <v/>
      </c>
      <c r="H27" s="12" t="str">
        <f aca="false">IF($A27="","",IF(SUMPRODUCT((Tests!$A$6:$A$20=$A27)*(Tests!$D$6:$D$20&gt;0))&gt;0,INDEX(Tests!$F$6:$F$20,MATCH($A27,Tests!$A$6:$A$20,0)),IFERROR(INDEX(Settings!$B$17:$B$25,MATCH($B27,Settings!$A$17:$A$25,0)),0.5)))</f>
        <v/>
      </c>
      <c r="I27" s="9" t="str">
        <f aca="false">IF($A27="","",IF(SUMPRODUCT((Tests!$A$6:$A$20=$A27)*(Tests!$D$6:$D$20&gt;0))&gt;0,"Measured","Assumed"))</f>
        <v/>
      </c>
      <c r="J27" s="28" t="str">
        <f aca="false">IF($A27="","",$G27*$H27)</f>
        <v/>
      </c>
      <c r="K27" s="29" t="str">
        <f aca="false">IF($A27="","",N('Campaign Data'!$D27)*$H27)</f>
        <v/>
      </c>
      <c r="L27" s="11" t="str">
        <f aca="false">IF($A27="","",$J27*$F27-$K27*Settings!$B$9-N('Campaign Data'!$E27)*$E27*$H27*Settings!$B$10)</f>
        <v/>
      </c>
      <c r="M27" s="28" t="str">
        <f aca="false">IF($A27="","",$L27-$C27)</f>
        <v/>
      </c>
      <c r="N27" s="30" t="str">
        <f aca="false">IF($A27="","",IFERROR($L27/$C27,0))</f>
        <v/>
      </c>
      <c r="O27" s="12" t="str">
        <f aca="false">IF($A27="","",IFERROR(INDEX(Settings!$C$17:$C$25,MATCH($B27,Settings!$A$17:$A$25,0)),0.7))</f>
        <v/>
      </c>
      <c r="P27" s="30" t="str">
        <f aca="false">IF($A27="","",$N27*$O27)</f>
        <v/>
      </c>
      <c r="Q27" s="29" t="str">
        <f aca="false">IF($A27="","",N('Campaign Data'!$F27)*$H27)</f>
        <v/>
      </c>
      <c r="R27" s="30" t="str">
        <f aca="false">IF($A27="","",IFERROR($C27/$Q27,0))</f>
        <v/>
      </c>
      <c r="S27" s="26" t="str">
        <f aca="false">IF($A27="","",IFERROR(($L27/$K27)/$R27,0))</f>
        <v/>
      </c>
      <c r="T27" s="31" t="str">
        <f aca="false">IF($A27="","",IFERROR($C27/SUM($C$6:$C$45),0))</f>
        <v/>
      </c>
      <c r="U27" s="28" t="str">
        <f aca="false">IF($A27="","",IF(OR($C27&lt;=0,$P27&lt;=0,$O27&gt;=1),0,$C27*$P27^(1/(1-$O27))))</f>
        <v/>
      </c>
      <c r="V27" s="9" t="str">
        <f aca="false">IF($A27="","",IF(AND($I27="Assumed",$T27&gt;Settings!$B$12,OR(IF($C27&lt;=0,"No spend",IF($N27&lt;1,"Cut",IF($P27&lt;1,"Trim",IF($P27&gt;=Settings!$B$11,"Scale","Hold"))))="Cut",IF($C27&lt;=0,"No spend",IF($N27&lt;1,"Cut",IF($P27&lt;1,"Trim",IF($P27&gt;=Settings!$B$11,"Scale","Hold"))))="Trim",IF($C27&lt;=0,"No spend",IF($N27&lt;1,"Cut",IF($P27&lt;1,"Trim",IF($P27&gt;=Settings!$B$11,"Scale","Hold"))))="Scale")),"Test before you "&amp;LOWER(IF($C27&lt;=0,"No spend",IF($N27&lt;1,"Cut",IF($P27&lt;1,"Trim",IF($P27&gt;=Settings!$B$11,"Scale","Hold"))))),IF($C27&lt;=0,"No spend",IF($N27&lt;1,"Cut",IF($P27&lt;1,"Trim",IF($P27&gt;=Settings!$B$11,"Scale","Hold"))))))</f>
        <v/>
      </c>
      <c r="W27" s="32" t="str">
        <f aca="false">IF($A27="","",IF($V27="Cut","Stop it or cut it hard: even the average pound returns "&amp;TEXT($N27,"£0.00")&amp;".",IF($V27="Trim","Reduce spend towards "&amp;TEXT($U27,"£#,##0")&amp;": it pays on average, but the last pound returns "&amp;TEXT($P27,"£0.00")&amp;".",IF($V27="Scale","Add spend in steps towards "&amp;TEXT($U27,"£#,##0")&amp;", measuring each step: the last pound still returns "&amp;TEXT($P27,"£0.00")&amp;".",IF($V27="Hold","Hold: the last pound returns "&amp;TEXT($P27,"£0.00")&amp;", close to what it costs.",IF(LEFT($V27,4)="Test","Run a holdout before moving it: "&amp;TEXT($C27,"£#,##0")&amp;" rests on an assumed factor of "&amp;TEXT($H27,"0.00")&amp;".",""))))))</f>
        <v/>
      </c>
      <c r="X27" s="33" t="str">
        <f aca="false">IF($A27="","",IF($C27&lt;=0,"",COUNTIFS($P$6:$P$45,"&lt;"&amp;$P27,$C$6:$C$45,"&gt;0")+COUNTIFS($P$6:$P27,$P27,$C$6:$C27,"&gt;0")))</f>
        <v/>
      </c>
    </row>
    <row r="28" customFormat="false" ht="15" hidden="false" customHeight="false" outlineLevel="0" collapsed="false">
      <c r="A28" s="9" t="str">
        <f aca="false">IF('Campaign Data'!$A28="","",'Campaign Data'!$A28)</f>
        <v/>
      </c>
      <c r="B28" s="9" t="str">
        <f aca="false">IF($A28="","",IF('Campaign Data'!$B28="","Other",'Campaign Data'!$B28))</f>
        <v/>
      </c>
      <c r="C28" s="11" t="str">
        <f aca="false">IF($A28="","",MAX(0,N('Campaign Data'!$C28)))</f>
        <v/>
      </c>
      <c r="D28" s="12" t="str">
        <f aca="false">IF($A28="","",IFERROR('Campaign Data'!$E28/$C28,0))</f>
        <v/>
      </c>
      <c r="E28" s="27" t="str">
        <f aca="false">IF($A28="","",IF('Campaign Data'!$G28="",Settings!$B$8,'Campaign Data'!$G28))</f>
        <v/>
      </c>
      <c r="F28" s="27" t="str">
        <f aca="false">IF($A28="","",IF('Campaign Data'!$H28="",Settings!$B$7,'Campaign Data'!$H28))</f>
        <v/>
      </c>
      <c r="G28" s="11" t="str">
        <f aca="false">IF($A28="","",N('Campaign Data'!$E28)*(1-$E28))</f>
        <v/>
      </c>
      <c r="H28" s="12" t="str">
        <f aca="false">IF($A28="","",IF(SUMPRODUCT((Tests!$A$6:$A$20=$A28)*(Tests!$D$6:$D$20&gt;0))&gt;0,INDEX(Tests!$F$6:$F$20,MATCH($A28,Tests!$A$6:$A$20,0)),IFERROR(INDEX(Settings!$B$17:$B$25,MATCH($B28,Settings!$A$17:$A$25,0)),0.5)))</f>
        <v/>
      </c>
      <c r="I28" s="9" t="str">
        <f aca="false">IF($A28="","",IF(SUMPRODUCT((Tests!$A$6:$A$20=$A28)*(Tests!$D$6:$D$20&gt;0))&gt;0,"Measured","Assumed"))</f>
        <v/>
      </c>
      <c r="J28" s="28" t="str">
        <f aca="false">IF($A28="","",$G28*$H28)</f>
        <v/>
      </c>
      <c r="K28" s="29" t="str">
        <f aca="false">IF($A28="","",N('Campaign Data'!$D28)*$H28)</f>
        <v/>
      </c>
      <c r="L28" s="11" t="str">
        <f aca="false">IF($A28="","",$J28*$F28-$K28*Settings!$B$9-N('Campaign Data'!$E28)*$E28*$H28*Settings!$B$10)</f>
        <v/>
      </c>
      <c r="M28" s="28" t="str">
        <f aca="false">IF($A28="","",$L28-$C28)</f>
        <v/>
      </c>
      <c r="N28" s="30" t="str">
        <f aca="false">IF($A28="","",IFERROR($L28/$C28,0))</f>
        <v/>
      </c>
      <c r="O28" s="12" t="str">
        <f aca="false">IF($A28="","",IFERROR(INDEX(Settings!$C$17:$C$25,MATCH($B28,Settings!$A$17:$A$25,0)),0.7))</f>
        <v/>
      </c>
      <c r="P28" s="30" t="str">
        <f aca="false">IF($A28="","",$N28*$O28)</f>
        <v/>
      </c>
      <c r="Q28" s="29" t="str">
        <f aca="false">IF($A28="","",N('Campaign Data'!$F28)*$H28)</f>
        <v/>
      </c>
      <c r="R28" s="30" t="str">
        <f aca="false">IF($A28="","",IFERROR($C28/$Q28,0))</f>
        <v/>
      </c>
      <c r="S28" s="26" t="str">
        <f aca="false">IF($A28="","",IFERROR(($L28/$K28)/$R28,0))</f>
        <v/>
      </c>
      <c r="T28" s="31" t="str">
        <f aca="false">IF($A28="","",IFERROR($C28/SUM($C$6:$C$45),0))</f>
        <v/>
      </c>
      <c r="U28" s="28" t="str">
        <f aca="false">IF($A28="","",IF(OR($C28&lt;=0,$P28&lt;=0,$O28&gt;=1),0,$C28*$P28^(1/(1-$O28))))</f>
        <v/>
      </c>
      <c r="V28" s="9" t="str">
        <f aca="false">IF($A28="","",IF(AND($I28="Assumed",$T28&gt;Settings!$B$12,OR(IF($C28&lt;=0,"No spend",IF($N28&lt;1,"Cut",IF($P28&lt;1,"Trim",IF($P28&gt;=Settings!$B$11,"Scale","Hold"))))="Cut",IF($C28&lt;=0,"No spend",IF($N28&lt;1,"Cut",IF($P28&lt;1,"Trim",IF($P28&gt;=Settings!$B$11,"Scale","Hold"))))="Trim",IF($C28&lt;=0,"No spend",IF($N28&lt;1,"Cut",IF($P28&lt;1,"Trim",IF($P28&gt;=Settings!$B$11,"Scale","Hold"))))="Scale")),"Test before you "&amp;LOWER(IF($C28&lt;=0,"No spend",IF($N28&lt;1,"Cut",IF($P28&lt;1,"Trim",IF($P28&gt;=Settings!$B$11,"Scale","Hold"))))),IF($C28&lt;=0,"No spend",IF($N28&lt;1,"Cut",IF($P28&lt;1,"Trim",IF($P28&gt;=Settings!$B$11,"Scale","Hold"))))))</f>
        <v/>
      </c>
      <c r="W28" s="32" t="str">
        <f aca="false">IF($A28="","",IF($V28="Cut","Stop it or cut it hard: even the average pound returns "&amp;TEXT($N28,"£0.00")&amp;".",IF($V28="Trim","Reduce spend towards "&amp;TEXT($U28,"£#,##0")&amp;": it pays on average, but the last pound returns "&amp;TEXT($P28,"£0.00")&amp;".",IF($V28="Scale","Add spend in steps towards "&amp;TEXT($U28,"£#,##0")&amp;", measuring each step: the last pound still returns "&amp;TEXT($P28,"£0.00")&amp;".",IF($V28="Hold","Hold: the last pound returns "&amp;TEXT($P28,"£0.00")&amp;", close to what it costs.",IF(LEFT($V28,4)="Test","Run a holdout before moving it: "&amp;TEXT($C28,"£#,##0")&amp;" rests on an assumed factor of "&amp;TEXT($H28,"0.00")&amp;".",""))))))</f>
        <v/>
      </c>
      <c r="X28" s="33" t="str">
        <f aca="false">IF($A28="","",IF($C28&lt;=0,"",COUNTIFS($P$6:$P$45,"&lt;"&amp;$P28,$C$6:$C$45,"&gt;0")+COUNTIFS($P$6:$P28,$P28,$C$6:$C28,"&gt;0")))</f>
        <v/>
      </c>
    </row>
    <row r="29" customFormat="false" ht="15" hidden="false" customHeight="false" outlineLevel="0" collapsed="false">
      <c r="A29" s="9" t="str">
        <f aca="false">IF('Campaign Data'!$A29="","",'Campaign Data'!$A29)</f>
        <v/>
      </c>
      <c r="B29" s="9" t="str">
        <f aca="false">IF($A29="","",IF('Campaign Data'!$B29="","Other",'Campaign Data'!$B29))</f>
        <v/>
      </c>
      <c r="C29" s="11" t="str">
        <f aca="false">IF($A29="","",MAX(0,N('Campaign Data'!$C29)))</f>
        <v/>
      </c>
      <c r="D29" s="12" t="str">
        <f aca="false">IF($A29="","",IFERROR('Campaign Data'!$E29/$C29,0))</f>
        <v/>
      </c>
      <c r="E29" s="27" t="str">
        <f aca="false">IF($A29="","",IF('Campaign Data'!$G29="",Settings!$B$8,'Campaign Data'!$G29))</f>
        <v/>
      </c>
      <c r="F29" s="27" t="str">
        <f aca="false">IF($A29="","",IF('Campaign Data'!$H29="",Settings!$B$7,'Campaign Data'!$H29))</f>
        <v/>
      </c>
      <c r="G29" s="11" t="str">
        <f aca="false">IF($A29="","",N('Campaign Data'!$E29)*(1-$E29))</f>
        <v/>
      </c>
      <c r="H29" s="12" t="str">
        <f aca="false">IF($A29="","",IF(SUMPRODUCT((Tests!$A$6:$A$20=$A29)*(Tests!$D$6:$D$20&gt;0))&gt;0,INDEX(Tests!$F$6:$F$20,MATCH($A29,Tests!$A$6:$A$20,0)),IFERROR(INDEX(Settings!$B$17:$B$25,MATCH($B29,Settings!$A$17:$A$25,0)),0.5)))</f>
        <v/>
      </c>
      <c r="I29" s="9" t="str">
        <f aca="false">IF($A29="","",IF(SUMPRODUCT((Tests!$A$6:$A$20=$A29)*(Tests!$D$6:$D$20&gt;0))&gt;0,"Measured","Assumed"))</f>
        <v/>
      </c>
      <c r="J29" s="28" t="str">
        <f aca="false">IF($A29="","",$G29*$H29)</f>
        <v/>
      </c>
      <c r="K29" s="29" t="str">
        <f aca="false">IF($A29="","",N('Campaign Data'!$D29)*$H29)</f>
        <v/>
      </c>
      <c r="L29" s="11" t="str">
        <f aca="false">IF($A29="","",$J29*$F29-$K29*Settings!$B$9-N('Campaign Data'!$E29)*$E29*$H29*Settings!$B$10)</f>
        <v/>
      </c>
      <c r="M29" s="28" t="str">
        <f aca="false">IF($A29="","",$L29-$C29)</f>
        <v/>
      </c>
      <c r="N29" s="30" t="str">
        <f aca="false">IF($A29="","",IFERROR($L29/$C29,0))</f>
        <v/>
      </c>
      <c r="O29" s="12" t="str">
        <f aca="false">IF($A29="","",IFERROR(INDEX(Settings!$C$17:$C$25,MATCH($B29,Settings!$A$17:$A$25,0)),0.7))</f>
        <v/>
      </c>
      <c r="P29" s="30" t="str">
        <f aca="false">IF($A29="","",$N29*$O29)</f>
        <v/>
      </c>
      <c r="Q29" s="29" t="str">
        <f aca="false">IF($A29="","",N('Campaign Data'!$F29)*$H29)</f>
        <v/>
      </c>
      <c r="R29" s="30" t="str">
        <f aca="false">IF($A29="","",IFERROR($C29/$Q29,0))</f>
        <v/>
      </c>
      <c r="S29" s="26" t="str">
        <f aca="false">IF($A29="","",IFERROR(($L29/$K29)/$R29,0))</f>
        <v/>
      </c>
      <c r="T29" s="31" t="str">
        <f aca="false">IF($A29="","",IFERROR($C29/SUM($C$6:$C$45),0))</f>
        <v/>
      </c>
      <c r="U29" s="28" t="str">
        <f aca="false">IF($A29="","",IF(OR($C29&lt;=0,$P29&lt;=0,$O29&gt;=1),0,$C29*$P29^(1/(1-$O29))))</f>
        <v/>
      </c>
      <c r="V29" s="9" t="str">
        <f aca="false">IF($A29="","",IF(AND($I29="Assumed",$T29&gt;Settings!$B$12,OR(IF($C29&lt;=0,"No spend",IF($N29&lt;1,"Cut",IF($P29&lt;1,"Trim",IF($P29&gt;=Settings!$B$11,"Scale","Hold"))))="Cut",IF($C29&lt;=0,"No spend",IF($N29&lt;1,"Cut",IF($P29&lt;1,"Trim",IF($P29&gt;=Settings!$B$11,"Scale","Hold"))))="Trim",IF($C29&lt;=0,"No spend",IF($N29&lt;1,"Cut",IF($P29&lt;1,"Trim",IF($P29&gt;=Settings!$B$11,"Scale","Hold"))))="Scale")),"Test before you "&amp;LOWER(IF($C29&lt;=0,"No spend",IF($N29&lt;1,"Cut",IF($P29&lt;1,"Trim",IF($P29&gt;=Settings!$B$11,"Scale","Hold"))))),IF($C29&lt;=0,"No spend",IF($N29&lt;1,"Cut",IF($P29&lt;1,"Trim",IF($P29&gt;=Settings!$B$11,"Scale","Hold"))))))</f>
        <v/>
      </c>
      <c r="W29" s="32" t="str">
        <f aca="false">IF($A29="","",IF($V29="Cut","Stop it or cut it hard: even the average pound returns "&amp;TEXT($N29,"£0.00")&amp;".",IF($V29="Trim","Reduce spend towards "&amp;TEXT($U29,"£#,##0")&amp;": it pays on average, but the last pound returns "&amp;TEXT($P29,"£0.00")&amp;".",IF($V29="Scale","Add spend in steps towards "&amp;TEXT($U29,"£#,##0")&amp;", measuring each step: the last pound still returns "&amp;TEXT($P29,"£0.00")&amp;".",IF($V29="Hold","Hold: the last pound returns "&amp;TEXT($P29,"£0.00")&amp;", close to what it costs.",IF(LEFT($V29,4)="Test","Run a holdout before moving it: "&amp;TEXT($C29,"£#,##0")&amp;" rests on an assumed factor of "&amp;TEXT($H29,"0.00")&amp;".",""))))))</f>
        <v/>
      </c>
      <c r="X29" s="33" t="str">
        <f aca="false">IF($A29="","",IF($C29&lt;=0,"",COUNTIFS($P$6:$P$45,"&lt;"&amp;$P29,$C$6:$C$45,"&gt;0")+COUNTIFS($P$6:$P29,$P29,$C$6:$C29,"&gt;0")))</f>
        <v/>
      </c>
    </row>
    <row r="30" customFormat="false" ht="15" hidden="false" customHeight="false" outlineLevel="0" collapsed="false">
      <c r="A30" s="9" t="str">
        <f aca="false">IF('Campaign Data'!$A30="","",'Campaign Data'!$A30)</f>
        <v/>
      </c>
      <c r="B30" s="9" t="str">
        <f aca="false">IF($A30="","",IF('Campaign Data'!$B30="","Other",'Campaign Data'!$B30))</f>
        <v/>
      </c>
      <c r="C30" s="11" t="str">
        <f aca="false">IF($A30="","",MAX(0,N('Campaign Data'!$C30)))</f>
        <v/>
      </c>
      <c r="D30" s="12" t="str">
        <f aca="false">IF($A30="","",IFERROR('Campaign Data'!$E30/$C30,0))</f>
        <v/>
      </c>
      <c r="E30" s="27" t="str">
        <f aca="false">IF($A30="","",IF('Campaign Data'!$G30="",Settings!$B$8,'Campaign Data'!$G30))</f>
        <v/>
      </c>
      <c r="F30" s="27" t="str">
        <f aca="false">IF($A30="","",IF('Campaign Data'!$H30="",Settings!$B$7,'Campaign Data'!$H30))</f>
        <v/>
      </c>
      <c r="G30" s="11" t="str">
        <f aca="false">IF($A30="","",N('Campaign Data'!$E30)*(1-$E30))</f>
        <v/>
      </c>
      <c r="H30" s="12" t="str">
        <f aca="false">IF($A30="","",IF(SUMPRODUCT((Tests!$A$6:$A$20=$A30)*(Tests!$D$6:$D$20&gt;0))&gt;0,INDEX(Tests!$F$6:$F$20,MATCH($A30,Tests!$A$6:$A$20,0)),IFERROR(INDEX(Settings!$B$17:$B$25,MATCH($B30,Settings!$A$17:$A$25,0)),0.5)))</f>
        <v/>
      </c>
      <c r="I30" s="9" t="str">
        <f aca="false">IF($A30="","",IF(SUMPRODUCT((Tests!$A$6:$A$20=$A30)*(Tests!$D$6:$D$20&gt;0))&gt;0,"Measured","Assumed"))</f>
        <v/>
      </c>
      <c r="J30" s="28" t="str">
        <f aca="false">IF($A30="","",$G30*$H30)</f>
        <v/>
      </c>
      <c r="K30" s="29" t="str">
        <f aca="false">IF($A30="","",N('Campaign Data'!$D30)*$H30)</f>
        <v/>
      </c>
      <c r="L30" s="11" t="str">
        <f aca="false">IF($A30="","",$J30*$F30-$K30*Settings!$B$9-N('Campaign Data'!$E30)*$E30*$H30*Settings!$B$10)</f>
        <v/>
      </c>
      <c r="M30" s="28" t="str">
        <f aca="false">IF($A30="","",$L30-$C30)</f>
        <v/>
      </c>
      <c r="N30" s="30" t="str">
        <f aca="false">IF($A30="","",IFERROR($L30/$C30,0))</f>
        <v/>
      </c>
      <c r="O30" s="12" t="str">
        <f aca="false">IF($A30="","",IFERROR(INDEX(Settings!$C$17:$C$25,MATCH($B30,Settings!$A$17:$A$25,0)),0.7))</f>
        <v/>
      </c>
      <c r="P30" s="30" t="str">
        <f aca="false">IF($A30="","",$N30*$O30)</f>
        <v/>
      </c>
      <c r="Q30" s="29" t="str">
        <f aca="false">IF($A30="","",N('Campaign Data'!$F30)*$H30)</f>
        <v/>
      </c>
      <c r="R30" s="30" t="str">
        <f aca="false">IF($A30="","",IFERROR($C30/$Q30,0))</f>
        <v/>
      </c>
      <c r="S30" s="26" t="str">
        <f aca="false">IF($A30="","",IFERROR(($L30/$K30)/$R30,0))</f>
        <v/>
      </c>
      <c r="T30" s="31" t="str">
        <f aca="false">IF($A30="","",IFERROR($C30/SUM($C$6:$C$45),0))</f>
        <v/>
      </c>
      <c r="U30" s="28" t="str">
        <f aca="false">IF($A30="","",IF(OR($C30&lt;=0,$P30&lt;=0,$O30&gt;=1),0,$C30*$P30^(1/(1-$O30))))</f>
        <v/>
      </c>
      <c r="V30" s="9" t="str">
        <f aca="false">IF($A30="","",IF(AND($I30="Assumed",$T30&gt;Settings!$B$12,OR(IF($C30&lt;=0,"No spend",IF($N30&lt;1,"Cut",IF($P30&lt;1,"Trim",IF($P30&gt;=Settings!$B$11,"Scale","Hold"))))="Cut",IF($C30&lt;=0,"No spend",IF($N30&lt;1,"Cut",IF($P30&lt;1,"Trim",IF($P30&gt;=Settings!$B$11,"Scale","Hold"))))="Trim",IF($C30&lt;=0,"No spend",IF($N30&lt;1,"Cut",IF($P30&lt;1,"Trim",IF($P30&gt;=Settings!$B$11,"Scale","Hold"))))="Scale")),"Test before you "&amp;LOWER(IF($C30&lt;=0,"No spend",IF($N30&lt;1,"Cut",IF($P30&lt;1,"Trim",IF($P30&gt;=Settings!$B$11,"Scale","Hold"))))),IF($C30&lt;=0,"No spend",IF($N30&lt;1,"Cut",IF($P30&lt;1,"Trim",IF($P30&gt;=Settings!$B$11,"Scale","Hold"))))))</f>
        <v/>
      </c>
      <c r="W30" s="32" t="str">
        <f aca="false">IF($A30="","",IF($V30="Cut","Stop it or cut it hard: even the average pound returns "&amp;TEXT($N30,"£0.00")&amp;".",IF($V30="Trim","Reduce spend towards "&amp;TEXT($U30,"£#,##0")&amp;": it pays on average, but the last pound returns "&amp;TEXT($P30,"£0.00")&amp;".",IF($V30="Scale","Add spend in steps towards "&amp;TEXT($U30,"£#,##0")&amp;", measuring each step: the last pound still returns "&amp;TEXT($P30,"£0.00")&amp;".",IF($V30="Hold","Hold: the last pound returns "&amp;TEXT($P30,"£0.00")&amp;", close to what it costs.",IF(LEFT($V30,4)="Test","Run a holdout before moving it: "&amp;TEXT($C30,"£#,##0")&amp;" rests on an assumed factor of "&amp;TEXT($H30,"0.00")&amp;".",""))))))</f>
        <v/>
      </c>
      <c r="X30" s="33" t="str">
        <f aca="false">IF($A30="","",IF($C30&lt;=0,"",COUNTIFS($P$6:$P$45,"&lt;"&amp;$P30,$C$6:$C$45,"&gt;0")+COUNTIFS($P$6:$P30,$P30,$C$6:$C30,"&gt;0")))</f>
        <v/>
      </c>
    </row>
    <row r="31" customFormat="false" ht="15" hidden="false" customHeight="false" outlineLevel="0" collapsed="false">
      <c r="A31" s="9" t="str">
        <f aca="false">IF('Campaign Data'!$A31="","",'Campaign Data'!$A31)</f>
        <v/>
      </c>
      <c r="B31" s="9" t="str">
        <f aca="false">IF($A31="","",IF('Campaign Data'!$B31="","Other",'Campaign Data'!$B31))</f>
        <v/>
      </c>
      <c r="C31" s="11" t="str">
        <f aca="false">IF($A31="","",MAX(0,N('Campaign Data'!$C31)))</f>
        <v/>
      </c>
      <c r="D31" s="12" t="str">
        <f aca="false">IF($A31="","",IFERROR('Campaign Data'!$E31/$C31,0))</f>
        <v/>
      </c>
      <c r="E31" s="27" t="str">
        <f aca="false">IF($A31="","",IF('Campaign Data'!$G31="",Settings!$B$8,'Campaign Data'!$G31))</f>
        <v/>
      </c>
      <c r="F31" s="27" t="str">
        <f aca="false">IF($A31="","",IF('Campaign Data'!$H31="",Settings!$B$7,'Campaign Data'!$H31))</f>
        <v/>
      </c>
      <c r="G31" s="11" t="str">
        <f aca="false">IF($A31="","",N('Campaign Data'!$E31)*(1-$E31))</f>
        <v/>
      </c>
      <c r="H31" s="12" t="str">
        <f aca="false">IF($A31="","",IF(SUMPRODUCT((Tests!$A$6:$A$20=$A31)*(Tests!$D$6:$D$20&gt;0))&gt;0,INDEX(Tests!$F$6:$F$20,MATCH($A31,Tests!$A$6:$A$20,0)),IFERROR(INDEX(Settings!$B$17:$B$25,MATCH($B31,Settings!$A$17:$A$25,0)),0.5)))</f>
        <v/>
      </c>
      <c r="I31" s="9" t="str">
        <f aca="false">IF($A31="","",IF(SUMPRODUCT((Tests!$A$6:$A$20=$A31)*(Tests!$D$6:$D$20&gt;0))&gt;0,"Measured","Assumed"))</f>
        <v/>
      </c>
      <c r="J31" s="28" t="str">
        <f aca="false">IF($A31="","",$G31*$H31)</f>
        <v/>
      </c>
      <c r="K31" s="29" t="str">
        <f aca="false">IF($A31="","",N('Campaign Data'!$D31)*$H31)</f>
        <v/>
      </c>
      <c r="L31" s="11" t="str">
        <f aca="false">IF($A31="","",$J31*$F31-$K31*Settings!$B$9-N('Campaign Data'!$E31)*$E31*$H31*Settings!$B$10)</f>
        <v/>
      </c>
      <c r="M31" s="28" t="str">
        <f aca="false">IF($A31="","",$L31-$C31)</f>
        <v/>
      </c>
      <c r="N31" s="30" t="str">
        <f aca="false">IF($A31="","",IFERROR($L31/$C31,0))</f>
        <v/>
      </c>
      <c r="O31" s="12" t="str">
        <f aca="false">IF($A31="","",IFERROR(INDEX(Settings!$C$17:$C$25,MATCH($B31,Settings!$A$17:$A$25,0)),0.7))</f>
        <v/>
      </c>
      <c r="P31" s="30" t="str">
        <f aca="false">IF($A31="","",$N31*$O31)</f>
        <v/>
      </c>
      <c r="Q31" s="29" t="str">
        <f aca="false">IF($A31="","",N('Campaign Data'!$F31)*$H31)</f>
        <v/>
      </c>
      <c r="R31" s="30" t="str">
        <f aca="false">IF($A31="","",IFERROR($C31/$Q31,0))</f>
        <v/>
      </c>
      <c r="S31" s="26" t="str">
        <f aca="false">IF($A31="","",IFERROR(($L31/$K31)/$R31,0))</f>
        <v/>
      </c>
      <c r="T31" s="31" t="str">
        <f aca="false">IF($A31="","",IFERROR($C31/SUM($C$6:$C$45),0))</f>
        <v/>
      </c>
      <c r="U31" s="28" t="str">
        <f aca="false">IF($A31="","",IF(OR($C31&lt;=0,$P31&lt;=0,$O31&gt;=1),0,$C31*$P31^(1/(1-$O31))))</f>
        <v/>
      </c>
      <c r="V31" s="9" t="str">
        <f aca="false">IF($A31="","",IF(AND($I31="Assumed",$T31&gt;Settings!$B$12,OR(IF($C31&lt;=0,"No spend",IF($N31&lt;1,"Cut",IF($P31&lt;1,"Trim",IF($P31&gt;=Settings!$B$11,"Scale","Hold"))))="Cut",IF($C31&lt;=0,"No spend",IF($N31&lt;1,"Cut",IF($P31&lt;1,"Trim",IF($P31&gt;=Settings!$B$11,"Scale","Hold"))))="Trim",IF($C31&lt;=0,"No spend",IF($N31&lt;1,"Cut",IF($P31&lt;1,"Trim",IF($P31&gt;=Settings!$B$11,"Scale","Hold"))))="Scale")),"Test before you "&amp;LOWER(IF($C31&lt;=0,"No spend",IF($N31&lt;1,"Cut",IF($P31&lt;1,"Trim",IF($P31&gt;=Settings!$B$11,"Scale","Hold"))))),IF($C31&lt;=0,"No spend",IF($N31&lt;1,"Cut",IF($P31&lt;1,"Trim",IF($P31&gt;=Settings!$B$11,"Scale","Hold"))))))</f>
        <v/>
      </c>
      <c r="W31" s="32" t="str">
        <f aca="false">IF($A31="","",IF($V31="Cut","Stop it or cut it hard: even the average pound returns "&amp;TEXT($N31,"£0.00")&amp;".",IF($V31="Trim","Reduce spend towards "&amp;TEXT($U31,"£#,##0")&amp;": it pays on average, but the last pound returns "&amp;TEXT($P31,"£0.00")&amp;".",IF($V31="Scale","Add spend in steps towards "&amp;TEXT($U31,"£#,##0")&amp;", measuring each step: the last pound still returns "&amp;TEXT($P31,"£0.00")&amp;".",IF($V31="Hold","Hold: the last pound returns "&amp;TEXT($P31,"£0.00")&amp;", close to what it costs.",IF(LEFT($V31,4)="Test","Run a holdout before moving it: "&amp;TEXT($C31,"£#,##0")&amp;" rests on an assumed factor of "&amp;TEXT($H31,"0.00")&amp;".",""))))))</f>
        <v/>
      </c>
      <c r="X31" s="33" t="str">
        <f aca="false">IF($A31="","",IF($C31&lt;=0,"",COUNTIFS($P$6:$P$45,"&lt;"&amp;$P31,$C$6:$C$45,"&gt;0")+COUNTIFS($P$6:$P31,$P31,$C$6:$C31,"&gt;0")))</f>
        <v/>
      </c>
    </row>
    <row r="32" customFormat="false" ht="15" hidden="false" customHeight="false" outlineLevel="0" collapsed="false">
      <c r="A32" s="9" t="str">
        <f aca="false">IF('Campaign Data'!$A32="","",'Campaign Data'!$A32)</f>
        <v/>
      </c>
      <c r="B32" s="9" t="str">
        <f aca="false">IF($A32="","",IF('Campaign Data'!$B32="","Other",'Campaign Data'!$B32))</f>
        <v/>
      </c>
      <c r="C32" s="11" t="str">
        <f aca="false">IF($A32="","",MAX(0,N('Campaign Data'!$C32)))</f>
        <v/>
      </c>
      <c r="D32" s="12" t="str">
        <f aca="false">IF($A32="","",IFERROR('Campaign Data'!$E32/$C32,0))</f>
        <v/>
      </c>
      <c r="E32" s="27" t="str">
        <f aca="false">IF($A32="","",IF('Campaign Data'!$G32="",Settings!$B$8,'Campaign Data'!$G32))</f>
        <v/>
      </c>
      <c r="F32" s="27" t="str">
        <f aca="false">IF($A32="","",IF('Campaign Data'!$H32="",Settings!$B$7,'Campaign Data'!$H32))</f>
        <v/>
      </c>
      <c r="G32" s="11" t="str">
        <f aca="false">IF($A32="","",N('Campaign Data'!$E32)*(1-$E32))</f>
        <v/>
      </c>
      <c r="H32" s="12" t="str">
        <f aca="false">IF($A32="","",IF(SUMPRODUCT((Tests!$A$6:$A$20=$A32)*(Tests!$D$6:$D$20&gt;0))&gt;0,INDEX(Tests!$F$6:$F$20,MATCH($A32,Tests!$A$6:$A$20,0)),IFERROR(INDEX(Settings!$B$17:$B$25,MATCH($B32,Settings!$A$17:$A$25,0)),0.5)))</f>
        <v/>
      </c>
      <c r="I32" s="9" t="str">
        <f aca="false">IF($A32="","",IF(SUMPRODUCT((Tests!$A$6:$A$20=$A32)*(Tests!$D$6:$D$20&gt;0))&gt;0,"Measured","Assumed"))</f>
        <v/>
      </c>
      <c r="J32" s="28" t="str">
        <f aca="false">IF($A32="","",$G32*$H32)</f>
        <v/>
      </c>
      <c r="K32" s="29" t="str">
        <f aca="false">IF($A32="","",N('Campaign Data'!$D32)*$H32)</f>
        <v/>
      </c>
      <c r="L32" s="11" t="str">
        <f aca="false">IF($A32="","",$J32*$F32-$K32*Settings!$B$9-N('Campaign Data'!$E32)*$E32*$H32*Settings!$B$10)</f>
        <v/>
      </c>
      <c r="M32" s="28" t="str">
        <f aca="false">IF($A32="","",$L32-$C32)</f>
        <v/>
      </c>
      <c r="N32" s="30" t="str">
        <f aca="false">IF($A32="","",IFERROR($L32/$C32,0))</f>
        <v/>
      </c>
      <c r="O32" s="12" t="str">
        <f aca="false">IF($A32="","",IFERROR(INDEX(Settings!$C$17:$C$25,MATCH($B32,Settings!$A$17:$A$25,0)),0.7))</f>
        <v/>
      </c>
      <c r="P32" s="30" t="str">
        <f aca="false">IF($A32="","",$N32*$O32)</f>
        <v/>
      </c>
      <c r="Q32" s="29" t="str">
        <f aca="false">IF($A32="","",N('Campaign Data'!$F32)*$H32)</f>
        <v/>
      </c>
      <c r="R32" s="30" t="str">
        <f aca="false">IF($A32="","",IFERROR($C32/$Q32,0))</f>
        <v/>
      </c>
      <c r="S32" s="26" t="str">
        <f aca="false">IF($A32="","",IFERROR(($L32/$K32)/$R32,0))</f>
        <v/>
      </c>
      <c r="T32" s="31" t="str">
        <f aca="false">IF($A32="","",IFERROR($C32/SUM($C$6:$C$45),0))</f>
        <v/>
      </c>
      <c r="U32" s="28" t="str">
        <f aca="false">IF($A32="","",IF(OR($C32&lt;=0,$P32&lt;=0,$O32&gt;=1),0,$C32*$P32^(1/(1-$O32))))</f>
        <v/>
      </c>
      <c r="V32" s="9" t="str">
        <f aca="false">IF($A32="","",IF(AND($I32="Assumed",$T32&gt;Settings!$B$12,OR(IF($C32&lt;=0,"No spend",IF($N32&lt;1,"Cut",IF($P32&lt;1,"Trim",IF($P32&gt;=Settings!$B$11,"Scale","Hold"))))="Cut",IF($C32&lt;=0,"No spend",IF($N32&lt;1,"Cut",IF($P32&lt;1,"Trim",IF($P32&gt;=Settings!$B$11,"Scale","Hold"))))="Trim",IF($C32&lt;=0,"No spend",IF($N32&lt;1,"Cut",IF($P32&lt;1,"Trim",IF($P32&gt;=Settings!$B$11,"Scale","Hold"))))="Scale")),"Test before you "&amp;LOWER(IF($C32&lt;=0,"No spend",IF($N32&lt;1,"Cut",IF($P32&lt;1,"Trim",IF($P32&gt;=Settings!$B$11,"Scale","Hold"))))),IF($C32&lt;=0,"No spend",IF($N32&lt;1,"Cut",IF($P32&lt;1,"Trim",IF($P32&gt;=Settings!$B$11,"Scale","Hold"))))))</f>
        <v/>
      </c>
      <c r="W32" s="32" t="str">
        <f aca="false">IF($A32="","",IF($V32="Cut","Stop it or cut it hard: even the average pound returns "&amp;TEXT($N32,"£0.00")&amp;".",IF($V32="Trim","Reduce spend towards "&amp;TEXT($U32,"£#,##0")&amp;": it pays on average, but the last pound returns "&amp;TEXT($P32,"£0.00")&amp;".",IF($V32="Scale","Add spend in steps towards "&amp;TEXT($U32,"£#,##0")&amp;", measuring each step: the last pound still returns "&amp;TEXT($P32,"£0.00")&amp;".",IF($V32="Hold","Hold: the last pound returns "&amp;TEXT($P32,"£0.00")&amp;", close to what it costs.",IF(LEFT($V32,4)="Test","Run a holdout before moving it: "&amp;TEXT($C32,"£#,##0")&amp;" rests on an assumed factor of "&amp;TEXT($H32,"0.00")&amp;".",""))))))</f>
        <v/>
      </c>
      <c r="X32" s="33" t="str">
        <f aca="false">IF($A32="","",IF($C32&lt;=0,"",COUNTIFS($P$6:$P$45,"&lt;"&amp;$P32,$C$6:$C$45,"&gt;0")+COUNTIFS($P$6:$P32,$P32,$C$6:$C32,"&gt;0")))</f>
        <v/>
      </c>
    </row>
    <row r="33" customFormat="false" ht="15" hidden="false" customHeight="false" outlineLevel="0" collapsed="false">
      <c r="A33" s="9" t="str">
        <f aca="false">IF('Campaign Data'!$A33="","",'Campaign Data'!$A33)</f>
        <v/>
      </c>
      <c r="B33" s="9" t="str">
        <f aca="false">IF($A33="","",IF('Campaign Data'!$B33="","Other",'Campaign Data'!$B33))</f>
        <v/>
      </c>
      <c r="C33" s="11" t="str">
        <f aca="false">IF($A33="","",MAX(0,N('Campaign Data'!$C33)))</f>
        <v/>
      </c>
      <c r="D33" s="12" t="str">
        <f aca="false">IF($A33="","",IFERROR('Campaign Data'!$E33/$C33,0))</f>
        <v/>
      </c>
      <c r="E33" s="27" t="str">
        <f aca="false">IF($A33="","",IF('Campaign Data'!$G33="",Settings!$B$8,'Campaign Data'!$G33))</f>
        <v/>
      </c>
      <c r="F33" s="27" t="str">
        <f aca="false">IF($A33="","",IF('Campaign Data'!$H33="",Settings!$B$7,'Campaign Data'!$H33))</f>
        <v/>
      </c>
      <c r="G33" s="11" t="str">
        <f aca="false">IF($A33="","",N('Campaign Data'!$E33)*(1-$E33))</f>
        <v/>
      </c>
      <c r="H33" s="12" t="str">
        <f aca="false">IF($A33="","",IF(SUMPRODUCT((Tests!$A$6:$A$20=$A33)*(Tests!$D$6:$D$20&gt;0))&gt;0,INDEX(Tests!$F$6:$F$20,MATCH($A33,Tests!$A$6:$A$20,0)),IFERROR(INDEX(Settings!$B$17:$B$25,MATCH($B33,Settings!$A$17:$A$25,0)),0.5)))</f>
        <v/>
      </c>
      <c r="I33" s="9" t="str">
        <f aca="false">IF($A33="","",IF(SUMPRODUCT((Tests!$A$6:$A$20=$A33)*(Tests!$D$6:$D$20&gt;0))&gt;0,"Measured","Assumed"))</f>
        <v/>
      </c>
      <c r="J33" s="28" t="str">
        <f aca="false">IF($A33="","",$G33*$H33)</f>
        <v/>
      </c>
      <c r="K33" s="29" t="str">
        <f aca="false">IF($A33="","",N('Campaign Data'!$D33)*$H33)</f>
        <v/>
      </c>
      <c r="L33" s="11" t="str">
        <f aca="false">IF($A33="","",$J33*$F33-$K33*Settings!$B$9-N('Campaign Data'!$E33)*$E33*$H33*Settings!$B$10)</f>
        <v/>
      </c>
      <c r="M33" s="28" t="str">
        <f aca="false">IF($A33="","",$L33-$C33)</f>
        <v/>
      </c>
      <c r="N33" s="30" t="str">
        <f aca="false">IF($A33="","",IFERROR($L33/$C33,0))</f>
        <v/>
      </c>
      <c r="O33" s="12" t="str">
        <f aca="false">IF($A33="","",IFERROR(INDEX(Settings!$C$17:$C$25,MATCH($B33,Settings!$A$17:$A$25,0)),0.7))</f>
        <v/>
      </c>
      <c r="P33" s="30" t="str">
        <f aca="false">IF($A33="","",$N33*$O33)</f>
        <v/>
      </c>
      <c r="Q33" s="29" t="str">
        <f aca="false">IF($A33="","",N('Campaign Data'!$F33)*$H33)</f>
        <v/>
      </c>
      <c r="R33" s="30" t="str">
        <f aca="false">IF($A33="","",IFERROR($C33/$Q33,0))</f>
        <v/>
      </c>
      <c r="S33" s="26" t="str">
        <f aca="false">IF($A33="","",IFERROR(($L33/$K33)/$R33,0))</f>
        <v/>
      </c>
      <c r="T33" s="31" t="str">
        <f aca="false">IF($A33="","",IFERROR($C33/SUM($C$6:$C$45),0))</f>
        <v/>
      </c>
      <c r="U33" s="28" t="str">
        <f aca="false">IF($A33="","",IF(OR($C33&lt;=0,$P33&lt;=0,$O33&gt;=1),0,$C33*$P33^(1/(1-$O33))))</f>
        <v/>
      </c>
      <c r="V33" s="9" t="str">
        <f aca="false">IF($A33="","",IF(AND($I33="Assumed",$T33&gt;Settings!$B$12,OR(IF($C33&lt;=0,"No spend",IF($N33&lt;1,"Cut",IF($P33&lt;1,"Trim",IF($P33&gt;=Settings!$B$11,"Scale","Hold"))))="Cut",IF($C33&lt;=0,"No spend",IF($N33&lt;1,"Cut",IF($P33&lt;1,"Trim",IF($P33&gt;=Settings!$B$11,"Scale","Hold"))))="Trim",IF($C33&lt;=0,"No spend",IF($N33&lt;1,"Cut",IF($P33&lt;1,"Trim",IF($P33&gt;=Settings!$B$11,"Scale","Hold"))))="Scale")),"Test before you "&amp;LOWER(IF($C33&lt;=0,"No spend",IF($N33&lt;1,"Cut",IF($P33&lt;1,"Trim",IF($P33&gt;=Settings!$B$11,"Scale","Hold"))))),IF($C33&lt;=0,"No spend",IF($N33&lt;1,"Cut",IF($P33&lt;1,"Trim",IF($P33&gt;=Settings!$B$11,"Scale","Hold"))))))</f>
        <v/>
      </c>
      <c r="W33" s="32" t="str">
        <f aca="false">IF($A33="","",IF($V33="Cut","Stop it or cut it hard: even the average pound returns "&amp;TEXT($N33,"£0.00")&amp;".",IF($V33="Trim","Reduce spend towards "&amp;TEXT($U33,"£#,##0")&amp;": it pays on average, but the last pound returns "&amp;TEXT($P33,"£0.00")&amp;".",IF($V33="Scale","Add spend in steps towards "&amp;TEXT($U33,"£#,##0")&amp;", measuring each step: the last pound still returns "&amp;TEXT($P33,"£0.00")&amp;".",IF($V33="Hold","Hold: the last pound returns "&amp;TEXT($P33,"£0.00")&amp;", close to what it costs.",IF(LEFT($V33,4)="Test","Run a holdout before moving it: "&amp;TEXT($C33,"£#,##0")&amp;" rests on an assumed factor of "&amp;TEXT($H33,"0.00")&amp;".",""))))))</f>
        <v/>
      </c>
      <c r="X33" s="33" t="str">
        <f aca="false">IF($A33="","",IF($C33&lt;=0,"",COUNTIFS($P$6:$P$45,"&lt;"&amp;$P33,$C$6:$C$45,"&gt;0")+COUNTIFS($P$6:$P33,$P33,$C$6:$C33,"&gt;0")))</f>
        <v/>
      </c>
    </row>
    <row r="34" customFormat="false" ht="15" hidden="false" customHeight="false" outlineLevel="0" collapsed="false">
      <c r="A34" s="9" t="str">
        <f aca="false">IF('Campaign Data'!$A34="","",'Campaign Data'!$A34)</f>
        <v/>
      </c>
      <c r="B34" s="9" t="str">
        <f aca="false">IF($A34="","",IF('Campaign Data'!$B34="","Other",'Campaign Data'!$B34))</f>
        <v/>
      </c>
      <c r="C34" s="11" t="str">
        <f aca="false">IF($A34="","",MAX(0,N('Campaign Data'!$C34)))</f>
        <v/>
      </c>
      <c r="D34" s="12" t="str">
        <f aca="false">IF($A34="","",IFERROR('Campaign Data'!$E34/$C34,0))</f>
        <v/>
      </c>
      <c r="E34" s="27" t="str">
        <f aca="false">IF($A34="","",IF('Campaign Data'!$G34="",Settings!$B$8,'Campaign Data'!$G34))</f>
        <v/>
      </c>
      <c r="F34" s="27" t="str">
        <f aca="false">IF($A34="","",IF('Campaign Data'!$H34="",Settings!$B$7,'Campaign Data'!$H34))</f>
        <v/>
      </c>
      <c r="G34" s="11" t="str">
        <f aca="false">IF($A34="","",N('Campaign Data'!$E34)*(1-$E34))</f>
        <v/>
      </c>
      <c r="H34" s="12" t="str">
        <f aca="false">IF($A34="","",IF(SUMPRODUCT((Tests!$A$6:$A$20=$A34)*(Tests!$D$6:$D$20&gt;0))&gt;0,INDEX(Tests!$F$6:$F$20,MATCH($A34,Tests!$A$6:$A$20,0)),IFERROR(INDEX(Settings!$B$17:$B$25,MATCH($B34,Settings!$A$17:$A$25,0)),0.5)))</f>
        <v/>
      </c>
      <c r="I34" s="9" t="str">
        <f aca="false">IF($A34="","",IF(SUMPRODUCT((Tests!$A$6:$A$20=$A34)*(Tests!$D$6:$D$20&gt;0))&gt;0,"Measured","Assumed"))</f>
        <v/>
      </c>
      <c r="J34" s="28" t="str">
        <f aca="false">IF($A34="","",$G34*$H34)</f>
        <v/>
      </c>
      <c r="K34" s="29" t="str">
        <f aca="false">IF($A34="","",N('Campaign Data'!$D34)*$H34)</f>
        <v/>
      </c>
      <c r="L34" s="11" t="str">
        <f aca="false">IF($A34="","",$J34*$F34-$K34*Settings!$B$9-N('Campaign Data'!$E34)*$E34*$H34*Settings!$B$10)</f>
        <v/>
      </c>
      <c r="M34" s="28" t="str">
        <f aca="false">IF($A34="","",$L34-$C34)</f>
        <v/>
      </c>
      <c r="N34" s="30" t="str">
        <f aca="false">IF($A34="","",IFERROR($L34/$C34,0))</f>
        <v/>
      </c>
      <c r="O34" s="12" t="str">
        <f aca="false">IF($A34="","",IFERROR(INDEX(Settings!$C$17:$C$25,MATCH($B34,Settings!$A$17:$A$25,0)),0.7))</f>
        <v/>
      </c>
      <c r="P34" s="30" t="str">
        <f aca="false">IF($A34="","",$N34*$O34)</f>
        <v/>
      </c>
      <c r="Q34" s="29" t="str">
        <f aca="false">IF($A34="","",N('Campaign Data'!$F34)*$H34)</f>
        <v/>
      </c>
      <c r="R34" s="30" t="str">
        <f aca="false">IF($A34="","",IFERROR($C34/$Q34,0))</f>
        <v/>
      </c>
      <c r="S34" s="26" t="str">
        <f aca="false">IF($A34="","",IFERROR(($L34/$K34)/$R34,0))</f>
        <v/>
      </c>
      <c r="T34" s="31" t="str">
        <f aca="false">IF($A34="","",IFERROR($C34/SUM($C$6:$C$45),0))</f>
        <v/>
      </c>
      <c r="U34" s="28" t="str">
        <f aca="false">IF($A34="","",IF(OR($C34&lt;=0,$P34&lt;=0,$O34&gt;=1),0,$C34*$P34^(1/(1-$O34))))</f>
        <v/>
      </c>
      <c r="V34" s="9" t="str">
        <f aca="false">IF($A34="","",IF(AND($I34="Assumed",$T34&gt;Settings!$B$12,OR(IF($C34&lt;=0,"No spend",IF($N34&lt;1,"Cut",IF($P34&lt;1,"Trim",IF($P34&gt;=Settings!$B$11,"Scale","Hold"))))="Cut",IF($C34&lt;=0,"No spend",IF($N34&lt;1,"Cut",IF($P34&lt;1,"Trim",IF($P34&gt;=Settings!$B$11,"Scale","Hold"))))="Trim",IF($C34&lt;=0,"No spend",IF($N34&lt;1,"Cut",IF($P34&lt;1,"Trim",IF($P34&gt;=Settings!$B$11,"Scale","Hold"))))="Scale")),"Test before you "&amp;LOWER(IF($C34&lt;=0,"No spend",IF($N34&lt;1,"Cut",IF($P34&lt;1,"Trim",IF($P34&gt;=Settings!$B$11,"Scale","Hold"))))),IF($C34&lt;=0,"No spend",IF($N34&lt;1,"Cut",IF($P34&lt;1,"Trim",IF($P34&gt;=Settings!$B$11,"Scale","Hold"))))))</f>
        <v/>
      </c>
      <c r="W34" s="32" t="str">
        <f aca="false">IF($A34="","",IF($V34="Cut","Stop it or cut it hard: even the average pound returns "&amp;TEXT($N34,"£0.00")&amp;".",IF($V34="Trim","Reduce spend towards "&amp;TEXT($U34,"£#,##0")&amp;": it pays on average, but the last pound returns "&amp;TEXT($P34,"£0.00")&amp;".",IF($V34="Scale","Add spend in steps towards "&amp;TEXT($U34,"£#,##0")&amp;", measuring each step: the last pound still returns "&amp;TEXT($P34,"£0.00")&amp;".",IF($V34="Hold","Hold: the last pound returns "&amp;TEXT($P34,"£0.00")&amp;", close to what it costs.",IF(LEFT($V34,4)="Test","Run a holdout before moving it: "&amp;TEXT($C34,"£#,##0")&amp;" rests on an assumed factor of "&amp;TEXT($H34,"0.00")&amp;".",""))))))</f>
        <v/>
      </c>
      <c r="X34" s="33" t="str">
        <f aca="false">IF($A34="","",IF($C34&lt;=0,"",COUNTIFS($P$6:$P$45,"&lt;"&amp;$P34,$C$6:$C$45,"&gt;0")+COUNTIFS($P$6:$P34,$P34,$C$6:$C34,"&gt;0")))</f>
        <v/>
      </c>
    </row>
    <row r="35" customFormat="false" ht="15" hidden="false" customHeight="false" outlineLevel="0" collapsed="false">
      <c r="A35" s="9" t="str">
        <f aca="false">IF('Campaign Data'!$A35="","",'Campaign Data'!$A35)</f>
        <v/>
      </c>
      <c r="B35" s="9" t="str">
        <f aca="false">IF($A35="","",IF('Campaign Data'!$B35="","Other",'Campaign Data'!$B35))</f>
        <v/>
      </c>
      <c r="C35" s="11" t="str">
        <f aca="false">IF($A35="","",MAX(0,N('Campaign Data'!$C35)))</f>
        <v/>
      </c>
      <c r="D35" s="12" t="str">
        <f aca="false">IF($A35="","",IFERROR('Campaign Data'!$E35/$C35,0))</f>
        <v/>
      </c>
      <c r="E35" s="27" t="str">
        <f aca="false">IF($A35="","",IF('Campaign Data'!$G35="",Settings!$B$8,'Campaign Data'!$G35))</f>
        <v/>
      </c>
      <c r="F35" s="27" t="str">
        <f aca="false">IF($A35="","",IF('Campaign Data'!$H35="",Settings!$B$7,'Campaign Data'!$H35))</f>
        <v/>
      </c>
      <c r="G35" s="11" t="str">
        <f aca="false">IF($A35="","",N('Campaign Data'!$E35)*(1-$E35))</f>
        <v/>
      </c>
      <c r="H35" s="12" t="str">
        <f aca="false">IF($A35="","",IF(SUMPRODUCT((Tests!$A$6:$A$20=$A35)*(Tests!$D$6:$D$20&gt;0))&gt;0,INDEX(Tests!$F$6:$F$20,MATCH($A35,Tests!$A$6:$A$20,0)),IFERROR(INDEX(Settings!$B$17:$B$25,MATCH($B35,Settings!$A$17:$A$25,0)),0.5)))</f>
        <v/>
      </c>
      <c r="I35" s="9" t="str">
        <f aca="false">IF($A35="","",IF(SUMPRODUCT((Tests!$A$6:$A$20=$A35)*(Tests!$D$6:$D$20&gt;0))&gt;0,"Measured","Assumed"))</f>
        <v/>
      </c>
      <c r="J35" s="28" t="str">
        <f aca="false">IF($A35="","",$G35*$H35)</f>
        <v/>
      </c>
      <c r="K35" s="29" t="str">
        <f aca="false">IF($A35="","",N('Campaign Data'!$D35)*$H35)</f>
        <v/>
      </c>
      <c r="L35" s="11" t="str">
        <f aca="false">IF($A35="","",$J35*$F35-$K35*Settings!$B$9-N('Campaign Data'!$E35)*$E35*$H35*Settings!$B$10)</f>
        <v/>
      </c>
      <c r="M35" s="28" t="str">
        <f aca="false">IF($A35="","",$L35-$C35)</f>
        <v/>
      </c>
      <c r="N35" s="30" t="str">
        <f aca="false">IF($A35="","",IFERROR($L35/$C35,0))</f>
        <v/>
      </c>
      <c r="O35" s="12" t="str">
        <f aca="false">IF($A35="","",IFERROR(INDEX(Settings!$C$17:$C$25,MATCH($B35,Settings!$A$17:$A$25,0)),0.7))</f>
        <v/>
      </c>
      <c r="P35" s="30" t="str">
        <f aca="false">IF($A35="","",$N35*$O35)</f>
        <v/>
      </c>
      <c r="Q35" s="29" t="str">
        <f aca="false">IF($A35="","",N('Campaign Data'!$F35)*$H35)</f>
        <v/>
      </c>
      <c r="R35" s="30" t="str">
        <f aca="false">IF($A35="","",IFERROR($C35/$Q35,0))</f>
        <v/>
      </c>
      <c r="S35" s="26" t="str">
        <f aca="false">IF($A35="","",IFERROR(($L35/$K35)/$R35,0))</f>
        <v/>
      </c>
      <c r="T35" s="31" t="str">
        <f aca="false">IF($A35="","",IFERROR($C35/SUM($C$6:$C$45),0))</f>
        <v/>
      </c>
      <c r="U35" s="28" t="str">
        <f aca="false">IF($A35="","",IF(OR($C35&lt;=0,$P35&lt;=0,$O35&gt;=1),0,$C35*$P35^(1/(1-$O35))))</f>
        <v/>
      </c>
      <c r="V35" s="9" t="str">
        <f aca="false">IF($A35="","",IF(AND($I35="Assumed",$T35&gt;Settings!$B$12,OR(IF($C35&lt;=0,"No spend",IF($N35&lt;1,"Cut",IF($P35&lt;1,"Trim",IF($P35&gt;=Settings!$B$11,"Scale","Hold"))))="Cut",IF($C35&lt;=0,"No spend",IF($N35&lt;1,"Cut",IF($P35&lt;1,"Trim",IF($P35&gt;=Settings!$B$11,"Scale","Hold"))))="Trim",IF($C35&lt;=0,"No spend",IF($N35&lt;1,"Cut",IF($P35&lt;1,"Trim",IF($P35&gt;=Settings!$B$11,"Scale","Hold"))))="Scale")),"Test before you "&amp;LOWER(IF($C35&lt;=0,"No spend",IF($N35&lt;1,"Cut",IF($P35&lt;1,"Trim",IF($P35&gt;=Settings!$B$11,"Scale","Hold"))))),IF($C35&lt;=0,"No spend",IF($N35&lt;1,"Cut",IF($P35&lt;1,"Trim",IF($P35&gt;=Settings!$B$11,"Scale","Hold"))))))</f>
        <v/>
      </c>
      <c r="W35" s="32" t="str">
        <f aca="false">IF($A35="","",IF($V35="Cut","Stop it or cut it hard: even the average pound returns "&amp;TEXT($N35,"£0.00")&amp;".",IF($V35="Trim","Reduce spend towards "&amp;TEXT($U35,"£#,##0")&amp;": it pays on average, but the last pound returns "&amp;TEXT($P35,"£0.00")&amp;".",IF($V35="Scale","Add spend in steps towards "&amp;TEXT($U35,"£#,##0")&amp;", measuring each step: the last pound still returns "&amp;TEXT($P35,"£0.00")&amp;".",IF($V35="Hold","Hold: the last pound returns "&amp;TEXT($P35,"£0.00")&amp;", close to what it costs.",IF(LEFT($V35,4)="Test","Run a holdout before moving it: "&amp;TEXT($C35,"£#,##0")&amp;" rests on an assumed factor of "&amp;TEXT($H35,"0.00")&amp;".",""))))))</f>
        <v/>
      </c>
      <c r="X35" s="33" t="str">
        <f aca="false">IF($A35="","",IF($C35&lt;=0,"",COUNTIFS($P$6:$P$45,"&lt;"&amp;$P35,$C$6:$C$45,"&gt;0")+COUNTIFS($P$6:$P35,$P35,$C$6:$C35,"&gt;0")))</f>
        <v/>
      </c>
    </row>
    <row r="36" customFormat="false" ht="15" hidden="false" customHeight="false" outlineLevel="0" collapsed="false">
      <c r="A36" s="9" t="str">
        <f aca="false">IF('Campaign Data'!$A36="","",'Campaign Data'!$A36)</f>
        <v/>
      </c>
      <c r="B36" s="9" t="str">
        <f aca="false">IF($A36="","",IF('Campaign Data'!$B36="","Other",'Campaign Data'!$B36))</f>
        <v/>
      </c>
      <c r="C36" s="11" t="str">
        <f aca="false">IF($A36="","",MAX(0,N('Campaign Data'!$C36)))</f>
        <v/>
      </c>
      <c r="D36" s="12" t="str">
        <f aca="false">IF($A36="","",IFERROR('Campaign Data'!$E36/$C36,0))</f>
        <v/>
      </c>
      <c r="E36" s="27" t="str">
        <f aca="false">IF($A36="","",IF('Campaign Data'!$G36="",Settings!$B$8,'Campaign Data'!$G36))</f>
        <v/>
      </c>
      <c r="F36" s="27" t="str">
        <f aca="false">IF($A36="","",IF('Campaign Data'!$H36="",Settings!$B$7,'Campaign Data'!$H36))</f>
        <v/>
      </c>
      <c r="G36" s="11" t="str">
        <f aca="false">IF($A36="","",N('Campaign Data'!$E36)*(1-$E36))</f>
        <v/>
      </c>
      <c r="H36" s="12" t="str">
        <f aca="false">IF($A36="","",IF(SUMPRODUCT((Tests!$A$6:$A$20=$A36)*(Tests!$D$6:$D$20&gt;0))&gt;0,INDEX(Tests!$F$6:$F$20,MATCH($A36,Tests!$A$6:$A$20,0)),IFERROR(INDEX(Settings!$B$17:$B$25,MATCH($B36,Settings!$A$17:$A$25,0)),0.5)))</f>
        <v/>
      </c>
      <c r="I36" s="9" t="str">
        <f aca="false">IF($A36="","",IF(SUMPRODUCT((Tests!$A$6:$A$20=$A36)*(Tests!$D$6:$D$20&gt;0))&gt;0,"Measured","Assumed"))</f>
        <v/>
      </c>
      <c r="J36" s="28" t="str">
        <f aca="false">IF($A36="","",$G36*$H36)</f>
        <v/>
      </c>
      <c r="K36" s="29" t="str">
        <f aca="false">IF($A36="","",N('Campaign Data'!$D36)*$H36)</f>
        <v/>
      </c>
      <c r="L36" s="11" t="str">
        <f aca="false">IF($A36="","",$J36*$F36-$K36*Settings!$B$9-N('Campaign Data'!$E36)*$E36*$H36*Settings!$B$10)</f>
        <v/>
      </c>
      <c r="M36" s="28" t="str">
        <f aca="false">IF($A36="","",$L36-$C36)</f>
        <v/>
      </c>
      <c r="N36" s="30" t="str">
        <f aca="false">IF($A36="","",IFERROR($L36/$C36,0))</f>
        <v/>
      </c>
      <c r="O36" s="12" t="str">
        <f aca="false">IF($A36="","",IFERROR(INDEX(Settings!$C$17:$C$25,MATCH($B36,Settings!$A$17:$A$25,0)),0.7))</f>
        <v/>
      </c>
      <c r="P36" s="30" t="str">
        <f aca="false">IF($A36="","",$N36*$O36)</f>
        <v/>
      </c>
      <c r="Q36" s="29" t="str">
        <f aca="false">IF($A36="","",N('Campaign Data'!$F36)*$H36)</f>
        <v/>
      </c>
      <c r="R36" s="30" t="str">
        <f aca="false">IF($A36="","",IFERROR($C36/$Q36,0))</f>
        <v/>
      </c>
      <c r="S36" s="26" t="str">
        <f aca="false">IF($A36="","",IFERROR(($L36/$K36)/$R36,0))</f>
        <v/>
      </c>
      <c r="T36" s="31" t="str">
        <f aca="false">IF($A36="","",IFERROR($C36/SUM($C$6:$C$45),0))</f>
        <v/>
      </c>
      <c r="U36" s="28" t="str">
        <f aca="false">IF($A36="","",IF(OR($C36&lt;=0,$P36&lt;=0,$O36&gt;=1),0,$C36*$P36^(1/(1-$O36))))</f>
        <v/>
      </c>
      <c r="V36" s="9" t="str">
        <f aca="false">IF($A36="","",IF(AND($I36="Assumed",$T36&gt;Settings!$B$12,OR(IF($C36&lt;=0,"No spend",IF($N36&lt;1,"Cut",IF($P36&lt;1,"Trim",IF($P36&gt;=Settings!$B$11,"Scale","Hold"))))="Cut",IF($C36&lt;=0,"No spend",IF($N36&lt;1,"Cut",IF($P36&lt;1,"Trim",IF($P36&gt;=Settings!$B$11,"Scale","Hold"))))="Trim",IF($C36&lt;=0,"No spend",IF($N36&lt;1,"Cut",IF($P36&lt;1,"Trim",IF($P36&gt;=Settings!$B$11,"Scale","Hold"))))="Scale")),"Test before you "&amp;LOWER(IF($C36&lt;=0,"No spend",IF($N36&lt;1,"Cut",IF($P36&lt;1,"Trim",IF($P36&gt;=Settings!$B$11,"Scale","Hold"))))),IF($C36&lt;=0,"No spend",IF($N36&lt;1,"Cut",IF($P36&lt;1,"Trim",IF($P36&gt;=Settings!$B$11,"Scale","Hold"))))))</f>
        <v/>
      </c>
      <c r="W36" s="32" t="str">
        <f aca="false">IF($A36="","",IF($V36="Cut","Stop it or cut it hard: even the average pound returns "&amp;TEXT($N36,"£0.00")&amp;".",IF($V36="Trim","Reduce spend towards "&amp;TEXT($U36,"£#,##0")&amp;": it pays on average, but the last pound returns "&amp;TEXT($P36,"£0.00")&amp;".",IF($V36="Scale","Add spend in steps towards "&amp;TEXT($U36,"£#,##0")&amp;", measuring each step: the last pound still returns "&amp;TEXT($P36,"£0.00")&amp;".",IF($V36="Hold","Hold: the last pound returns "&amp;TEXT($P36,"£0.00")&amp;", close to what it costs.",IF(LEFT($V36,4)="Test","Run a holdout before moving it: "&amp;TEXT($C36,"£#,##0")&amp;" rests on an assumed factor of "&amp;TEXT($H36,"0.00")&amp;".",""))))))</f>
        <v/>
      </c>
      <c r="X36" s="33" t="str">
        <f aca="false">IF($A36="","",IF($C36&lt;=0,"",COUNTIFS($P$6:$P$45,"&lt;"&amp;$P36,$C$6:$C$45,"&gt;0")+COUNTIFS($P$6:$P36,$P36,$C$6:$C36,"&gt;0")))</f>
        <v/>
      </c>
    </row>
    <row r="37" customFormat="false" ht="15" hidden="false" customHeight="false" outlineLevel="0" collapsed="false">
      <c r="A37" s="9" t="str">
        <f aca="false">IF('Campaign Data'!$A37="","",'Campaign Data'!$A37)</f>
        <v/>
      </c>
      <c r="B37" s="9" t="str">
        <f aca="false">IF($A37="","",IF('Campaign Data'!$B37="","Other",'Campaign Data'!$B37))</f>
        <v/>
      </c>
      <c r="C37" s="11" t="str">
        <f aca="false">IF($A37="","",MAX(0,N('Campaign Data'!$C37)))</f>
        <v/>
      </c>
      <c r="D37" s="12" t="str">
        <f aca="false">IF($A37="","",IFERROR('Campaign Data'!$E37/$C37,0))</f>
        <v/>
      </c>
      <c r="E37" s="27" t="str">
        <f aca="false">IF($A37="","",IF('Campaign Data'!$G37="",Settings!$B$8,'Campaign Data'!$G37))</f>
        <v/>
      </c>
      <c r="F37" s="27" t="str">
        <f aca="false">IF($A37="","",IF('Campaign Data'!$H37="",Settings!$B$7,'Campaign Data'!$H37))</f>
        <v/>
      </c>
      <c r="G37" s="11" t="str">
        <f aca="false">IF($A37="","",N('Campaign Data'!$E37)*(1-$E37))</f>
        <v/>
      </c>
      <c r="H37" s="12" t="str">
        <f aca="false">IF($A37="","",IF(SUMPRODUCT((Tests!$A$6:$A$20=$A37)*(Tests!$D$6:$D$20&gt;0))&gt;0,INDEX(Tests!$F$6:$F$20,MATCH($A37,Tests!$A$6:$A$20,0)),IFERROR(INDEX(Settings!$B$17:$B$25,MATCH($B37,Settings!$A$17:$A$25,0)),0.5)))</f>
        <v/>
      </c>
      <c r="I37" s="9" t="str">
        <f aca="false">IF($A37="","",IF(SUMPRODUCT((Tests!$A$6:$A$20=$A37)*(Tests!$D$6:$D$20&gt;0))&gt;0,"Measured","Assumed"))</f>
        <v/>
      </c>
      <c r="J37" s="28" t="str">
        <f aca="false">IF($A37="","",$G37*$H37)</f>
        <v/>
      </c>
      <c r="K37" s="29" t="str">
        <f aca="false">IF($A37="","",N('Campaign Data'!$D37)*$H37)</f>
        <v/>
      </c>
      <c r="L37" s="11" t="str">
        <f aca="false">IF($A37="","",$J37*$F37-$K37*Settings!$B$9-N('Campaign Data'!$E37)*$E37*$H37*Settings!$B$10)</f>
        <v/>
      </c>
      <c r="M37" s="28" t="str">
        <f aca="false">IF($A37="","",$L37-$C37)</f>
        <v/>
      </c>
      <c r="N37" s="30" t="str">
        <f aca="false">IF($A37="","",IFERROR($L37/$C37,0))</f>
        <v/>
      </c>
      <c r="O37" s="12" t="str">
        <f aca="false">IF($A37="","",IFERROR(INDEX(Settings!$C$17:$C$25,MATCH($B37,Settings!$A$17:$A$25,0)),0.7))</f>
        <v/>
      </c>
      <c r="P37" s="30" t="str">
        <f aca="false">IF($A37="","",$N37*$O37)</f>
        <v/>
      </c>
      <c r="Q37" s="29" t="str">
        <f aca="false">IF($A37="","",N('Campaign Data'!$F37)*$H37)</f>
        <v/>
      </c>
      <c r="R37" s="30" t="str">
        <f aca="false">IF($A37="","",IFERROR($C37/$Q37,0))</f>
        <v/>
      </c>
      <c r="S37" s="26" t="str">
        <f aca="false">IF($A37="","",IFERROR(($L37/$K37)/$R37,0))</f>
        <v/>
      </c>
      <c r="T37" s="31" t="str">
        <f aca="false">IF($A37="","",IFERROR($C37/SUM($C$6:$C$45),0))</f>
        <v/>
      </c>
      <c r="U37" s="28" t="str">
        <f aca="false">IF($A37="","",IF(OR($C37&lt;=0,$P37&lt;=0,$O37&gt;=1),0,$C37*$P37^(1/(1-$O37))))</f>
        <v/>
      </c>
      <c r="V37" s="9" t="str">
        <f aca="false">IF($A37="","",IF(AND($I37="Assumed",$T37&gt;Settings!$B$12,OR(IF($C37&lt;=0,"No spend",IF($N37&lt;1,"Cut",IF($P37&lt;1,"Trim",IF($P37&gt;=Settings!$B$11,"Scale","Hold"))))="Cut",IF($C37&lt;=0,"No spend",IF($N37&lt;1,"Cut",IF($P37&lt;1,"Trim",IF($P37&gt;=Settings!$B$11,"Scale","Hold"))))="Trim",IF($C37&lt;=0,"No spend",IF($N37&lt;1,"Cut",IF($P37&lt;1,"Trim",IF($P37&gt;=Settings!$B$11,"Scale","Hold"))))="Scale")),"Test before you "&amp;LOWER(IF($C37&lt;=0,"No spend",IF($N37&lt;1,"Cut",IF($P37&lt;1,"Trim",IF($P37&gt;=Settings!$B$11,"Scale","Hold"))))),IF($C37&lt;=0,"No spend",IF($N37&lt;1,"Cut",IF($P37&lt;1,"Trim",IF($P37&gt;=Settings!$B$11,"Scale","Hold"))))))</f>
        <v/>
      </c>
      <c r="W37" s="32" t="str">
        <f aca="false">IF($A37="","",IF($V37="Cut","Stop it or cut it hard: even the average pound returns "&amp;TEXT($N37,"£0.00")&amp;".",IF($V37="Trim","Reduce spend towards "&amp;TEXT($U37,"£#,##0")&amp;": it pays on average, but the last pound returns "&amp;TEXT($P37,"£0.00")&amp;".",IF($V37="Scale","Add spend in steps towards "&amp;TEXT($U37,"£#,##0")&amp;", measuring each step: the last pound still returns "&amp;TEXT($P37,"£0.00")&amp;".",IF($V37="Hold","Hold: the last pound returns "&amp;TEXT($P37,"£0.00")&amp;", close to what it costs.",IF(LEFT($V37,4)="Test","Run a holdout before moving it: "&amp;TEXT($C37,"£#,##0")&amp;" rests on an assumed factor of "&amp;TEXT($H37,"0.00")&amp;".",""))))))</f>
        <v/>
      </c>
      <c r="X37" s="33" t="str">
        <f aca="false">IF($A37="","",IF($C37&lt;=0,"",COUNTIFS($P$6:$P$45,"&lt;"&amp;$P37,$C$6:$C$45,"&gt;0")+COUNTIFS($P$6:$P37,$P37,$C$6:$C37,"&gt;0")))</f>
        <v/>
      </c>
    </row>
    <row r="38" customFormat="false" ht="15" hidden="false" customHeight="false" outlineLevel="0" collapsed="false">
      <c r="A38" s="9" t="str">
        <f aca="false">IF('Campaign Data'!$A38="","",'Campaign Data'!$A38)</f>
        <v/>
      </c>
      <c r="B38" s="9" t="str">
        <f aca="false">IF($A38="","",IF('Campaign Data'!$B38="","Other",'Campaign Data'!$B38))</f>
        <v/>
      </c>
      <c r="C38" s="11" t="str">
        <f aca="false">IF($A38="","",MAX(0,N('Campaign Data'!$C38)))</f>
        <v/>
      </c>
      <c r="D38" s="12" t="str">
        <f aca="false">IF($A38="","",IFERROR('Campaign Data'!$E38/$C38,0))</f>
        <v/>
      </c>
      <c r="E38" s="27" t="str">
        <f aca="false">IF($A38="","",IF('Campaign Data'!$G38="",Settings!$B$8,'Campaign Data'!$G38))</f>
        <v/>
      </c>
      <c r="F38" s="27" t="str">
        <f aca="false">IF($A38="","",IF('Campaign Data'!$H38="",Settings!$B$7,'Campaign Data'!$H38))</f>
        <v/>
      </c>
      <c r="G38" s="11" t="str">
        <f aca="false">IF($A38="","",N('Campaign Data'!$E38)*(1-$E38))</f>
        <v/>
      </c>
      <c r="H38" s="12" t="str">
        <f aca="false">IF($A38="","",IF(SUMPRODUCT((Tests!$A$6:$A$20=$A38)*(Tests!$D$6:$D$20&gt;0))&gt;0,INDEX(Tests!$F$6:$F$20,MATCH($A38,Tests!$A$6:$A$20,0)),IFERROR(INDEX(Settings!$B$17:$B$25,MATCH($B38,Settings!$A$17:$A$25,0)),0.5)))</f>
        <v/>
      </c>
      <c r="I38" s="9" t="str">
        <f aca="false">IF($A38="","",IF(SUMPRODUCT((Tests!$A$6:$A$20=$A38)*(Tests!$D$6:$D$20&gt;0))&gt;0,"Measured","Assumed"))</f>
        <v/>
      </c>
      <c r="J38" s="28" t="str">
        <f aca="false">IF($A38="","",$G38*$H38)</f>
        <v/>
      </c>
      <c r="K38" s="29" t="str">
        <f aca="false">IF($A38="","",N('Campaign Data'!$D38)*$H38)</f>
        <v/>
      </c>
      <c r="L38" s="11" t="str">
        <f aca="false">IF($A38="","",$J38*$F38-$K38*Settings!$B$9-N('Campaign Data'!$E38)*$E38*$H38*Settings!$B$10)</f>
        <v/>
      </c>
      <c r="M38" s="28" t="str">
        <f aca="false">IF($A38="","",$L38-$C38)</f>
        <v/>
      </c>
      <c r="N38" s="30" t="str">
        <f aca="false">IF($A38="","",IFERROR($L38/$C38,0))</f>
        <v/>
      </c>
      <c r="O38" s="12" t="str">
        <f aca="false">IF($A38="","",IFERROR(INDEX(Settings!$C$17:$C$25,MATCH($B38,Settings!$A$17:$A$25,0)),0.7))</f>
        <v/>
      </c>
      <c r="P38" s="30" t="str">
        <f aca="false">IF($A38="","",$N38*$O38)</f>
        <v/>
      </c>
      <c r="Q38" s="29" t="str">
        <f aca="false">IF($A38="","",N('Campaign Data'!$F38)*$H38)</f>
        <v/>
      </c>
      <c r="R38" s="30" t="str">
        <f aca="false">IF($A38="","",IFERROR($C38/$Q38,0))</f>
        <v/>
      </c>
      <c r="S38" s="26" t="str">
        <f aca="false">IF($A38="","",IFERROR(($L38/$K38)/$R38,0))</f>
        <v/>
      </c>
      <c r="T38" s="31" t="str">
        <f aca="false">IF($A38="","",IFERROR($C38/SUM($C$6:$C$45),0))</f>
        <v/>
      </c>
      <c r="U38" s="28" t="str">
        <f aca="false">IF($A38="","",IF(OR($C38&lt;=0,$P38&lt;=0,$O38&gt;=1),0,$C38*$P38^(1/(1-$O38))))</f>
        <v/>
      </c>
      <c r="V38" s="9" t="str">
        <f aca="false">IF($A38="","",IF(AND($I38="Assumed",$T38&gt;Settings!$B$12,OR(IF($C38&lt;=0,"No spend",IF($N38&lt;1,"Cut",IF($P38&lt;1,"Trim",IF($P38&gt;=Settings!$B$11,"Scale","Hold"))))="Cut",IF($C38&lt;=0,"No spend",IF($N38&lt;1,"Cut",IF($P38&lt;1,"Trim",IF($P38&gt;=Settings!$B$11,"Scale","Hold"))))="Trim",IF($C38&lt;=0,"No spend",IF($N38&lt;1,"Cut",IF($P38&lt;1,"Trim",IF($P38&gt;=Settings!$B$11,"Scale","Hold"))))="Scale")),"Test before you "&amp;LOWER(IF($C38&lt;=0,"No spend",IF($N38&lt;1,"Cut",IF($P38&lt;1,"Trim",IF($P38&gt;=Settings!$B$11,"Scale","Hold"))))),IF($C38&lt;=0,"No spend",IF($N38&lt;1,"Cut",IF($P38&lt;1,"Trim",IF($P38&gt;=Settings!$B$11,"Scale","Hold"))))))</f>
        <v/>
      </c>
      <c r="W38" s="32" t="str">
        <f aca="false">IF($A38="","",IF($V38="Cut","Stop it or cut it hard: even the average pound returns "&amp;TEXT($N38,"£0.00")&amp;".",IF($V38="Trim","Reduce spend towards "&amp;TEXT($U38,"£#,##0")&amp;": it pays on average, but the last pound returns "&amp;TEXT($P38,"£0.00")&amp;".",IF($V38="Scale","Add spend in steps towards "&amp;TEXT($U38,"£#,##0")&amp;", measuring each step: the last pound still returns "&amp;TEXT($P38,"£0.00")&amp;".",IF($V38="Hold","Hold: the last pound returns "&amp;TEXT($P38,"£0.00")&amp;", close to what it costs.",IF(LEFT($V38,4)="Test","Run a holdout before moving it: "&amp;TEXT($C38,"£#,##0")&amp;" rests on an assumed factor of "&amp;TEXT($H38,"0.00")&amp;".",""))))))</f>
        <v/>
      </c>
      <c r="X38" s="33" t="str">
        <f aca="false">IF($A38="","",IF($C38&lt;=0,"",COUNTIFS($P$6:$P$45,"&lt;"&amp;$P38,$C$6:$C$45,"&gt;0")+COUNTIFS($P$6:$P38,$P38,$C$6:$C38,"&gt;0")))</f>
        <v/>
      </c>
    </row>
    <row r="39" customFormat="false" ht="15" hidden="false" customHeight="false" outlineLevel="0" collapsed="false">
      <c r="A39" s="9" t="str">
        <f aca="false">IF('Campaign Data'!$A39="","",'Campaign Data'!$A39)</f>
        <v/>
      </c>
      <c r="B39" s="9" t="str">
        <f aca="false">IF($A39="","",IF('Campaign Data'!$B39="","Other",'Campaign Data'!$B39))</f>
        <v/>
      </c>
      <c r="C39" s="11" t="str">
        <f aca="false">IF($A39="","",MAX(0,N('Campaign Data'!$C39)))</f>
        <v/>
      </c>
      <c r="D39" s="12" t="str">
        <f aca="false">IF($A39="","",IFERROR('Campaign Data'!$E39/$C39,0))</f>
        <v/>
      </c>
      <c r="E39" s="27" t="str">
        <f aca="false">IF($A39="","",IF('Campaign Data'!$G39="",Settings!$B$8,'Campaign Data'!$G39))</f>
        <v/>
      </c>
      <c r="F39" s="27" t="str">
        <f aca="false">IF($A39="","",IF('Campaign Data'!$H39="",Settings!$B$7,'Campaign Data'!$H39))</f>
        <v/>
      </c>
      <c r="G39" s="11" t="str">
        <f aca="false">IF($A39="","",N('Campaign Data'!$E39)*(1-$E39))</f>
        <v/>
      </c>
      <c r="H39" s="12" t="str">
        <f aca="false">IF($A39="","",IF(SUMPRODUCT((Tests!$A$6:$A$20=$A39)*(Tests!$D$6:$D$20&gt;0))&gt;0,INDEX(Tests!$F$6:$F$20,MATCH($A39,Tests!$A$6:$A$20,0)),IFERROR(INDEX(Settings!$B$17:$B$25,MATCH($B39,Settings!$A$17:$A$25,0)),0.5)))</f>
        <v/>
      </c>
      <c r="I39" s="9" t="str">
        <f aca="false">IF($A39="","",IF(SUMPRODUCT((Tests!$A$6:$A$20=$A39)*(Tests!$D$6:$D$20&gt;0))&gt;0,"Measured","Assumed"))</f>
        <v/>
      </c>
      <c r="J39" s="28" t="str">
        <f aca="false">IF($A39="","",$G39*$H39)</f>
        <v/>
      </c>
      <c r="K39" s="29" t="str">
        <f aca="false">IF($A39="","",N('Campaign Data'!$D39)*$H39)</f>
        <v/>
      </c>
      <c r="L39" s="11" t="str">
        <f aca="false">IF($A39="","",$J39*$F39-$K39*Settings!$B$9-N('Campaign Data'!$E39)*$E39*$H39*Settings!$B$10)</f>
        <v/>
      </c>
      <c r="M39" s="28" t="str">
        <f aca="false">IF($A39="","",$L39-$C39)</f>
        <v/>
      </c>
      <c r="N39" s="30" t="str">
        <f aca="false">IF($A39="","",IFERROR($L39/$C39,0))</f>
        <v/>
      </c>
      <c r="O39" s="12" t="str">
        <f aca="false">IF($A39="","",IFERROR(INDEX(Settings!$C$17:$C$25,MATCH($B39,Settings!$A$17:$A$25,0)),0.7))</f>
        <v/>
      </c>
      <c r="P39" s="30" t="str">
        <f aca="false">IF($A39="","",$N39*$O39)</f>
        <v/>
      </c>
      <c r="Q39" s="29" t="str">
        <f aca="false">IF($A39="","",N('Campaign Data'!$F39)*$H39)</f>
        <v/>
      </c>
      <c r="R39" s="30" t="str">
        <f aca="false">IF($A39="","",IFERROR($C39/$Q39,0))</f>
        <v/>
      </c>
      <c r="S39" s="26" t="str">
        <f aca="false">IF($A39="","",IFERROR(($L39/$K39)/$R39,0))</f>
        <v/>
      </c>
      <c r="T39" s="31" t="str">
        <f aca="false">IF($A39="","",IFERROR($C39/SUM($C$6:$C$45),0))</f>
        <v/>
      </c>
      <c r="U39" s="28" t="str">
        <f aca="false">IF($A39="","",IF(OR($C39&lt;=0,$P39&lt;=0,$O39&gt;=1),0,$C39*$P39^(1/(1-$O39))))</f>
        <v/>
      </c>
      <c r="V39" s="9" t="str">
        <f aca="false">IF($A39="","",IF(AND($I39="Assumed",$T39&gt;Settings!$B$12,OR(IF($C39&lt;=0,"No spend",IF($N39&lt;1,"Cut",IF($P39&lt;1,"Trim",IF($P39&gt;=Settings!$B$11,"Scale","Hold"))))="Cut",IF($C39&lt;=0,"No spend",IF($N39&lt;1,"Cut",IF($P39&lt;1,"Trim",IF($P39&gt;=Settings!$B$11,"Scale","Hold"))))="Trim",IF($C39&lt;=0,"No spend",IF($N39&lt;1,"Cut",IF($P39&lt;1,"Trim",IF($P39&gt;=Settings!$B$11,"Scale","Hold"))))="Scale")),"Test before you "&amp;LOWER(IF($C39&lt;=0,"No spend",IF($N39&lt;1,"Cut",IF($P39&lt;1,"Trim",IF($P39&gt;=Settings!$B$11,"Scale","Hold"))))),IF($C39&lt;=0,"No spend",IF($N39&lt;1,"Cut",IF($P39&lt;1,"Trim",IF($P39&gt;=Settings!$B$11,"Scale","Hold"))))))</f>
        <v/>
      </c>
      <c r="W39" s="32" t="str">
        <f aca="false">IF($A39="","",IF($V39="Cut","Stop it or cut it hard: even the average pound returns "&amp;TEXT($N39,"£0.00")&amp;".",IF($V39="Trim","Reduce spend towards "&amp;TEXT($U39,"£#,##0")&amp;": it pays on average, but the last pound returns "&amp;TEXT($P39,"£0.00")&amp;".",IF($V39="Scale","Add spend in steps towards "&amp;TEXT($U39,"£#,##0")&amp;", measuring each step: the last pound still returns "&amp;TEXT($P39,"£0.00")&amp;".",IF($V39="Hold","Hold: the last pound returns "&amp;TEXT($P39,"£0.00")&amp;", close to what it costs.",IF(LEFT($V39,4)="Test","Run a holdout before moving it: "&amp;TEXT($C39,"£#,##0")&amp;" rests on an assumed factor of "&amp;TEXT($H39,"0.00")&amp;".",""))))))</f>
        <v/>
      </c>
      <c r="X39" s="33" t="str">
        <f aca="false">IF($A39="","",IF($C39&lt;=0,"",COUNTIFS($P$6:$P$45,"&lt;"&amp;$P39,$C$6:$C$45,"&gt;0")+COUNTIFS($P$6:$P39,$P39,$C$6:$C39,"&gt;0")))</f>
        <v/>
      </c>
    </row>
    <row r="40" customFormat="false" ht="15" hidden="false" customHeight="false" outlineLevel="0" collapsed="false">
      <c r="A40" s="9" t="str">
        <f aca="false">IF('Campaign Data'!$A40="","",'Campaign Data'!$A40)</f>
        <v/>
      </c>
      <c r="B40" s="9" t="str">
        <f aca="false">IF($A40="","",IF('Campaign Data'!$B40="","Other",'Campaign Data'!$B40))</f>
        <v/>
      </c>
      <c r="C40" s="11" t="str">
        <f aca="false">IF($A40="","",MAX(0,N('Campaign Data'!$C40)))</f>
        <v/>
      </c>
      <c r="D40" s="12" t="str">
        <f aca="false">IF($A40="","",IFERROR('Campaign Data'!$E40/$C40,0))</f>
        <v/>
      </c>
      <c r="E40" s="27" t="str">
        <f aca="false">IF($A40="","",IF('Campaign Data'!$G40="",Settings!$B$8,'Campaign Data'!$G40))</f>
        <v/>
      </c>
      <c r="F40" s="27" t="str">
        <f aca="false">IF($A40="","",IF('Campaign Data'!$H40="",Settings!$B$7,'Campaign Data'!$H40))</f>
        <v/>
      </c>
      <c r="G40" s="11" t="str">
        <f aca="false">IF($A40="","",N('Campaign Data'!$E40)*(1-$E40))</f>
        <v/>
      </c>
      <c r="H40" s="12" t="str">
        <f aca="false">IF($A40="","",IF(SUMPRODUCT((Tests!$A$6:$A$20=$A40)*(Tests!$D$6:$D$20&gt;0))&gt;0,INDEX(Tests!$F$6:$F$20,MATCH($A40,Tests!$A$6:$A$20,0)),IFERROR(INDEX(Settings!$B$17:$B$25,MATCH($B40,Settings!$A$17:$A$25,0)),0.5)))</f>
        <v/>
      </c>
      <c r="I40" s="9" t="str">
        <f aca="false">IF($A40="","",IF(SUMPRODUCT((Tests!$A$6:$A$20=$A40)*(Tests!$D$6:$D$20&gt;0))&gt;0,"Measured","Assumed"))</f>
        <v/>
      </c>
      <c r="J40" s="28" t="str">
        <f aca="false">IF($A40="","",$G40*$H40)</f>
        <v/>
      </c>
      <c r="K40" s="29" t="str">
        <f aca="false">IF($A40="","",N('Campaign Data'!$D40)*$H40)</f>
        <v/>
      </c>
      <c r="L40" s="11" t="str">
        <f aca="false">IF($A40="","",$J40*$F40-$K40*Settings!$B$9-N('Campaign Data'!$E40)*$E40*$H40*Settings!$B$10)</f>
        <v/>
      </c>
      <c r="M40" s="28" t="str">
        <f aca="false">IF($A40="","",$L40-$C40)</f>
        <v/>
      </c>
      <c r="N40" s="30" t="str">
        <f aca="false">IF($A40="","",IFERROR($L40/$C40,0))</f>
        <v/>
      </c>
      <c r="O40" s="12" t="str">
        <f aca="false">IF($A40="","",IFERROR(INDEX(Settings!$C$17:$C$25,MATCH($B40,Settings!$A$17:$A$25,0)),0.7))</f>
        <v/>
      </c>
      <c r="P40" s="30" t="str">
        <f aca="false">IF($A40="","",$N40*$O40)</f>
        <v/>
      </c>
      <c r="Q40" s="29" t="str">
        <f aca="false">IF($A40="","",N('Campaign Data'!$F40)*$H40)</f>
        <v/>
      </c>
      <c r="R40" s="30" t="str">
        <f aca="false">IF($A40="","",IFERROR($C40/$Q40,0))</f>
        <v/>
      </c>
      <c r="S40" s="26" t="str">
        <f aca="false">IF($A40="","",IFERROR(($L40/$K40)/$R40,0))</f>
        <v/>
      </c>
      <c r="T40" s="31" t="str">
        <f aca="false">IF($A40="","",IFERROR($C40/SUM($C$6:$C$45),0))</f>
        <v/>
      </c>
      <c r="U40" s="28" t="str">
        <f aca="false">IF($A40="","",IF(OR($C40&lt;=0,$P40&lt;=0,$O40&gt;=1),0,$C40*$P40^(1/(1-$O40))))</f>
        <v/>
      </c>
      <c r="V40" s="9" t="str">
        <f aca="false">IF($A40="","",IF(AND($I40="Assumed",$T40&gt;Settings!$B$12,OR(IF($C40&lt;=0,"No spend",IF($N40&lt;1,"Cut",IF($P40&lt;1,"Trim",IF($P40&gt;=Settings!$B$11,"Scale","Hold"))))="Cut",IF($C40&lt;=0,"No spend",IF($N40&lt;1,"Cut",IF($P40&lt;1,"Trim",IF($P40&gt;=Settings!$B$11,"Scale","Hold"))))="Trim",IF($C40&lt;=0,"No spend",IF($N40&lt;1,"Cut",IF($P40&lt;1,"Trim",IF($P40&gt;=Settings!$B$11,"Scale","Hold"))))="Scale")),"Test before you "&amp;LOWER(IF($C40&lt;=0,"No spend",IF($N40&lt;1,"Cut",IF($P40&lt;1,"Trim",IF($P40&gt;=Settings!$B$11,"Scale","Hold"))))),IF($C40&lt;=0,"No spend",IF($N40&lt;1,"Cut",IF($P40&lt;1,"Trim",IF($P40&gt;=Settings!$B$11,"Scale","Hold"))))))</f>
        <v/>
      </c>
      <c r="W40" s="32" t="str">
        <f aca="false">IF($A40="","",IF($V40="Cut","Stop it or cut it hard: even the average pound returns "&amp;TEXT($N40,"£0.00")&amp;".",IF($V40="Trim","Reduce spend towards "&amp;TEXT($U40,"£#,##0")&amp;": it pays on average, but the last pound returns "&amp;TEXT($P40,"£0.00")&amp;".",IF($V40="Scale","Add spend in steps towards "&amp;TEXT($U40,"£#,##0")&amp;", measuring each step: the last pound still returns "&amp;TEXT($P40,"£0.00")&amp;".",IF($V40="Hold","Hold: the last pound returns "&amp;TEXT($P40,"£0.00")&amp;", close to what it costs.",IF(LEFT($V40,4)="Test","Run a holdout before moving it: "&amp;TEXT($C40,"£#,##0")&amp;" rests on an assumed factor of "&amp;TEXT($H40,"0.00")&amp;".",""))))))</f>
        <v/>
      </c>
      <c r="X40" s="33" t="str">
        <f aca="false">IF($A40="","",IF($C40&lt;=0,"",COUNTIFS($P$6:$P$45,"&lt;"&amp;$P40,$C$6:$C$45,"&gt;0")+COUNTIFS($P$6:$P40,$P40,$C$6:$C40,"&gt;0")))</f>
        <v/>
      </c>
    </row>
    <row r="41" customFormat="false" ht="15" hidden="false" customHeight="false" outlineLevel="0" collapsed="false">
      <c r="A41" s="9" t="str">
        <f aca="false">IF('Campaign Data'!$A41="","",'Campaign Data'!$A41)</f>
        <v/>
      </c>
      <c r="B41" s="9" t="str">
        <f aca="false">IF($A41="","",IF('Campaign Data'!$B41="","Other",'Campaign Data'!$B41))</f>
        <v/>
      </c>
      <c r="C41" s="11" t="str">
        <f aca="false">IF($A41="","",MAX(0,N('Campaign Data'!$C41)))</f>
        <v/>
      </c>
      <c r="D41" s="12" t="str">
        <f aca="false">IF($A41="","",IFERROR('Campaign Data'!$E41/$C41,0))</f>
        <v/>
      </c>
      <c r="E41" s="27" t="str">
        <f aca="false">IF($A41="","",IF('Campaign Data'!$G41="",Settings!$B$8,'Campaign Data'!$G41))</f>
        <v/>
      </c>
      <c r="F41" s="27" t="str">
        <f aca="false">IF($A41="","",IF('Campaign Data'!$H41="",Settings!$B$7,'Campaign Data'!$H41))</f>
        <v/>
      </c>
      <c r="G41" s="11" t="str">
        <f aca="false">IF($A41="","",N('Campaign Data'!$E41)*(1-$E41))</f>
        <v/>
      </c>
      <c r="H41" s="12" t="str">
        <f aca="false">IF($A41="","",IF(SUMPRODUCT((Tests!$A$6:$A$20=$A41)*(Tests!$D$6:$D$20&gt;0))&gt;0,INDEX(Tests!$F$6:$F$20,MATCH($A41,Tests!$A$6:$A$20,0)),IFERROR(INDEX(Settings!$B$17:$B$25,MATCH($B41,Settings!$A$17:$A$25,0)),0.5)))</f>
        <v/>
      </c>
      <c r="I41" s="9" t="str">
        <f aca="false">IF($A41="","",IF(SUMPRODUCT((Tests!$A$6:$A$20=$A41)*(Tests!$D$6:$D$20&gt;0))&gt;0,"Measured","Assumed"))</f>
        <v/>
      </c>
      <c r="J41" s="28" t="str">
        <f aca="false">IF($A41="","",$G41*$H41)</f>
        <v/>
      </c>
      <c r="K41" s="29" t="str">
        <f aca="false">IF($A41="","",N('Campaign Data'!$D41)*$H41)</f>
        <v/>
      </c>
      <c r="L41" s="11" t="str">
        <f aca="false">IF($A41="","",$J41*$F41-$K41*Settings!$B$9-N('Campaign Data'!$E41)*$E41*$H41*Settings!$B$10)</f>
        <v/>
      </c>
      <c r="M41" s="28" t="str">
        <f aca="false">IF($A41="","",$L41-$C41)</f>
        <v/>
      </c>
      <c r="N41" s="30" t="str">
        <f aca="false">IF($A41="","",IFERROR($L41/$C41,0))</f>
        <v/>
      </c>
      <c r="O41" s="12" t="str">
        <f aca="false">IF($A41="","",IFERROR(INDEX(Settings!$C$17:$C$25,MATCH($B41,Settings!$A$17:$A$25,0)),0.7))</f>
        <v/>
      </c>
      <c r="P41" s="30" t="str">
        <f aca="false">IF($A41="","",$N41*$O41)</f>
        <v/>
      </c>
      <c r="Q41" s="29" t="str">
        <f aca="false">IF($A41="","",N('Campaign Data'!$F41)*$H41)</f>
        <v/>
      </c>
      <c r="R41" s="30" t="str">
        <f aca="false">IF($A41="","",IFERROR($C41/$Q41,0))</f>
        <v/>
      </c>
      <c r="S41" s="26" t="str">
        <f aca="false">IF($A41="","",IFERROR(($L41/$K41)/$R41,0))</f>
        <v/>
      </c>
      <c r="T41" s="31" t="str">
        <f aca="false">IF($A41="","",IFERROR($C41/SUM($C$6:$C$45),0))</f>
        <v/>
      </c>
      <c r="U41" s="28" t="str">
        <f aca="false">IF($A41="","",IF(OR($C41&lt;=0,$P41&lt;=0,$O41&gt;=1),0,$C41*$P41^(1/(1-$O41))))</f>
        <v/>
      </c>
      <c r="V41" s="9" t="str">
        <f aca="false">IF($A41="","",IF(AND($I41="Assumed",$T41&gt;Settings!$B$12,OR(IF($C41&lt;=0,"No spend",IF($N41&lt;1,"Cut",IF($P41&lt;1,"Trim",IF($P41&gt;=Settings!$B$11,"Scale","Hold"))))="Cut",IF($C41&lt;=0,"No spend",IF($N41&lt;1,"Cut",IF($P41&lt;1,"Trim",IF($P41&gt;=Settings!$B$11,"Scale","Hold"))))="Trim",IF($C41&lt;=0,"No spend",IF($N41&lt;1,"Cut",IF($P41&lt;1,"Trim",IF($P41&gt;=Settings!$B$11,"Scale","Hold"))))="Scale")),"Test before you "&amp;LOWER(IF($C41&lt;=0,"No spend",IF($N41&lt;1,"Cut",IF($P41&lt;1,"Trim",IF($P41&gt;=Settings!$B$11,"Scale","Hold"))))),IF($C41&lt;=0,"No spend",IF($N41&lt;1,"Cut",IF($P41&lt;1,"Trim",IF($P41&gt;=Settings!$B$11,"Scale","Hold"))))))</f>
        <v/>
      </c>
      <c r="W41" s="32" t="str">
        <f aca="false">IF($A41="","",IF($V41="Cut","Stop it or cut it hard: even the average pound returns "&amp;TEXT($N41,"£0.00")&amp;".",IF($V41="Trim","Reduce spend towards "&amp;TEXT($U41,"£#,##0")&amp;": it pays on average, but the last pound returns "&amp;TEXT($P41,"£0.00")&amp;".",IF($V41="Scale","Add spend in steps towards "&amp;TEXT($U41,"£#,##0")&amp;", measuring each step: the last pound still returns "&amp;TEXT($P41,"£0.00")&amp;".",IF($V41="Hold","Hold: the last pound returns "&amp;TEXT($P41,"£0.00")&amp;", close to what it costs.",IF(LEFT($V41,4)="Test","Run a holdout before moving it: "&amp;TEXT($C41,"£#,##0")&amp;" rests on an assumed factor of "&amp;TEXT($H41,"0.00")&amp;".",""))))))</f>
        <v/>
      </c>
      <c r="X41" s="33" t="str">
        <f aca="false">IF($A41="","",IF($C41&lt;=0,"",COUNTIFS($P$6:$P$45,"&lt;"&amp;$P41,$C$6:$C$45,"&gt;0")+COUNTIFS($P$6:$P41,$P41,$C$6:$C41,"&gt;0")))</f>
        <v/>
      </c>
    </row>
    <row r="42" customFormat="false" ht="15" hidden="false" customHeight="false" outlineLevel="0" collapsed="false">
      <c r="A42" s="9" t="str">
        <f aca="false">IF('Campaign Data'!$A42="","",'Campaign Data'!$A42)</f>
        <v/>
      </c>
      <c r="B42" s="9" t="str">
        <f aca="false">IF($A42="","",IF('Campaign Data'!$B42="","Other",'Campaign Data'!$B42))</f>
        <v/>
      </c>
      <c r="C42" s="11" t="str">
        <f aca="false">IF($A42="","",MAX(0,N('Campaign Data'!$C42)))</f>
        <v/>
      </c>
      <c r="D42" s="12" t="str">
        <f aca="false">IF($A42="","",IFERROR('Campaign Data'!$E42/$C42,0))</f>
        <v/>
      </c>
      <c r="E42" s="27" t="str">
        <f aca="false">IF($A42="","",IF('Campaign Data'!$G42="",Settings!$B$8,'Campaign Data'!$G42))</f>
        <v/>
      </c>
      <c r="F42" s="27" t="str">
        <f aca="false">IF($A42="","",IF('Campaign Data'!$H42="",Settings!$B$7,'Campaign Data'!$H42))</f>
        <v/>
      </c>
      <c r="G42" s="11" t="str">
        <f aca="false">IF($A42="","",N('Campaign Data'!$E42)*(1-$E42))</f>
        <v/>
      </c>
      <c r="H42" s="12" t="str">
        <f aca="false">IF($A42="","",IF(SUMPRODUCT((Tests!$A$6:$A$20=$A42)*(Tests!$D$6:$D$20&gt;0))&gt;0,INDEX(Tests!$F$6:$F$20,MATCH($A42,Tests!$A$6:$A$20,0)),IFERROR(INDEX(Settings!$B$17:$B$25,MATCH($B42,Settings!$A$17:$A$25,0)),0.5)))</f>
        <v/>
      </c>
      <c r="I42" s="9" t="str">
        <f aca="false">IF($A42="","",IF(SUMPRODUCT((Tests!$A$6:$A$20=$A42)*(Tests!$D$6:$D$20&gt;0))&gt;0,"Measured","Assumed"))</f>
        <v/>
      </c>
      <c r="J42" s="28" t="str">
        <f aca="false">IF($A42="","",$G42*$H42)</f>
        <v/>
      </c>
      <c r="K42" s="29" t="str">
        <f aca="false">IF($A42="","",N('Campaign Data'!$D42)*$H42)</f>
        <v/>
      </c>
      <c r="L42" s="11" t="str">
        <f aca="false">IF($A42="","",$J42*$F42-$K42*Settings!$B$9-N('Campaign Data'!$E42)*$E42*$H42*Settings!$B$10)</f>
        <v/>
      </c>
      <c r="M42" s="28" t="str">
        <f aca="false">IF($A42="","",$L42-$C42)</f>
        <v/>
      </c>
      <c r="N42" s="30" t="str">
        <f aca="false">IF($A42="","",IFERROR($L42/$C42,0))</f>
        <v/>
      </c>
      <c r="O42" s="12" t="str">
        <f aca="false">IF($A42="","",IFERROR(INDEX(Settings!$C$17:$C$25,MATCH($B42,Settings!$A$17:$A$25,0)),0.7))</f>
        <v/>
      </c>
      <c r="P42" s="30" t="str">
        <f aca="false">IF($A42="","",$N42*$O42)</f>
        <v/>
      </c>
      <c r="Q42" s="29" t="str">
        <f aca="false">IF($A42="","",N('Campaign Data'!$F42)*$H42)</f>
        <v/>
      </c>
      <c r="R42" s="30" t="str">
        <f aca="false">IF($A42="","",IFERROR($C42/$Q42,0))</f>
        <v/>
      </c>
      <c r="S42" s="26" t="str">
        <f aca="false">IF($A42="","",IFERROR(($L42/$K42)/$R42,0))</f>
        <v/>
      </c>
      <c r="T42" s="31" t="str">
        <f aca="false">IF($A42="","",IFERROR($C42/SUM($C$6:$C$45),0))</f>
        <v/>
      </c>
      <c r="U42" s="28" t="str">
        <f aca="false">IF($A42="","",IF(OR($C42&lt;=0,$P42&lt;=0,$O42&gt;=1),0,$C42*$P42^(1/(1-$O42))))</f>
        <v/>
      </c>
      <c r="V42" s="9" t="str">
        <f aca="false">IF($A42="","",IF(AND($I42="Assumed",$T42&gt;Settings!$B$12,OR(IF($C42&lt;=0,"No spend",IF($N42&lt;1,"Cut",IF($P42&lt;1,"Trim",IF($P42&gt;=Settings!$B$11,"Scale","Hold"))))="Cut",IF($C42&lt;=0,"No spend",IF($N42&lt;1,"Cut",IF($P42&lt;1,"Trim",IF($P42&gt;=Settings!$B$11,"Scale","Hold"))))="Trim",IF($C42&lt;=0,"No spend",IF($N42&lt;1,"Cut",IF($P42&lt;1,"Trim",IF($P42&gt;=Settings!$B$11,"Scale","Hold"))))="Scale")),"Test before you "&amp;LOWER(IF($C42&lt;=0,"No spend",IF($N42&lt;1,"Cut",IF($P42&lt;1,"Trim",IF($P42&gt;=Settings!$B$11,"Scale","Hold"))))),IF($C42&lt;=0,"No spend",IF($N42&lt;1,"Cut",IF($P42&lt;1,"Trim",IF($P42&gt;=Settings!$B$11,"Scale","Hold"))))))</f>
        <v/>
      </c>
      <c r="W42" s="32" t="str">
        <f aca="false">IF($A42="","",IF($V42="Cut","Stop it or cut it hard: even the average pound returns "&amp;TEXT($N42,"£0.00")&amp;".",IF($V42="Trim","Reduce spend towards "&amp;TEXT($U42,"£#,##0")&amp;": it pays on average, but the last pound returns "&amp;TEXT($P42,"£0.00")&amp;".",IF($V42="Scale","Add spend in steps towards "&amp;TEXT($U42,"£#,##0")&amp;", measuring each step: the last pound still returns "&amp;TEXT($P42,"£0.00")&amp;".",IF($V42="Hold","Hold: the last pound returns "&amp;TEXT($P42,"£0.00")&amp;", close to what it costs.",IF(LEFT($V42,4)="Test","Run a holdout before moving it: "&amp;TEXT($C42,"£#,##0")&amp;" rests on an assumed factor of "&amp;TEXT($H42,"0.00")&amp;".",""))))))</f>
        <v/>
      </c>
      <c r="X42" s="33" t="str">
        <f aca="false">IF($A42="","",IF($C42&lt;=0,"",COUNTIFS($P$6:$P$45,"&lt;"&amp;$P42,$C$6:$C$45,"&gt;0")+COUNTIFS($P$6:$P42,$P42,$C$6:$C42,"&gt;0")))</f>
        <v/>
      </c>
    </row>
    <row r="43" customFormat="false" ht="15" hidden="false" customHeight="false" outlineLevel="0" collapsed="false">
      <c r="A43" s="9" t="str">
        <f aca="false">IF('Campaign Data'!$A43="","",'Campaign Data'!$A43)</f>
        <v/>
      </c>
      <c r="B43" s="9" t="str">
        <f aca="false">IF($A43="","",IF('Campaign Data'!$B43="","Other",'Campaign Data'!$B43))</f>
        <v/>
      </c>
      <c r="C43" s="11" t="str">
        <f aca="false">IF($A43="","",MAX(0,N('Campaign Data'!$C43)))</f>
        <v/>
      </c>
      <c r="D43" s="12" t="str">
        <f aca="false">IF($A43="","",IFERROR('Campaign Data'!$E43/$C43,0))</f>
        <v/>
      </c>
      <c r="E43" s="27" t="str">
        <f aca="false">IF($A43="","",IF('Campaign Data'!$G43="",Settings!$B$8,'Campaign Data'!$G43))</f>
        <v/>
      </c>
      <c r="F43" s="27" t="str">
        <f aca="false">IF($A43="","",IF('Campaign Data'!$H43="",Settings!$B$7,'Campaign Data'!$H43))</f>
        <v/>
      </c>
      <c r="G43" s="11" t="str">
        <f aca="false">IF($A43="","",N('Campaign Data'!$E43)*(1-$E43))</f>
        <v/>
      </c>
      <c r="H43" s="12" t="str">
        <f aca="false">IF($A43="","",IF(SUMPRODUCT((Tests!$A$6:$A$20=$A43)*(Tests!$D$6:$D$20&gt;0))&gt;0,INDEX(Tests!$F$6:$F$20,MATCH($A43,Tests!$A$6:$A$20,0)),IFERROR(INDEX(Settings!$B$17:$B$25,MATCH($B43,Settings!$A$17:$A$25,0)),0.5)))</f>
        <v/>
      </c>
      <c r="I43" s="9" t="str">
        <f aca="false">IF($A43="","",IF(SUMPRODUCT((Tests!$A$6:$A$20=$A43)*(Tests!$D$6:$D$20&gt;0))&gt;0,"Measured","Assumed"))</f>
        <v/>
      </c>
      <c r="J43" s="28" t="str">
        <f aca="false">IF($A43="","",$G43*$H43)</f>
        <v/>
      </c>
      <c r="K43" s="29" t="str">
        <f aca="false">IF($A43="","",N('Campaign Data'!$D43)*$H43)</f>
        <v/>
      </c>
      <c r="L43" s="11" t="str">
        <f aca="false">IF($A43="","",$J43*$F43-$K43*Settings!$B$9-N('Campaign Data'!$E43)*$E43*$H43*Settings!$B$10)</f>
        <v/>
      </c>
      <c r="M43" s="28" t="str">
        <f aca="false">IF($A43="","",$L43-$C43)</f>
        <v/>
      </c>
      <c r="N43" s="30" t="str">
        <f aca="false">IF($A43="","",IFERROR($L43/$C43,0))</f>
        <v/>
      </c>
      <c r="O43" s="12" t="str">
        <f aca="false">IF($A43="","",IFERROR(INDEX(Settings!$C$17:$C$25,MATCH($B43,Settings!$A$17:$A$25,0)),0.7))</f>
        <v/>
      </c>
      <c r="P43" s="30" t="str">
        <f aca="false">IF($A43="","",$N43*$O43)</f>
        <v/>
      </c>
      <c r="Q43" s="29" t="str">
        <f aca="false">IF($A43="","",N('Campaign Data'!$F43)*$H43)</f>
        <v/>
      </c>
      <c r="R43" s="30" t="str">
        <f aca="false">IF($A43="","",IFERROR($C43/$Q43,0))</f>
        <v/>
      </c>
      <c r="S43" s="26" t="str">
        <f aca="false">IF($A43="","",IFERROR(($L43/$K43)/$R43,0))</f>
        <v/>
      </c>
      <c r="T43" s="31" t="str">
        <f aca="false">IF($A43="","",IFERROR($C43/SUM($C$6:$C$45),0))</f>
        <v/>
      </c>
      <c r="U43" s="28" t="str">
        <f aca="false">IF($A43="","",IF(OR($C43&lt;=0,$P43&lt;=0,$O43&gt;=1),0,$C43*$P43^(1/(1-$O43))))</f>
        <v/>
      </c>
      <c r="V43" s="9" t="str">
        <f aca="false">IF($A43="","",IF(AND($I43="Assumed",$T43&gt;Settings!$B$12,OR(IF($C43&lt;=0,"No spend",IF($N43&lt;1,"Cut",IF($P43&lt;1,"Trim",IF($P43&gt;=Settings!$B$11,"Scale","Hold"))))="Cut",IF($C43&lt;=0,"No spend",IF($N43&lt;1,"Cut",IF($P43&lt;1,"Trim",IF($P43&gt;=Settings!$B$11,"Scale","Hold"))))="Trim",IF($C43&lt;=0,"No spend",IF($N43&lt;1,"Cut",IF($P43&lt;1,"Trim",IF($P43&gt;=Settings!$B$11,"Scale","Hold"))))="Scale")),"Test before you "&amp;LOWER(IF($C43&lt;=0,"No spend",IF($N43&lt;1,"Cut",IF($P43&lt;1,"Trim",IF($P43&gt;=Settings!$B$11,"Scale","Hold"))))),IF($C43&lt;=0,"No spend",IF($N43&lt;1,"Cut",IF($P43&lt;1,"Trim",IF($P43&gt;=Settings!$B$11,"Scale","Hold"))))))</f>
        <v/>
      </c>
      <c r="W43" s="32" t="str">
        <f aca="false">IF($A43="","",IF($V43="Cut","Stop it or cut it hard: even the average pound returns "&amp;TEXT($N43,"£0.00")&amp;".",IF($V43="Trim","Reduce spend towards "&amp;TEXT($U43,"£#,##0")&amp;": it pays on average, but the last pound returns "&amp;TEXT($P43,"£0.00")&amp;".",IF($V43="Scale","Add spend in steps towards "&amp;TEXT($U43,"£#,##0")&amp;", measuring each step: the last pound still returns "&amp;TEXT($P43,"£0.00")&amp;".",IF($V43="Hold","Hold: the last pound returns "&amp;TEXT($P43,"£0.00")&amp;", close to what it costs.",IF(LEFT($V43,4)="Test","Run a holdout before moving it: "&amp;TEXT($C43,"£#,##0")&amp;" rests on an assumed factor of "&amp;TEXT($H43,"0.00")&amp;".",""))))))</f>
        <v/>
      </c>
      <c r="X43" s="33" t="str">
        <f aca="false">IF($A43="","",IF($C43&lt;=0,"",COUNTIFS($P$6:$P$45,"&lt;"&amp;$P43,$C$6:$C$45,"&gt;0")+COUNTIFS($P$6:$P43,$P43,$C$6:$C43,"&gt;0")))</f>
        <v/>
      </c>
    </row>
    <row r="44" customFormat="false" ht="15" hidden="false" customHeight="false" outlineLevel="0" collapsed="false">
      <c r="A44" s="9" t="str">
        <f aca="false">IF('Campaign Data'!$A44="","",'Campaign Data'!$A44)</f>
        <v/>
      </c>
      <c r="B44" s="9" t="str">
        <f aca="false">IF($A44="","",IF('Campaign Data'!$B44="","Other",'Campaign Data'!$B44))</f>
        <v/>
      </c>
      <c r="C44" s="11" t="str">
        <f aca="false">IF($A44="","",MAX(0,N('Campaign Data'!$C44)))</f>
        <v/>
      </c>
      <c r="D44" s="12" t="str">
        <f aca="false">IF($A44="","",IFERROR('Campaign Data'!$E44/$C44,0))</f>
        <v/>
      </c>
      <c r="E44" s="27" t="str">
        <f aca="false">IF($A44="","",IF('Campaign Data'!$G44="",Settings!$B$8,'Campaign Data'!$G44))</f>
        <v/>
      </c>
      <c r="F44" s="27" t="str">
        <f aca="false">IF($A44="","",IF('Campaign Data'!$H44="",Settings!$B$7,'Campaign Data'!$H44))</f>
        <v/>
      </c>
      <c r="G44" s="11" t="str">
        <f aca="false">IF($A44="","",N('Campaign Data'!$E44)*(1-$E44))</f>
        <v/>
      </c>
      <c r="H44" s="12" t="str">
        <f aca="false">IF($A44="","",IF(SUMPRODUCT((Tests!$A$6:$A$20=$A44)*(Tests!$D$6:$D$20&gt;0))&gt;0,INDEX(Tests!$F$6:$F$20,MATCH($A44,Tests!$A$6:$A$20,0)),IFERROR(INDEX(Settings!$B$17:$B$25,MATCH($B44,Settings!$A$17:$A$25,0)),0.5)))</f>
        <v/>
      </c>
      <c r="I44" s="9" t="str">
        <f aca="false">IF($A44="","",IF(SUMPRODUCT((Tests!$A$6:$A$20=$A44)*(Tests!$D$6:$D$20&gt;0))&gt;0,"Measured","Assumed"))</f>
        <v/>
      </c>
      <c r="J44" s="28" t="str">
        <f aca="false">IF($A44="","",$G44*$H44)</f>
        <v/>
      </c>
      <c r="K44" s="29" t="str">
        <f aca="false">IF($A44="","",N('Campaign Data'!$D44)*$H44)</f>
        <v/>
      </c>
      <c r="L44" s="11" t="str">
        <f aca="false">IF($A44="","",$J44*$F44-$K44*Settings!$B$9-N('Campaign Data'!$E44)*$E44*$H44*Settings!$B$10)</f>
        <v/>
      </c>
      <c r="M44" s="28" t="str">
        <f aca="false">IF($A44="","",$L44-$C44)</f>
        <v/>
      </c>
      <c r="N44" s="30" t="str">
        <f aca="false">IF($A44="","",IFERROR($L44/$C44,0))</f>
        <v/>
      </c>
      <c r="O44" s="12" t="str">
        <f aca="false">IF($A44="","",IFERROR(INDEX(Settings!$C$17:$C$25,MATCH($B44,Settings!$A$17:$A$25,0)),0.7))</f>
        <v/>
      </c>
      <c r="P44" s="30" t="str">
        <f aca="false">IF($A44="","",$N44*$O44)</f>
        <v/>
      </c>
      <c r="Q44" s="29" t="str">
        <f aca="false">IF($A44="","",N('Campaign Data'!$F44)*$H44)</f>
        <v/>
      </c>
      <c r="R44" s="30" t="str">
        <f aca="false">IF($A44="","",IFERROR($C44/$Q44,0))</f>
        <v/>
      </c>
      <c r="S44" s="26" t="str">
        <f aca="false">IF($A44="","",IFERROR(($L44/$K44)/$R44,0))</f>
        <v/>
      </c>
      <c r="T44" s="31" t="str">
        <f aca="false">IF($A44="","",IFERROR($C44/SUM($C$6:$C$45),0))</f>
        <v/>
      </c>
      <c r="U44" s="28" t="str">
        <f aca="false">IF($A44="","",IF(OR($C44&lt;=0,$P44&lt;=0,$O44&gt;=1),0,$C44*$P44^(1/(1-$O44))))</f>
        <v/>
      </c>
      <c r="V44" s="9" t="str">
        <f aca="false">IF($A44="","",IF(AND($I44="Assumed",$T44&gt;Settings!$B$12,OR(IF($C44&lt;=0,"No spend",IF($N44&lt;1,"Cut",IF($P44&lt;1,"Trim",IF($P44&gt;=Settings!$B$11,"Scale","Hold"))))="Cut",IF($C44&lt;=0,"No spend",IF($N44&lt;1,"Cut",IF($P44&lt;1,"Trim",IF($P44&gt;=Settings!$B$11,"Scale","Hold"))))="Trim",IF($C44&lt;=0,"No spend",IF($N44&lt;1,"Cut",IF($P44&lt;1,"Trim",IF($P44&gt;=Settings!$B$11,"Scale","Hold"))))="Scale")),"Test before you "&amp;LOWER(IF($C44&lt;=0,"No spend",IF($N44&lt;1,"Cut",IF($P44&lt;1,"Trim",IF($P44&gt;=Settings!$B$11,"Scale","Hold"))))),IF($C44&lt;=0,"No spend",IF($N44&lt;1,"Cut",IF($P44&lt;1,"Trim",IF($P44&gt;=Settings!$B$11,"Scale","Hold"))))))</f>
        <v/>
      </c>
      <c r="W44" s="32" t="str">
        <f aca="false">IF($A44="","",IF($V44="Cut","Stop it or cut it hard: even the average pound returns "&amp;TEXT($N44,"£0.00")&amp;".",IF($V44="Trim","Reduce spend towards "&amp;TEXT($U44,"£#,##0")&amp;": it pays on average, but the last pound returns "&amp;TEXT($P44,"£0.00")&amp;".",IF($V44="Scale","Add spend in steps towards "&amp;TEXT($U44,"£#,##0")&amp;", measuring each step: the last pound still returns "&amp;TEXT($P44,"£0.00")&amp;".",IF($V44="Hold","Hold: the last pound returns "&amp;TEXT($P44,"£0.00")&amp;", close to what it costs.",IF(LEFT($V44,4)="Test","Run a holdout before moving it: "&amp;TEXT($C44,"£#,##0")&amp;" rests on an assumed factor of "&amp;TEXT($H44,"0.00")&amp;".",""))))))</f>
        <v/>
      </c>
      <c r="X44" s="33" t="str">
        <f aca="false">IF($A44="","",IF($C44&lt;=0,"",COUNTIFS($P$6:$P$45,"&lt;"&amp;$P44,$C$6:$C$45,"&gt;0")+COUNTIFS($P$6:$P44,$P44,$C$6:$C44,"&gt;0")))</f>
        <v/>
      </c>
    </row>
    <row r="45" customFormat="false" ht="15" hidden="false" customHeight="false" outlineLevel="0" collapsed="false">
      <c r="A45" s="9" t="str">
        <f aca="false">IF('Campaign Data'!$A45="","",'Campaign Data'!$A45)</f>
        <v/>
      </c>
      <c r="B45" s="9" t="str">
        <f aca="false">IF($A45="","",IF('Campaign Data'!$B45="","Other",'Campaign Data'!$B45))</f>
        <v/>
      </c>
      <c r="C45" s="11" t="str">
        <f aca="false">IF($A45="","",MAX(0,N('Campaign Data'!$C45)))</f>
        <v/>
      </c>
      <c r="D45" s="12" t="str">
        <f aca="false">IF($A45="","",IFERROR('Campaign Data'!$E45/$C45,0))</f>
        <v/>
      </c>
      <c r="E45" s="27" t="str">
        <f aca="false">IF($A45="","",IF('Campaign Data'!$G45="",Settings!$B$8,'Campaign Data'!$G45))</f>
        <v/>
      </c>
      <c r="F45" s="27" t="str">
        <f aca="false">IF($A45="","",IF('Campaign Data'!$H45="",Settings!$B$7,'Campaign Data'!$H45))</f>
        <v/>
      </c>
      <c r="G45" s="11" t="str">
        <f aca="false">IF($A45="","",N('Campaign Data'!$E45)*(1-$E45))</f>
        <v/>
      </c>
      <c r="H45" s="12" t="str">
        <f aca="false">IF($A45="","",IF(SUMPRODUCT((Tests!$A$6:$A$20=$A45)*(Tests!$D$6:$D$20&gt;0))&gt;0,INDEX(Tests!$F$6:$F$20,MATCH($A45,Tests!$A$6:$A$20,0)),IFERROR(INDEX(Settings!$B$17:$B$25,MATCH($B45,Settings!$A$17:$A$25,0)),0.5)))</f>
        <v/>
      </c>
      <c r="I45" s="9" t="str">
        <f aca="false">IF($A45="","",IF(SUMPRODUCT((Tests!$A$6:$A$20=$A45)*(Tests!$D$6:$D$20&gt;0))&gt;0,"Measured","Assumed"))</f>
        <v/>
      </c>
      <c r="J45" s="28" t="str">
        <f aca="false">IF($A45="","",$G45*$H45)</f>
        <v/>
      </c>
      <c r="K45" s="29" t="str">
        <f aca="false">IF($A45="","",N('Campaign Data'!$D45)*$H45)</f>
        <v/>
      </c>
      <c r="L45" s="11" t="str">
        <f aca="false">IF($A45="","",$J45*$F45-$K45*Settings!$B$9-N('Campaign Data'!$E45)*$E45*$H45*Settings!$B$10)</f>
        <v/>
      </c>
      <c r="M45" s="28" t="str">
        <f aca="false">IF($A45="","",$L45-$C45)</f>
        <v/>
      </c>
      <c r="N45" s="30" t="str">
        <f aca="false">IF($A45="","",IFERROR($L45/$C45,0))</f>
        <v/>
      </c>
      <c r="O45" s="12" t="str">
        <f aca="false">IF($A45="","",IFERROR(INDEX(Settings!$C$17:$C$25,MATCH($B45,Settings!$A$17:$A$25,0)),0.7))</f>
        <v/>
      </c>
      <c r="P45" s="30" t="str">
        <f aca="false">IF($A45="","",$N45*$O45)</f>
        <v/>
      </c>
      <c r="Q45" s="29" t="str">
        <f aca="false">IF($A45="","",N('Campaign Data'!$F45)*$H45)</f>
        <v/>
      </c>
      <c r="R45" s="30" t="str">
        <f aca="false">IF($A45="","",IFERROR($C45/$Q45,0))</f>
        <v/>
      </c>
      <c r="S45" s="26" t="str">
        <f aca="false">IF($A45="","",IFERROR(($L45/$K45)/$R45,0))</f>
        <v/>
      </c>
      <c r="T45" s="31" t="str">
        <f aca="false">IF($A45="","",IFERROR($C45/SUM($C$6:$C$45),0))</f>
        <v/>
      </c>
      <c r="U45" s="28" t="str">
        <f aca="false">IF($A45="","",IF(OR($C45&lt;=0,$P45&lt;=0,$O45&gt;=1),0,$C45*$P45^(1/(1-$O45))))</f>
        <v/>
      </c>
      <c r="V45" s="9" t="str">
        <f aca="false">IF($A45="","",IF(AND($I45="Assumed",$T45&gt;Settings!$B$12,OR(IF($C45&lt;=0,"No spend",IF($N45&lt;1,"Cut",IF($P45&lt;1,"Trim",IF($P45&gt;=Settings!$B$11,"Scale","Hold"))))="Cut",IF($C45&lt;=0,"No spend",IF($N45&lt;1,"Cut",IF($P45&lt;1,"Trim",IF($P45&gt;=Settings!$B$11,"Scale","Hold"))))="Trim",IF($C45&lt;=0,"No spend",IF($N45&lt;1,"Cut",IF($P45&lt;1,"Trim",IF($P45&gt;=Settings!$B$11,"Scale","Hold"))))="Scale")),"Test before you "&amp;LOWER(IF($C45&lt;=0,"No spend",IF($N45&lt;1,"Cut",IF($P45&lt;1,"Trim",IF($P45&gt;=Settings!$B$11,"Scale","Hold"))))),IF($C45&lt;=0,"No spend",IF($N45&lt;1,"Cut",IF($P45&lt;1,"Trim",IF($P45&gt;=Settings!$B$11,"Scale","Hold"))))))</f>
        <v/>
      </c>
      <c r="W45" s="32" t="str">
        <f aca="false">IF($A45="","",IF($V45="Cut","Stop it or cut it hard: even the average pound returns "&amp;TEXT($N45,"£0.00")&amp;".",IF($V45="Trim","Reduce spend towards "&amp;TEXT($U45,"£#,##0")&amp;": it pays on average, but the last pound returns "&amp;TEXT($P45,"£0.00")&amp;".",IF($V45="Scale","Add spend in steps towards "&amp;TEXT($U45,"£#,##0")&amp;", measuring each step: the last pound still returns "&amp;TEXT($P45,"£0.00")&amp;".",IF($V45="Hold","Hold: the last pound returns "&amp;TEXT($P45,"£0.00")&amp;", close to what it costs.",IF(LEFT($V45,4)="Test","Run a holdout before moving it: "&amp;TEXT($C45,"£#,##0")&amp;" rests on an assumed factor of "&amp;TEXT($H45,"0.00")&amp;".",""))))))</f>
        <v/>
      </c>
      <c r="X45" s="33" t="str">
        <f aca="false">IF($A45="","",IF($C45&lt;=0,"",COUNTIFS($P$6:$P$45,"&lt;"&amp;$P45,$C$6:$C$45,"&gt;0")+COUNTIFS($P$6:$P45,$P45,$C$6:$C45,"&gt;0")))</f>
        <v/>
      </c>
    </row>
    <row r="46" customFormat="false" ht="15" hidden="false" customHeight="false" outlineLevel="0" collapsed="false">
      <c r="A46" s="34" t="s">
        <v>153</v>
      </c>
      <c r="B46" s="35"/>
      <c r="C46" s="36" t="n">
        <f aca="false">SUM(C6:C45)</f>
        <v>685000</v>
      </c>
      <c r="D46" s="37" t="n">
        <f aca="false">IFERROR(SUM('Campaign Data'!E6:E45)/C46,0)</f>
        <v>5.68905109489051</v>
      </c>
      <c r="G46" s="36" t="n">
        <f aca="false">SUM(G6:G45)</f>
        <v>3044700</v>
      </c>
      <c r="H46" s="38" t="n">
        <f aca="false">IFERROR(J46/G46,0)</f>
        <v>0.539328997930831</v>
      </c>
      <c r="J46" s="36" t="n">
        <f aca="false">SUM(J6:J45)</f>
        <v>1642095</v>
      </c>
      <c r="K46" s="39" t="n">
        <f aca="false">SUM(K6:K45)</f>
        <v>22115</v>
      </c>
      <c r="L46" s="36" t="n">
        <f aca="false">SUM(L6:L45)</f>
        <v>705973.46</v>
      </c>
      <c r="M46" s="36" t="n">
        <f aca="false">SUM(M6:M45)</f>
        <v>20973.46</v>
      </c>
      <c r="N46" s="40" t="n">
        <f aca="false">IFERROR(L46/C46,0)</f>
        <v>1.03061818978102</v>
      </c>
      <c r="Q46" s="39" t="n">
        <f aca="false">SUM(Q6:Q45)</f>
        <v>9095</v>
      </c>
    </row>
  </sheetData>
  <sheetProtection sheet="true" formatColumns="false" formatRows="false"/>
  <conditionalFormatting sqref="V6:V45">
    <cfRule type="cellIs" priority="2" operator="equal" aboveAverage="0" equalAverage="0" bottom="0" percent="0" rank="0" text="" dxfId="2">
      <formula>"Cut"</formula>
    </cfRule>
    <cfRule type="cellIs" priority="3" operator="equal" aboveAverage="0" equalAverage="0" bottom="0" percent="0" rank="0" text="" dxfId="1">
      <formula>"Trim"</formula>
    </cfRule>
    <cfRule type="cellIs" priority="4" operator="equal" aboveAverage="0" equalAverage="0" bottom="0" percent="0" rank="0" text="" dxfId="0">
      <formula>"Scale"</formula>
    </cfRule>
    <cfRule type="expression" priority="5" aboveAverage="0" equalAverage="0" bottom="0" percent="0" rank="0" text="" dxfId="3">
      <formula>LEFT(V6,4)="Test"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4" min="2" style="0" width="14"/>
    <col collapsed="false" customWidth="true" hidden="false" outlineLevel="0" max="6" min="5" style="0" width="16"/>
    <col collapsed="false" customWidth="true" hidden="false" outlineLevel="0" max="7" min="7" style="0" width="18"/>
    <col collapsed="false" customWidth="true" hidden="false" outlineLevel="0" max="22" min="8" style="0" width="12"/>
  </cols>
  <sheetData>
    <row r="1" customFormat="false" ht="17.35" hidden="false" customHeight="false" outlineLevel="0" collapsed="false">
      <c r="A1" s="1" t="s">
        <v>154</v>
      </c>
    </row>
    <row r="2" customFormat="false" ht="15" hidden="false" customHeight="false" outlineLevel="0" collapsed="false">
      <c r="A2" s="2" t="s">
        <v>155</v>
      </c>
    </row>
    <row r="4" customFormat="false" ht="51.75" hidden="false" customHeight="true" outlineLevel="0" collapsed="false">
      <c r="A4" s="15" t="s">
        <v>156</v>
      </c>
      <c r="B4" s="15" t="s">
        <v>157</v>
      </c>
      <c r="C4" s="15" t="s">
        <v>158</v>
      </c>
      <c r="D4" s="15" t="s">
        <v>159</v>
      </c>
      <c r="E4" s="15" t="s">
        <v>160</v>
      </c>
      <c r="F4" s="15" t="s">
        <v>161</v>
      </c>
      <c r="G4" s="15" t="s">
        <v>162</v>
      </c>
    </row>
    <row r="5" customFormat="false" ht="15" hidden="false" customHeight="false" outlineLevel="0" collapsed="false">
      <c r="A5" s="41" t="n">
        <v>0.1</v>
      </c>
      <c r="B5" s="28" t="n">
        <f aca="false">SUM(I12:I51)</f>
        <v>68500</v>
      </c>
      <c r="C5" s="28" t="n">
        <f aca="false">SUM(K12:K51)</f>
        <v>38347.8513504306</v>
      </c>
      <c r="D5" s="27" t="n">
        <f aca="false">IFERROR(C5/Settings!$B$6,0)</f>
        <v>0.00479348141880382</v>
      </c>
      <c r="E5" s="28" t="n">
        <f aca="false">SUM(J12:J51)</f>
        <v>13226.6283899872</v>
      </c>
      <c r="F5" s="28" t="n">
        <f aca="false">B5-E5</f>
        <v>55273.3716100128</v>
      </c>
      <c r="G5" s="28" t="n">
        <f aca="false">B5-SUM(L12:L51)</f>
        <v>20905.1463517953</v>
      </c>
    </row>
    <row r="6" customFormat="false" ht="15" hidden="false" customHeight="false" outlineLevel="0" collapsed="false">
      <c r="A6" s="41" t="n">
        <v>0.2</v>
      </c>
      <c r="B6" s="28" t="n">
        <f aca="false">SUM(N12:N51)</f>
        <v>137000</v>
      </c>
      <c r="C6" s="28" t="n">
        <f aca="false">SUM(P12:P51)</f>
        <v>136773.413205898</v>
      </c>
      <c r="D6" s="27" t="n">
        <f aca="false">IFERROR(C6/Settings!$B$6,0)</f>
        <v>0.0170966766507372</v>
      </c>
      <c r="E6" s="28" t="n">
        <f aca="false">SUM(O12:O51)</f>
        <v>42238.8918476989</v>
      </c>
      <c r="F6" s="28" t="n">
        <f aca="false">B6-E6</f>
        <v>94761.1081523011</v>
      </c>
      <c r="G6" s="28" t="n">
        <f aca="false">B6-SUM(Q12:Q51)</f>
        <v>40073.1643626428</v>
      </c>
    </row>
    <row r="7" customFormat="false" ht="15" hidden="false" customHeight="false" outlineLevel="0" collapsed="false">
      <c r="A7" s="41" t="n">
        <v>0.3</v>
      </c>
      <c r="B7" s="28" t="n">
        <f aca="false">SUM(S12:S51)</f>
        <v>205500</v>
      </c>
      <c r="C7" s="28" t="n">
        <f aca="false">SUM(U12:U51)</f>
        <v>239857.504342939</v>
      </c>
      <c r="D7" s="27" t="n">
        <f aca="false">IFERROR(C7/Settings!$B$6,0)</f>
        <v>0.0299821880428674</v>
      </c>
      <c r="E7" s="28" t="n">
        <f aca="false">SUM(T12:T51)</f>
        <v>87571.0003947032</v>
      </c>
      <c r="F7" s="28" t="n">
        <f aca="false">B7-E7</f>
        <v>117928.999605297</v>
      </c>
      <c r="G7" s="28" t="n">
        <f aca="false">B7-SUM(V12:V51)</f>
        <v>57202.7852856839</v>
      </c>
    </row>
    <row r="8" customFormat="false" ht="15" hidden="false" customHeight="false" outlineLevel="0" collapsed="false">
      <c r="A8" s="8" t="s">
        <v>163</v>
      </c>
      <c r="B8" s="42" t="n">
        <f aca="false">INDEX(A5:A7,MATCH(MAX(F5:F7),F5:F7,0))</f>
        <v>0.3</v>
      </c>
      <c r="C8" s="43" t="str">
        <f aca="false">IF(MAX(F5:F7)&gt;0,"Cutting adds contribution: the least efficient spend costs more than it earns.","Every cut tested loses contribution: the budget is not the problem to solve.")</f>
        <v>Cutting adds contribution: the least efficient spend costs more than it earns.</v>
      </c>
      <c r="D8" s="43"/>
      <c r="E8" s="43"/>
      <c r="F8" s="43"/>
      <c r="G8" s="43"/>
    </row>
    <row r="10" customFormat="false" ht="15" hidden="false" customHeight="false" outlineLevel="0" collapsed="false">
      <c r="A10" s="10" t="s">
        <v>164</v>
      </c>
      <c r="B10" s="10"/>
      <c r="C10" s="10"/>
      <c r="D10" s="10"/>
      <c r="E10" s="10"/>
      <c r="F10" s="10"/>
      <c r="G10" s="10"/>
    </row>
    <row r="11" customFormat="false" ht="57.75" hidden="false" customHeight="true" outlineLevel="0" collapsed="false">
      <c r="A11" s="15" t="s">
        <v>100</v>
      </c>
      <c r="B11" s="15" t="s">
        <v>31</v>
      </c>
      <c r="C11" s="15" t="s">
        <v>165</v>
      </c>
      <c r="D11" s="15" t="s">
        <v>166</v>
      </c>
      <c r="E11" s="15" t="s">
        <v>144</v>
      </c>
      <c r="F11" s="15" t="s">
        <v>142</v>
      </c>
      <c r="G11" s="15" t="s">
        <v>81</v>
      </c>
      <c r="H11" s="15" t="s">
        <v>167</v>
      </c>
      <c r="I11" s="15" t="s">
        <v>168</v>
      </c>
      <c r="J11" s="15" t="s">
        <v>169</v>
      </c>
      <c r="K11" s="15" t="s">
        <v>170</v>
      </c>
      <c r="L11" s="15" t="s">
        <v>171</v>
      </c>
      <c r="M11" s="15" t="s">
        <v>172</v>
      </c>
      <c r="N11" s="15" t="s">
        <v>173</v>
      </c>
      <c r="O11" s="15" t="s">
        <v>174</v>
      </c>
      <c r="P11" s="15" t="s">
        <v>175</v>
      </c>
      <c r="Q11" s="15" t="s">
        <v>176</v>
      </c>
      <c r="R11" s="15" t="s">
        <v>177</v>
      </c>
      <c r="S11" s="15" t="s">
        <v>178</v>
      </c>
      <c r="T11" s="15" t="s">
        <v>179</v>
      </c>
      <c r="U11" s="15" t="s">
        <v>180</v>
      </c>
      <c r="V11" s="15" t="s">
        <v>181</v>
      </c>
    </row>
    <row r="12" customFormat="false" ht="15" hidden="false" customHeight="false" outlineLevel="0" collapsed="false">
      <c r="A12" s="9" t="str">
        <f aca="false">'Campaign Analysis'!$A$6</f>
        <v>Brand search</v>
      </c>
      <c r="B12" s="11" t="n">
        <f aca="false">N('Campaign Analysis'!$C$6)</f>
        <v>60000</v>
      </c>
      <c r="C12" s="9" t="n">
        <f aca="false">'Campaign Analysis'!$X$6</f>
        <v>6</v>
      </c>
      <c r="D12" s="28" t="n">
        <f aca="false">IF($C12="",0,SUMIF($C$12:$C$51,"&lt;"&amp;$C12,$B$12:$B$51))</f>
        <v>160000</v>
      </c>
      <c r="E12" s="11" t="n">
        <f aca="false">N('Campaign Analysis'!$L$6)</f>
        <v>62496</v>
      </c>
      <c r="F12" s="11" t="n">
        <f aca="false">N('Campaign Analysis'!$J$6)</f>
        <v>140400</v>
      </c>
      <c r="G12" s="12" t="n">
        <f aca="false">N('Campaign Analysis'!$O$6)</f>
        <v>0.4</v>
      </c>
      <c r="H12" s="42" t="n">
        <f aca="false">IF($B12&lt;=0,0,MIN(1,MAX(0,($A$5*SUM($B$12:$B$51)-$D12)/$B12)))</f>
        <v>0</v>
      </c>
      <c r="I12" s="28" t="n">
        <f aca="false">$B12*H12</f>
        <v>0</v>
      </c>
      <c r="J12" s="28" t="n">
        <f aca="false">$E12*(1-(1-H12)^$G12)</f>
        <v>0</v>
      </c>
      <c r="K12" s="28" t="n">
        <f aca="false">$F12*(1-(1-H12)^$G12)</f>
        <v>0</v>
      </c>
      <c r="L12" s="28" t="n">
        <f aca="false">IF($B12&lt;=0,0,$E12*(1-(1-$A$5)^$G12))</f>
        <v>2579.11520642564</v>
      </c>
      <c r="M12" s="42" t="n">
        <f aca="false">IF($B12&lt;=0,0,MIN(1,MAX(0,($A$6*SUM($B$12:$B$51)-$D12)/$B12)))</f>
        <v>0</v>
      </c>
      <c r="N12" s="28" t="n">
        <f aca="false">$B12*M12</f>
        <v>0</v>
      </c>
      <c r="O12" s="28" t="n">
        <f aca="false">$E12*(1-(1-M12)^$G12)</f>
        <v>0</v>
      </c>
      <c r="P12" s="28" t="n">
        <f aca="false">$F12*(1-(1-M12)^$G12)</f>
        <v>0</v>
      </c>
      <c r="Q12" s="28" t="n">
        <f aca="false">IF($B12&lt;=0,0,$E12*(1-(1-$A$6)^$G12))</f>
        <v>5336.52694949963</v>
      </c>
      <c r="R12" s="42" t="n">
        <f aca="false">IF($B12&lt;=0,0,MIN(1,MAX(0,($A$7*SUM($B$12:$B$51)-$D12)/$B12)))</f>
        <v>0.758333333333333</v>
      </c>
      <c r="S12" s="28" t="n">
        <f aca="false">$B12*R12</f>
        <v>45500</v>
      </c>
      <c r="T12" s="28" t="n">
        <f aca="false">$E12*(1-(1-R12)^$G12)</f>
        <v>27084.9403947032</v>
      </c>
      <c r="U12" s="28" t="n">
        <f aca="false">$F12*(1-(1-R12)^$G12)</f>
        <v>60847.5043429392</v>
      </c>
      <c r="V12" s="28" t="n">
        <f aca="false">IF($B12&lt;=0,0,$E12*(1-(1-$A$7)^$G12))</f>
        <v>8309.45788683731</v>
      </c>
    </row>
    <row r="13" customFormat="false" ht="15" hidden="false" customHeight="false" outlineLevel="0" collapsed="false">
      <c r="A13" s="9" t="str">
        <f aca="false">'Campaign Analysis'!$A$7</f>
        <v>Generic search: core categories</v>
      </c>
      <c r="B13" s="11" t="n">
        <f aca="false">N('Campaign Analysis'!$C$7)</f>
        <v>120000</v>
      </c>
      <c r="C13" s="9" t="n">
        <f aca="false">'Campaign Analysis'!$X$7</f>
        <v>9</v>
      </c>
      <c r="D13" s="28" t="n">
        <f aca="false">IF($C13="",0,SUMIF($C$12:$C$51,"&lt;"&amp;$C13,$B$12:$B$51))</f>
        <v>420000</v>
      </c>
      <c r="E13" s="11" t="n">
        <f aca="false">N('Campaign Analysis'!$L$7)</f>
        <v>145824</v>
      </c>
      <c r="F13" s="11" t="n">
        <f aca="false">N('Campaign Analysis'!$J$7)</f>
        <v>327600</v>
      </c>
      <c r="G13" s="12" t="n">
        <f aca="false">N('Campaign Analysis'!$O$7)</f>
        <v>0.65</v>
      </c>
      <c r="H13" s="42" t="n">
        <f aca="false">IF($B13&lt;=0,0,MIN(1,MAX(0,($A$5*SUM($B$12:$B$51)-$D13)/$B13)))</f>
        <v>0</v>
      </c>
      <c r="I13" s="28" t="n">
        <f aca="false">$B13*H13</f>
        <v>0</v>
      </c>
      <c r="J13" s="28" t="n">
        <f aca="false">$E13*(1-(1-H13)^$G13)</f>
        <v>0</v>
      </c>
      <c r="K13" s="28" t="n">
        <f aca="false">$F13*(1-(1-H13)^$G13)</f>
        <v>0</v>
      </c>
      <c r="L13" s="28" t="n">
        <f aca="false">IF($B13&lt;=0,0,$E13*(1-(1-$A$5)^$G13))</f>
        <v>9652.36938615992</v>
      </c>
      <c r="M13" s="42" t="n">
        <f aca="false">IF($B13&lt;=0,0,MIN(1,MAX(0,($A$6*SUM($B$12:$B$51)-$D13)/$B13)))</f>
        <v>0</v>
      </c>
      <c r="N13" s="28" t="n">
        <f aca="false">$B13*M13</f>
        <v>0</v>
      </c>
      <c r="O13" s="28" t="n">
        <f aca="false">$E13*(1-(1-M13)^$G13)</f>
        <v>0</v>
      </c>
      <c r="P13" s="28" t="n">
        <f aca="false">$F13*(1-(1-M13)^$G13)</f>
        <v>0</v>
      </c>
      <c r="Q13" s="28" t="n">
        <f aca="false">IF($B13&lt;=0,0,$E13*(1-(1-$A$6)^$G13))</f>
        <v>19688.4519707076</v>
      </c>
      <c r="R13" s="42" t="n">
        <f aca="false">IF($B13&lt;=0,0,MIN(1,MAX(0,($A$7*SUM($B$12:$B$51)-$D13)/$B13)))</f>
        <v>0</v>
      </c>
      <c r="S13" s="28" t="n">
        <f aca="false">$B13*R13</f>
        <v>0</v>
      </c>
      <c r="T13" s="28" t="n">
        <f aca="false">$E13*(1-(1-R13)^$G13)</f>
        <v>0</v>
      </c>
      <c r="U13" s="28" t="n">
        <f aca="false">$F13*(1-(1-R13)^$G13)</f>
        <v>0</v>
      </c>
      <c r="V13" s="28" t="n">
        <f aca="false">IF($B13&lt;=0,0,$E13*(1-(1-$A$7)^$G13))</f>
        <v>30174.7733670232</v>
      </c>
    </row>
    <row r="14" customFormat="false" ht="15" hidden="false" customHeight="false" outlineLevel="0" collapsed="false">
      <c r="A14" s="9" t="str">
        <f aca="false">'Campaign Analysis'!$A$8</f>
        <v>Generic search: long tail</v>
      </c>
      <c r="B14" s="11" t="n">
        <f aca="false">N('Campaign Analysis'!$C$8)</f>
        <v>40000</v>
      </c>
      <c r="C14" s="9" t="n">
        <f aca="false">'Campaign Analysis'!$X$8</f>
        <v>12</v>
      </c>
      <c r="D14" s="28" t="n">
        <f aca="false">IF($C14="",0,SUMIF($C$12:$C$51,"&lt;"&amp;$C14,$B$12:$B$51))</f>
        <v>645000</v>
      </c>
      <c r="E14" s="11" t="n">
        <f aca="false">N('Campaign Analysis'!$L$8)</f>
        <v>83328</v>
      </c>
      <c r="F14" s="11" t="n">
        <f aca="false">N('Campaign Analysis'!$J$8)</f>
        <v>187200</v>
      </c>
      <c r="G14" s="12" t="n">
        <f aca="false">N('Campaign Analysis'!$O$8)</f>
        <v>0.65</v>
      </c>
      <c r="H14" s="42" t="n">
        <f aca="false">IF($B14&lt;=0,0,MIN(1,MAX(0,($A$5*SUM($B$12:$B$51)-$D14)/$B14)))</f>
        <v>0</v>
      </c>
      <c r="I14" s="28" t="n">
        <f aca="false">$B14*H14</f>
        <v>0</v>
      </c>
      <c r="J14" s="28" t="n">
        <f aca="false">$E14*(1-(1-H14)^$G14)</f>
        <v>0</v>
      </c>
      <c r="K14" s="28" t="n">
        <f aca="false">$F14*(1-(1-H14)^$G14)</f>
        <v>0</v>
      </c>
      <c r="L14" s="28" t="n">
        <f aca="false">IF($B14&lt;=0,0,$E14*(1-(1-$A$5)^$G14))</f>
        <v>5515.63964923424</v>
      </c>
      <c r="M14" s="42" t="n">
        <f aca="false">IF($B14&lt;=0,0,MIN(1,MAX(0,($A$6*SUM($B$12:$B$51)-$D14)/$B14)))</f>
        <v>0</v>
      </c>
      <c r="N14" s="28" t="n">
        <f aca="false">$B14*M14</f>
        <v>0</v>
      </c>
      <c r="O14" s="28" t="n">
        <f aca="false">$E14*(1-(1-M14)^$G14)</f>
        <v>0</v>
      </c>
      <c r="P14" s="28" t="n">
        <f aca="false">$F14*(1-(1-M14)^$G14)</f>
        <v>0</v>
      </c>
      <c r="Q14" s="28" t="n">
        <f aca="false">IF($B14&lt;=0,0,$E14*(1-(1-$A$6)^$G14))</f>
        <v>11250.5439832615</v>
      </c>
      <c r="R14" s="42" t="n">
        <f aca="false">IF($B14&lt;=0,0,MIN(1,MAX(0,($A$7*SUM($B$12:$B$51)-$D14)/$B14)))</f>
        <v>0</v>
      </c>
      <c r="S14" s="28" t="n">
        <f aca="false">$B14*R14</f>
        <v>0</v>
      </c>
      <c r="T14" s="28" t="n">
        <f aca="false">$E14*(1-(1-R14)^$G14)</f>
        <v>0</v>
      </c>
      <c r="U14" s="28" t="n">
        <f aca="false">$F14*(1-(1-R14)^$G14)</f>
        <v>0</v>
      </c>
      <c r="V14" s="28" t="n">
        <f aca="false">IF($B14&lt;=0,0,$E14*(1-(1-$A$7)^$G14))</f>
        <v>17242.727638299</v>
      </c>
    </row>
    <row r="15" customFormat="false" ht="15" hidden="false" customHeight="false" outlineLevel="0" collapsed="false">
      <c r="A15" s="9" t="str">
        <f aca="false">'Campaign Analysis'!$A$9</f>
        <v>Shopping: full range</v>
      </c>
      <c r="B15" s="11" t="n">
        <f aca="false">N('Campaign Analysis'!$C$9)</f>
        <v>150000</v>
      </c>
      <c r="C15" s="9" t="n">
        <f aca="false">'Campaign Analysis'!$X$9</f>
        <v>8</v>
      </c>
      <c r="D15" s="28" t="n">
        <f aca="false">IF($C15="",0,SUMIF($C$12:$C$51,"&lt;"&amp;$C15,$B$12:$B$51))</f>
        <v>270000</v>
      </c>
      <c r="E15" s="11" t="n">
        <f aca="false">N('Campaign Analysis'!$L$9)</f>
        <v>167562.2</v>
      </c>
      <c r="F15" s="11" t="n">
        <f aca="false">N('Campaign Analysis'!$J$9)</f>
        <v>387855</v>
      </c>
      <c r="G15" s="12" t="n">
        <f aca="false">N('Campaign Analysis'!$O$9)</f>
        <v>0.65</v>
      </c>
      <c r="H15" s="42" t="n">
        <f aca="false">IF($B15&lt;=0,0,MIN(1,MAX(0,($A$5*SUM($B$12:$B$51)-$D15)/$B15)))</f>
        <v>0</v>
      </c>
      <c r="I15" s="28" t="n">
        <f aca="false">$B15*H15</f>
        <v>0</v>
      </c>
      <c r="J15" s="28" t="n">
        <f aca="false">$E15*(1-(1-H15)^$G15)</f>
        <v>0</v>
      </c>
      <c r="K15" s="28" t="n">
        <f aca="false">$F15*(1-(1-H15)^$G15)</f>
        <v>0</v>
      </c>
      <c r="L15" s="28" t="n">
        <f aca="false">IF($B15&lt;=0,0,$E15*(1-(1-$A$5)^$G15))</f>
        <v>11091.2624091892</v>
      </c>
      <c r="M15" s="42" t="n">
        <f aca="false">IF($B15&lt;=0,0,MIN(1,MAX(0,($A$6*SUM($B$12:$B$51)-$D15)/$B15)))</f>
        <v>0</v>
      </c>
      <c r="N15" s="28" t="n">
        <f aca="false">$B15*M15</f>
        <v>0</v>
      </c>
      <c r="O15" s="28" t="n">
        <f aca="false">$E15*(1-(1-M15)^$G15)</f>
        <v>0</v>
      </c>
      <c r="P15" s="28" t="n">
        <f aca="false">$F15*(1-(1-M15)^$G15)</f>
        <v>0</v>
      </c>
      <c r="Q15" s="28" t="n">
        <f aca="false">IF($B15&lt;=0,0,$E15*(1-(1-$A$6)^$G15))</f>
        <v>22623.4387124623</v>
      </c>
      <c r="R15" s="42" t="n">
        <f aca="false">IF($B15&lt;=0,0,MIN(1,MAX(0,($A$7*SUM($B$12:$B$51)-$D15)/$B15)))</f>
        <v>0</v>
      </c>
      <c r="S15" s="28" t="n">
        <f aca="false">$B15*R15</f>
        <v>0</v>
      </c>
      <c r="T15" s="28" t="n">
        <f aca="false">$E15*(1-(1-R15)^$G15)</f>
        <v>0</v>
      </c>
      <c r="U15" s="28" t="n">
        <f aca="false">$F15*(1-(1-R15)^$G15)</f>
        <v>0</v>
      </c>
      <c r="V15" s="28" t="n">
        <f aca="false">IF($B15&lt;=0,0,$E15*(1-(1-$A$7)^$G15))</f>
        <v>34672.9715950722</v>
      </c>
    </row>
    <row r="16" customFormat="false" ht="15" hidden="false" customHeight="false" outlineLevel="0" collapsed="false">
      <c r="A16" s="9" t="str">
        <f aca="false">'Campaign Analysis'!$A$10</f>
        <v>Shopping: clearance lines</v>
      </c>
      <c r="B16" s="11" t="n">
        <f aca="false">N('Campaign Analysis'!$C$10)</f>
        <v>30000</v>
      </c>
      <c r="C16" s="9" t="n">
        <f aca="false">'Campaign Analysis'!$X$10</f>
        <v>3</v>
      </c>
      <c r="D16" s="28" t="n">
        <f aca="false">IF($C16="",0,SUMIF($C$12:$C$51,"&lt;"&amp;$C16,$B$12:$B$51))</f>
        <v>60000</v>
      </c>
      <c r="E16" s="11" t="n">
        <f aca="false">N('Campaign Analysis'!$L$10)</f>
        <v>11856.78</v>
      </c>
      <c r="F16" s="11" t="n">
        <f aca="false">N('Campaign Analysis'!$J$10)</f>
        <v>67158</v>
      </c>
      <c r="G16" s="12" t="n">
        <f aca="false">N('Campaign Analysis'!$O$10)</f>
        <v>0.65</v>
      </c>
      <c r="H16" s="42" t="n">
        <f aca="false">IF($B16&lt;=0,0,MIN(1,MAX(0,($A$5*SUM($B$12:$B$51)-$D16)/$B16)))</f>
        <v>0.283333333333333</v>
      </c>
      <c r="I16" s="28" t="n">
        <f aca="false">$B16*H16</f>
        <v>8500</v>
      </c>
      <c r="J16" s="28" t="n">
        <f aca="false">$E16*(1-(1-H16)^$G16)</f>
        <v>2308.54838998717</v>
      </c>
      <c r="K16" s="28" t="n">
        <f aca="false">$F16*(1-(1-H16)^$G16)</f>
        <v>13075.8513504306</v>
      </c>
      <c r="L16" s="28" t="n">
        <f aca="false">IF($B16&lt;=0,0,$E16*(1-(1-$A$5)^$G16))</f>
        <v>784.822939231081</v>
      </c>
      <c r="M16" s="42" t="n">
        <f aca="false">IF($B16&lt;=0,0,MIN(1,MAX(0,($A$6*SUM($B$12:$B$51)-$D16)/$B16)))</f>
        <v>1</v>
      </c>
      <c r="N16" s="28" t="n">
        <f aca="false">$B16*M16</f>
        <v>30000</v>
      </c>
      <c r="O16" s="28" t="n">
        <f aca="false">$E16*(1-(1-M16)^$G16)</f>
        <v>11856.78</v>
      </c>
      <c r="P16" s="28" t="n">
        <f aca="false">$F16*(1-(1-M16)^$G16)</f>
        <v>67158</v>
      </c>
      <c r="Q16" s="28" t="n">
        <f aca="false">IF($B16&lt;=0,0,$E16*(1-(1-$A$6)^$G16))</f>
        <v>1600.84515276804</v>
      </c>
      <c r="R16" s="42" t="n">
        <f aca="false">IF($B16&lt;=0,0,MIN(1,MAX(0,($A$7*SUM($B$12:$B$51)-$D16)/$B16)))</f>
        <v>1</v>
      </c>
      <c r="S16" s="28" t="n">
        <f aca="false">$B16*R16</f>
        <v>30000</v>
      </c>
      <c r="T16" s="28" t="n">
        <f aca="false">$E16*(1-(1-R16)^$G16)</f>
        <v>11856.78</v>
      </c>
      <c r="U16" s="28" t="n">
        <f aca="false">$F16*(1-(1-R16)^$G16)</f>
        <v>67158</v>
      </c>
      <c r="V16" s="28" t="n">
        <f aca="false">IF($B16&lt;=0,0,$E16*(1-(1-$A$7)^$G16))</f>
        <v>2453.47576093547</v>
      </c>
    </row>
    <row r="17" customFormat="false" ht="15" hidden="false" customHeight="false" outlineLevel="0" collapsed="false">
      <c r="A17" s="9" t="str">
        <f aca="false">'Campaign Analysis'!$A$11</f>
        <v>Paid social: prospecting</v>
      </c>
      <c r="B17" s="11" t="n">
        <f aca="false">N('Campaign Analysis'!$C$11)</f>
        <v>90000</v>
      </c>
      <c r="C17" s="9" t="n">
        <f aca="false">'Campaign Analysis'!$X$11</f>
        <v>11</v>
      </c>
      <c r="D17" s="28" t="n">
        <f aca="false">IF($C17="",0,SUMIF($C$12:$C$51,"&lt;"&amp;$C17,$B$12:$B$51))</f>
        <v>555000</v>
      </c>
      <c r="E17" s="11" t="n">
        <f aca="false">N('Campaign Analysis'!$L$11)</f>
        <v>137491.2</v>
      </c>
      <c r="F17" s="11" t="n">
        <f aca="false">N('Campaign Analysis'!$J$11)</f>
        <v>308880</v>
      </c>
      <c r="G17" s="12" t="n">
        <f aca="false">N('Campaign Analysis'!$O$11)</f>
        <v>0.75</v>
      </c>
      <c r="H17" s="42" t="n">
        <f aca="false">IF($B17&lt;=0,0,MIN(1,MAX(0,($A$5*SUM($B$12:$B$51)-$D17)/$B17)))</f>
        <v>0</v>
      </c>
      <c r="I17" s="28" t="n">
        <f aca="false">$B17*H17</f>
        <v>0</v>
      </c>
      <c r="J17" s="28" t="n">
        <f aca="false">$E17*(1-(1-H17)^$G17)</f>
        <v>0</v>
      </c>
      <c r="K17" s="28" t="n">
        <f aca="false">$F17*(1-(1-H17)^$G17)</f>
        <v>0</v>
      </c>
      <c r="L17" s="28" t="n">
        <f aca="false">IF($B17&lt;=0,0,$E17*(1-(1-$A$5)^$G17))</f>
        <v>10446.4319956188</v>
      </c>
      <c r="M17" s="42" t="n">
        <f aca="false">IF($B17&lt;=0,0,MIN(1,MAX(0,($A$6*SUM($B$12:$B$51)-$D17)/$B17)))</f>
        <v>0</v>
      </c>
      <c r="N17" s="28" t="n">
        <f aca="false">$B17*M17</f>
        <v>0</v>
      </c>
      <c r="O17" s="28" t="n">
        <f aca="false">$E17*(1-(1-M17)^$G17)</f>
        <v>0</v>
      </c>
      <c r="P17" s="28" t="n">
        <f aca="false">$F17*(1-(1-M17)^$G17)</f>
        <v>0</v>
      </c>
      <c r="Q17" s="28" t="n">
        <f aca="false">IF($B17&lt;=0,0,$E17*(1-(1-$A$6)^$G17))</f>
        <v>21187.8049152326</v>
      </c>
      <c r="R17" s="42" t="n">
        <f aca="false">IF($B17&lt;=0,0,MIN(1,MAX(0,($A$7*SUM($B$12:$B$51)-$D17)/$B17)))</f>
        <v>0</v>
      </c>
      <c r="S17" s="28" t="n">
        <f aca="false">$B17*R17</f>
        <v>0</v>
      </c>
      <c r="T17" s="28" t="n">
        <f aca="false">$E17*(1-(1-R17)^$G17)</f>
        <v>0</v>
      </c>
      <c r="U17" s="28" t="n">
        <f aca="false">$F17*(1-(1-R17)^$G17)</f>
        <v>0</v>
      </c>
      <c r="V17" s="28" t="n">
        <f aca="false">IF($B17&lt;=0,0,$E17*(1-(1-$A$7)^$G17))</f>
        <v>32271.1672974266</v>
      </c>
    </row>
    <row r="18" customFormat="false" ht="15" hidden="false" customHeight="false" outlineLevel="0" collapsed="false">
      <c r="A18" s="9" t="str">
        <f aca="false">'Campaign Analysis'!$A$12</f>
        <v>Paid social: retargeting</v>
      </c>
      <c r="B18" s="11" t="n">
        <f aca="false">N('Campaign Analysis'!$C$12)</f>
        <v>45000</v>
      </c>
      <c r="C18" s="9" t="n">
        <f aca="false">'Campaign Analysis'!$X$12</f>
        <v>5</v>
      </c>
      <c r="D18" s="28" t="n">
        <f aca="false">IF($C18="",0,SUMIF($C$12:$C$51,"&lt;"&amp;$C18,$B$12:$B$51))</f>
        <v>115000</v>
      </c>
      <c r="E18" s="11" t="n">
        <f aca="false">N('Campaign Analysis'!$L$12)</f>
        <v>27295.2</v>
      </c>
      <c r="F18" s="11" t="n">
        <f aca="false">N('Campaign Analysis'!$J$12)</f>
        <v>63180</v>
      </c>
      <c r="G18" s="12" t="n">
        <f aca="false">N('Campaign Analysis'!$O$12)</f>
        <v>0.6</v>
      </c>
      <c r="H18" s="42" t="n">
        <f aca="false">IF($B18&lt;=0,0,MIN(1,MAX(0,($A$5*SUM($B$12:$B$51)-$D18)/$B18)))</f>
        <v>0</v>
      </c>
      <c r="I18" s="28" t="n">
        <f aca="false">$B18*H18</f>
        <v>0</v>
      </c>
      <c r="J18" s="28" t="n">
        <f aca="false">$E18*(1-(1-H18)^$G18)</f>
        <v>0</v>
      </c>
      <c r="K18" s="28" t="n">
        <f aca="false">$F18*(1-(1-H18)^$G18)</f>
        <v>0</v>
      </c>
      <c r="L18" s="28" t="n">
        <f aca="false">IF($B18&lt;=0,0,$E18*(1-(1-$A$5)^$G18))</f>
        <v>1672.09321517188</v>
      </c>
      <c r="M18" s="42" t="n">
        <f aca="false">IF($B18&lt;=0,0,MIN(1,MAX(0,($A$6*SUM($B$12:$B$51)-$D18)/$B18)))</f>
        <v>0.488888888888889</v>
      </c>
      <c r="N18" s="28" t="n">
        <f aca="false">$B18*M18</f>
        <v>22000</v>
      </c>
      <c r="O18" s="28" t="n">
        <f aca="false">$E18*(1-(1-M18)^$G18)</f>
        <v>9048.0318476989</v>
      </c>
      <c r="P18" s="28" t="n">
        <f aca="false">$F18*(1-(1-M18)^$G18)</f>
        <v>20943.4132058976</v>
      </c>
      <c r="Q18" s="28" t="n">
        <f aca="false">IF($B18&lt;=0,0,$E18*(1-(1-$A$6)^$G18))</f>
        <v>3420.37081544275</v>
      </c>
      <c r="R18" s="42" t="n">
        <f aca="false">IF($B18&lt;=0,0,MIN(1,MAX(0,($A$7*SUM($B$12:$B$51)-$D18)/$B18)))</f>
        <v>1</v>
      </c>
      <c r="S18" s="28" t="n">
        <f aca="false">$B18*R18</f>
        <v>45000</v>
      </c>
      <c r="T18" s="28" t="n">
        <f aca="false">$E18*(1-(1-R18)^$G18)</f>
        <v>27295.2</v>
      </c>
      <c r="U18" s="28" t="n">
        <f aca="false">$F18*(1-(1-R18)^$G18)</f>
        <v>63180</v>
      </c>
      <c r="V18" s="28" t="n">
        <f aca="false">IF($B18&lt;=0,0,$E18*(1-(1-$A$7)^$G18))</f>
        <v>5258.57380329093</v>
      </c>
    </row>
    <row r="19" customFormat="false" ht="15" hidden="false" customHeight="false" outlineLevel="0" collapsed="false">
      <c r="A19" s="9" t="str">
        <f aca="false">'Campaign Analysis'!$A$13</f>
        <v>Display: prospecting</v>
      </c>
      <c r="B19" s="11" t="n">
        <f aca="false">N('Campaign Analysis'!$C$13)</f>
        <v>25000</v>
      </c>
      <c r="C19" s="9" t="n">
        <f aca="false">'Campaign Analysis'!$X$13</f>
        <v>2</v>
      </c>
      <c r="D19" s="28" t="n">
        <f aca="false">IF($C19="",0,SUMIF($C$12:$C$51,"&lt;"&amp;$C19,$B$12:$B$51))</f>
        <v>35000</v>
      </c>
      <c r="E19" s="11" t="n">
        <f aca="false">N('Campaign Analysis'!$L$13)</f>
        <v>4852.48</v>
      </c>
      <c r="F19" s="11" t="n">
        <f aca="false">N('Campaign Analysis'!$J$13)</f>
        <v>11232</v>
      </c>
      <c r="G19" s="12" t="n">
        <f aca="false">N('Campaign Analysis'!$O$13)</f>
        <v>0.8</v>
      </c>
      <c r="H19" s="42" t="n">
        <f aca="false">IF($B19&lt;=0,0,MIN(1,MAX(0,($A$5*SUM($B$12:$B$51)-$D19)/$B19)))</f>
        <v>1</v>
      </c>
      <c r="I19" s="28" t="n">
        <f aca="false">$B19*H19</f>
        <v>25000</v>
      </c>
      <c r="J19" s="28" t="n">
        <f aca="false">$E19*(1-(1-H19)^$G19)</f>
        <v>4852.48</v>
      </c>
      <c r="K19" s="28" t="n">
        <f aca="false">$F19*(1-(1-H19)^$G19)</f>
        <v>11232</v>
      </c>
      <c r="L19" s="28" t="n">
        <f aca="false">IF($B19&lt;=0,0,$E19*(1-(1-$A$5)^$G19))</f>
        <v>392.244791650687</v>
      </c>
      <c r="M19" s="42" t="n">
        <f aca="false">IF($B19&lt;=0,0,MIN(1,MAX(0,($A$6*SUM($B$12:$B$51)-$D19)/$B19)))</f>
        <v>1</v>
      </c>
      <c r="N19" s="28" t="n">
        <f aca="false">$B19*M19</f>
        <v>25000</v>
      </c>
      <c r="O19" s="28" t="n">
        <f aca="false">$E19*(1-(1-M19)^$G19)</f>
        <v>4852.48</v>
      </c>
      <c r="P19" s="28" t="n">
        <f aca="false">$F19*(1-(1-M19)^$G19)</f>
        <v>11232</v>
      </c>
      <c r="Q19" s="28" t="n">
        <f aca="false">IF($B19&lt;=0,0,$E19*(1-(1-$A$6)^$G19))</f>
        <v>793.323987073518</v>
      </c>
      <c r="R19" s="42" t="n">
        <f aca="false">IF($B19&lt;=0,0,MIN(1,MAX(0,($A$7*SUM($B$12:$B$51)-$D19)/$B19)))</f>
        <v>1</v>
      </c>
      <c r="S19" s="28" t="n">
        <f aca="false">$B19*R19</f>
        <v>25000</v>
      </c>
      <c r="T19" s="28" t="n">
        <f aca="false">$E19*(1-(1-R19)^$G19)</f>
        <v>4852.48</v>
      </c>
      <c r="U19" s="28" t="n">
        <f aca="false">$F19*(1-(1-R19)^$G19)</f>
        <v>11232</v>
      </c>
      <c r="V19" s="28" t="n">
        <f aca="false">IF($B19&lt;=0,0,$E19*(1-(1-$A$7)^$G19))</f>
        <v>1204.58620230359</v>
      </c>
    </row>
    <row r="20" customFormat="false" ht="15" hidden="false" customHeight="false" outlineLevel="0" collapsed="false">
      <c r="A20" s="9" t="str">
        <f aca="false">'Campaign Analysis'!$A$14</f>
        <v>Online video</v>
      </c>
      <c r="B20" s="11" t="n">
        <f aca="false">N('Campaign Analysis'!$C$14)</f>
        <v>35000</v>
      </c>
      <c r="C20" s="9" t="n">
        <f aca="false">'Campaign Analysis'!$X$14</f>
        <v>1</v>
      </c>
      <c r="D20" s="28" t="n">
        <f aca="false">IF($C20="",0,SUMIF($C$12:$C$51,"&lt;"&amp;$C20,$B$12:$B$51))</f>
        <v>0</v>
      </c>
      <c r="E20" s="11" t="n">
        <f aca="false">N('Campaign Analysis'!$L$14)</f>
        <v>6065.6</v>
      </c>
      <c r="F20" s="11" t="n">
        <f aca="false">N('Campaign Analysis'!$J$14)</f>
        <v>14040</v>
      </c>
      <c r="G20" s="12" t="n">
        <f aca="false">N('Campaign Analysis'!$O$14)</f>
        <v>0.8</v>
      </c>
      <c r="H20" s="42" t="n">
        <f aca="false">IF($B20&lt;=0,0,MIN(1,MAX(0,($A$5*SUM($B$12:$B$51)-$D20)/$B20)))</f>
        <v>1</v>
      </c>
      <c r="I20" s="28" t="n">
        <f aca="false">$B20*H20</f>
        <v>35000</v>
      </c>
      <c r="J20" s="28" t="n">
        <f aca="false">$E20*(1-(1-H20)^$G20)</f>
        <v>6065.6</v>
      </c>
      <c r="K20" s="28" t="n">
        <f aca="false">$F20*(1-(1-H20)^$G20)</f>
        <v>14040</v>
      </c>
      <c r="L20" s="28" t="n">
        <f aca="false">IF($B20&lt;=0,0,$E20*(1-(1-$A$5)^$G20))</f>
        <v>490.305989563359</v>
      </c>
      <c r="M20" s="42" t="n">
        <f aca="false">IF($B20&lt;=0,0,MIN(1,MAX(0,($A$6*SUM($B$12:$B$51)-$D20)/$B20)))</f>
        <v>1</v>
      </c>
      <c r="N20" s="28" t="n">
        <f aca="false">$B20*M20</f>
        <v>35000</v>
      </c>
      <c r="O20" s="28" t="n">
        <f aca="false">$E20*(1-(1-M20)^$G20)</f>
        <v>6065.6</v>
      </c>
      <c r="P20" s="28" t="n">
        <f aca="false">$F20*(1-(1-M20)^$G20)</f>
        <v>14040</v>
      </c>
      <c r="Q20" s="28" t="n">
        <f aca="false">IF($B20&lt;=0,0,$E20*(1-(1-$A$6)^$G20))</f>
        <v>991.654983841898</v>
      </c>
      <c r="R20" s="42" t="n">
        <f aca="false">IF($B20&lt;=0,0,MIN(1,MAX(0,($A$7*SUM($B$12:$B$51)-$D20)/$B20)))</f>
        <v>1</v>
      </c>
      <c r="S20" s="28" t="n">
        <f aca="false">$B20*R20</f>
        <v>35000</v>
      </c>
      <c r="T20" s="28" t="n">
        <f aca="false">$E20*(1-(1-R20)^$G20)</f>
        <v>6065.6</v>
      </c>
      <c r="U20" s="28" t="n">
        <f aca="false">$F20*(1-(1-R20)^$G20)</f>
        <v>14040</v>
      </c>
      <c r="V20" s="28" t="n">
        <f aca="false">IF($B20&lt;=0,0,$E20*(1-(1-$A$7)^$G20))</f>
        <v>1505.73275287948</v>
      </c>
    </row>
    <row r="21" customFormat="false" ht="15" hidden="false" customHeight="false" outlineLevel="0" collapsed="false">
      <c r="A21" s="9" t="str">
        <f aca="false">'Campaign Analysis'!$A$15</f>
        <v>Affiliates: cashback and voucher</v>
      </c>
      <c r="B21" s="11" t="n">
        <f aca="false">N('Campaign Analysis'!$C$15)</f>
        <v>50000</v>
      </c>
      <c r="C21" s="9" t="n">
        <f aca="false">'Campaign Analysis'!$X$15</f>
        <v>7</v>
      </c>
      <c r="D21" s="28" t="n">
        <f aca="false">IF($C21="",0,SUMIF($C$12:$C$51,"&lt;"&amp;$C21,$B$12:$B$51))</f>
        <v>220000</v>
      </c>
      <c r="E21" s="11" t="n">
        <f aca="false">N('Campaign Analysis'!$L$15)</f>
        <v>30328</v>
      </c>
      <c r="F21" s="11" t="n">
        <f aca="false">N('Campaign Analysis'!$J$15)</f>
        <v>70200</v>
      </c>
      <c r="G21" s="12" t="n">
        <f aca="false">N('Campaign Analysis'!$O$15)</f>
        <v>0.85</v>
      </c>
      <c r="H21" s="42" t="n">
        <f aca="false">IF($B21&lt;=0,0,MIN(1,MAX(0,($A$5*SUM($B$12:$B$51)-$D21)/$B21)))</f>
        <v>0</v>
      </c>
      <c r="I21" s="28" t="n">
        <f aca="false">$B21*H21</f>
        <v>0</v>
      </c>
      <c r="J21" s="28" t="n">
        <f aca="false">$E21*(1-(1-H21)^$G21)</f>
        <v>0</v>
      </c>
      <c r="K21" s="28" t="n">
        <f aca="false">$F21*(1-(1-H21)^$G21)</f>
        <v>0</v>
      </c>
      <c r="L21" s="28" t="n">
        <f aca="false">IF($B21&lt;=0,0,$E21*(1-(1-$A$5)^$G21))</f>
        <v>2597.9977739133</v>
      </c>
      <c r="M21" s="42" t="n">
        <f aca="false">IF($B21&lt;=0,0,MIN(1,MAX(0,($A$6*SUM($B$12:$B$51)-$D21)/$B21)))</f>
        <v>0</v>
      </c>
      <c r="N21" s="28" t="n">
        <f aca="false">$B21*M21</f>
        <v>0</v>
      </c>
      <c r="O21" s="28" t="n">
        <f aca="false">$E21*(1-(1-M21)^$G21)</f>
        <v>0</v>
      </c>
      <c r="P21" s="28" t="n">
        <f aca="false">$F21*(1-(1-M21)^$G21)</f>
        <v>0</v>
      </c>
      <c r="Q21" s="28" t="n">
        <f aca="false">IF($B21&lt;=0,0,$E21*(1-(1-$A$6)^$G21))</f>
        <v>5239.75625813427</v>
      </c>
      <c r="R21" s="42" t="n">
        <f aca="false">IF($B21&lt;=0,0,MIN(1,MAX(0,($A$7*SUM($B$12:$B$51)-$D21)/$B21)))</f>
        <v>0</v>
      </c>
      <c r="S21" s="28" t="n">
        <f aca="false">$B21*R21</f>
        <v>0</v>
      </c>
      <c r="T21" s="28" t="n">
        <f aca="false">$E21*(1-(1-R21)^$G21)</f>
        <v>0</v>
      </c>
      <c r="U21" s="28" t="n">
        <f aca="false">$F21*(1-(1-R21)^$G21)</f>
        <v>0</v>
      </c>
      <c r="V21" s="28" t="n">
        <f aca="false">IF($B21&lt;=0,0,$E21*(1-(1-$A$7)^$G21))</f>
        <v>7931.65724049466</v>
      </c>
    </row>
    <row r="22" customFormat="false" ht="15" hidden="false" customHeight="false" outlineLevel="0" collapsed="false">
      <c r="A22" s="9" t="str">
        <f aca="false">'Campaign Analysis'!$A$16</f>
        <v>Affiliates: content partners</v>
      </c>
      <c r="B22" s="11" t="n">
        <f aca="false">N('Campaign Analysis'!$C$16)</f>
        <v>15000</v>
      </c>
      <c r="C22" s="9" t="n">
        <f aca="false">'Campaign Analysis'!$X$16</f>
        <v>10</v>
      </c>
      <c r="D22" s="28" t="n">
        <f aca="false">IF($C22="",0,SUMIF($C$12:$C$51,"&lt;"&amp;$C22,$B$12:$B$51))</f>
        <v>540000</v>
      </c>
      <c r="E22" s="11" t="n">
        <f aca="false">N('Campaign Analysis'!$L$16)</f>
        <v>18458</v>
      </c>
      <c r="F22" s="11" t="n">
        <f aca="false">N('Campaign Analysis'!$J$16)</f>
        <v>40950</v>
      </c>
      <c r="G22" s="12" t="n">
        <f aca="false">N('Campaign Analysis'!$O$16)</f>
        <v>0.85</v>
      </c>
      <c r="H22" s="42" t="n">
        <f aca="false">IF($B22&lt;=0,0,MIN(1,MAX(0,($A$5*SUM($B$12:$B$51)-$D22)/$B22)))</f>
        <v>0</v>
      </c>
      <c r="I22" s="28" t="n">
        <f aca="false">$B22*H22</f>
        <v>0</v>
      </c>
      <c r="J22" s="28" t="n">
        <f aca="false">$E22*(1-(1-H22)^$G22)</f>
        <v>0</v>
      </c>
      <c r="K22" s="28" t="n">
        <f aca="false">$F22*(1-(1-H22)^$G22)</f>
        <v>0</v>
      </c>
      <c r="L22" s="28" t="n">
        <f aca="false">IF($B22&lt;=0,0,$E22*(1-(1-$A$5)^$G22))</f>
        <v>1581.17392874214</v>
      </c>
      <c r="M22" s="42" t="n">
        <f aca="false">IF($B22&lt;=0,0,MIN(1,MAX(0,($A$6*SUM($B$12:$B$51)-$D22)/$B22)))</f>
        <v>0</v>
      </c>
      <c r="N22" s="28" t="n">
        <f aca="false">$B22*M22</f>
        <v>0</v>
      </c>
      <c r="O22" s="28" t="n">
        <f aca="false">$E22*(1-(1-M22)^$G22)</f>
        <v>0</v>
      </c>
      <c r="P22" s="28" t="n">
        <f aca="false">$F22*(1-(1-M22)^$G22)</f>
        <v>0</v>
      </c>
      <c r="Q22" s="28" t="n">
        <f aca="false">IF($B22&lt;=0,0,$E22*(1-(1-$A$6)^$G22))</f>
        <v>3188.9811729307</v>
      </c>
      <c r="R22" s="42" t="n">
        <f aca="false">IF($B22&lt;=0,0,MIN(1,MAX(0,($A$7*SUM($B$12:$B$51)-$D22)/$B22)))</f>
        <v>0</v>
      </c>
      <c r="S22" s="28" t="n">
        <f aca="false">$B22*R22</f>
        <v>0</v>
      </c>
      <c r="T22" s="28" t="n">
        <f aca="false">$E22*(1-(1-R22)^$G22)</f>
        <v>0</v>
      </c>
      <c r="U22" s="28" t="n">
        <f aca="false">$F22*(1-(1-R22)^$G22)</f>
        <v>0</v>
      </c>
      <c r="V22" s="28" t="n">
        <f aca="false">IF($B22&lt;=0,0,$E22*(1-(1-$A$7)^$G22))</f>
        <v>4827.30576843348</v>
      </c>
    </row>
    <row r="23" customFormat="false" ht="15" hidden="false" customHeight="false" outlineLevel="0" collapsed="false">
      <c r="A23" s="9" t="str">
        <f aca="false">'Campaign Analysis'!$A$17</f>
        <v>Influencer: seasonal</v>
      </c>
      <c r="B23" s="11" t="n">
        <f aca="false">N('Campaign Analysis'!$C$17)</f>
        <v>25000</v>
      </c>
      <c r="C23" s="9" t="n">
        <f aca="false">'Campaign Analysis'!$X$17</f>
        <v>4</v>
      </c>
      <c r="D23" s="28" t="n">
        <f aca="false">IF($C23="",0,SUMIF($C$12:$C$51,"&lt;"&amp;$C23,$B$12:$B$51))</f>
        <v>90000</v>
      </c>
      <c r="E23" s="11" t="n">
        <f aca="false">N('Campaign Analysis'!$L$17)</f>
        <v>10416</v>
      </c>
      <c r="F23" s="11" t="n">
        <f aca="false">N('Campaign Analysis'!$J$17)</f>
        <v>23400</v>
      </c>
      <c r="G23" s="12" t="n">
        <f aca="false">N('Campaign Analysis'!$O$17)</f>
        <v>0.75</v>
      </c>
      <c r="H23" s="42" t="n">
        <f aca="false">IF($B23&lt;=0,0,MIN(1,MAX(0,($A$5*SUM($B$12:$B$51)-$D23)/$B23)))</f>
        <v>0</v>
      </c>
      <c r="I23" s="28" t="n">
        <f aca="false">$B23*H23</f>
        <v>0</v>
      </c>
      <c r="J23" s="28" t="n">
        <f aca="false">$E23*(1-(1-H23)^$G23)</f>
        <v>0</v>
      </c>
      <c r="K23" s="28" t="n">
        <f aca="false">$F23*(1-(1-H23)^$G23)</f>
        <v>0</v>
      </c>
      <c r="L23" s="28" t="n">
        <f aca="false">IF($B23&lt;=0,0,$E23*(1-(1-$A$5)^$G23))</f>
        <v>791.396363304452</v>
      </c>
      <c r="M23" s="42" t="n">
        <f aca="false">IF($B23&lt;=0,0,MIN(1,MAX(0,($A$6*SUM($B$12:$B$51)-$D23)/$B23)))</f>
        <v>1</v>
      </c>
      <c r="N23" s="28" t="n">
        <f aca="false">$B23*M23</f>
        <v>25000</v>
      </c>
      <c r="O23" s="28" t="n">
        <f aca="false">$E23*(1-(1-M23)^$G23)</f>
        <v>10416</v>
      </c>
      <c r="P23" s="28" t="n">
        <f aca="false">$F23*(1-(1-M23)^$G23)</f>
        <v>23400</v>
      </c>
      <c r="Q23" s="28" t="n">
        <f aca="false">IF($B23&lt;=0,0,$E23*(1-(1-$A$6)^$G23))</f>
        <v>1605.13673600247</v>
      </c>
      <c r="R23" s="42" t="n">
        <f aca="false">IF($B23&lt;=0,0,MIN(1,MAX(0,($A$7*SUM($B$12:$B$51)-$D23)/$B23)))</f>
        <v>1</v>
      </c>
      <c r="S23" s="28" t="n">
        <f aca="false">$B23*R23</f>
        <v>25000</v>
      </c>
      <c r="T23" s="28" t="n">
        <f aca="false">$E23*(1-(1-R23)^$G23)</f>
        <v>10416</v>
      </c>
      <c r="U23" s="28" t="n">
        <f aca="false">$F23*(1-(1-R23)^$G23)</f>
        <v>23400</v>
      </c>
      <c r="V23" s="28" t="n">
        <f aca="false">IF($B23&lt;=0,0,$E23*(1-(1-$A$7)^$G23))</f>
        <v>2444.78540132019</v>
      </c>
    </row>
    <row r="24" customFormat="false" ht="15" hidden="false" customHeight="false" outlineLevel="0" collapsed="false">
      <c r="A24" s="9" t="str">
        <f aca="false">'Campaign Analysis'!$A$18</f>
        <v/>
      </c>
      <c r="B24" s="11" t="n">
        <f aca="false">N('Campaign Analysis'!$C$18)</f>
        <v>0</v>
      </c>
      <c r="C24" s="9" t="str">
        <f aca="false">'Campaign Analysis'!$X$18</f>
        <v/>
      </c>
      <c r="D24" s="28" t="n">
        <f aca="false">IF($C24="",0,SUMIF($C$12:$C$51,"&lt;"&amp;$C24,$B$12:$B$51))</f>
        <v>0</v>
      </c>
      <c r="E24" s="11" t="n">
        <f aca="false">N('Campaign Analysis'!$L$18)</f>
        <v>0</v>
      </c>
      <c r="F24" s="11" t="n">
        <f aca="false">N('Campaign Analysis'!$J$18)</f>
        <v>0</v>
      </c>
      <c r="G24" s="12" t="n">
        <f aca="false">N('Campaign Analysis'!$O$18)</f>
        <v>0</v>
      </c>
      <c r="H24" s="42" t="n">
        <f aca="false">IF($B24&lt;=0,0,MIN(1,MAX(0,($A$5*SUM($B$12:$B$51)-$D24)/$B24)))</f>
        <v>0</v>
      </c>
      <c r="I24" s="28" t="n">
        <f aca="false">$B24*H24</f>
        <v>0</v>
      </c>
      <c r="J24" s="28" t="n">
        <f aca="false">$E24*(1-(1-H24)^$G24)</f>
        <v>0</v>
      </c>
      <c r="K24" s="28" t="n">
        <f aca="false">$F24*(1-(1-H24)^$G24)</f>
        <v>0</v>
      </c>
      <c r="L24" s="28" t="n">
        <f aca="false">IF($B24&lt;=0,0,$E24*(1-(1-$A$5)^$G24))</f>
        <v>0</v>
      </c>
      <c r="M24" s="42" t="n">
        <f aca="false">IF($B24&lt;=0,0,MIN(1,MAX(0,($A$6*SUM($B$12:$B$51)-$D24)/$B24)))</f>
        <v>0</v>
      </c>
      <c r="N24" s="28" t="n">
        <f aca="false">$B24*M24</f>
        <v>0</v>
      </c>
      <c r="O24" s="28" t="n">
        <f aca="false">$E24*(1-(1-M24)^$G24)</f>
        <v>0</v>
      </c>
      <c r="P24" s="28" t="n">
        <f aca="false">$F24*(1-(1-M24)^$G24)</f>
        <v>0</v>
      </c>
      <c r="Q24" s="28" t="n">
        <f aca="false">IF($B24&lt;=0,0,$E24*(1-(1-$A$6)^$G24))</f>
        <v>0</v>
      </c>
      <c r="R24" s="42" t="n">
        <f aca="false">IF($B24&lt;=0,0,MIN(1,MAX(0,($A$7*SUM($B$12:$B$51)-$D24)/$B24)))</f>
        <v>0</v>
      </c>
      <c r="S24" s="28" t="n">
        <f aca="false">$B24*R24</f>
        <v>0</v>
      </c>
      <c r="T24" s="28" t="n">
        <f aca="false">$E24*(1-(1-R24)^$G24)</f>
        <v>0</v>
      </c>
      <c r="U24" s="28" t="n">
        <f aca="false">$F24*(1-(1-R24)^$G24)</f>
        <v>0</v>
      </c>
      <c r="V24" s="28" t="n">
        <f aca="false">IF($B24&lt;=0,0,$E24*(1-(1-$A$7)^$G24))</f>
        <v>0</v>
      </c>
    </row>
    <row r="25" customFormat="false" ht="15" hidden="false" customHeight="false" outlineLevel="0" collapsed="false">
      <c r="A25" s="9" t="str">
        <f aca="false">'Campaign Analysis'!$A$19</f>
        <v/>
      </c>
      <c r="B25" s="11" t="n">
        <f aca="false">N('Campaign Analysis'!$C$19)</f>
        <v>0</v>
      </c>
      <c r="C25" s="9" t="str">
        <f aca="false">'Campaign Analysis'!$X$19</f>
        <v/>
      </c>
      <c r="D25" s="28" t="n">
        <f aca="false">IF($C25="",0,SUMIF($C$12:$C$51,"&lt;"&amp;$C25,$B$12:$B$51))</f>
        <v>0</v>
      </c>
      <c r="E25" s="11" t="n">
        <f aca="false">N('Campaign Analysis'!$L$19)</f>
        <v>0</v>
      </c>
      <c r="F25" s="11" t="n">
        <f aca="false">N('Campaign Analysis'!$J$19)</f>
        <v>0</v>
      </c>
      <c r="G25" s="12" t="n">
        <f aca="false">N('Campaign Analysis'!$O$19)</f>
        <v>0</v>
      </c>
      <c r="H25" s="42" t="n">
        <f aca="false">IF($B25&lt;=0,0,MIN(1,MAX(0,($A$5*SUM($B$12:$B$51)-$D25)/$B25)))</f>
        <v>0</v>
      </c>
      <c r="I25" s="28" t="n">
        <f aca="false">$B25*H25</f>
        <v>0</v>
      </c>
      <c r="J25" s="28" t="n">
        <f aca="false">$E25*(1-(1-H25)^$G25)</f>
        <v>0</v>
      </c>
      <c r="K25" s="28" t="n">
        <f aca="false">$F25*(1-(1-H25)^$G25)</f>
        <v>0</v>
      </c>
      <c r="L25" s="28" t="n">
        <f aca="false">IF($B25&lt;=0,0,$E25*(1-(1-$A$5)^$G25))</f>
        <v>0</v>
      </c>
      <c r="M25" s="42" t="n">
        <f aca="false">IF($B25&lt;=0,0,MIN(1,MAX(0,($A$6*SUM($B$12:$B$51)-$D25)/$B25)))</f>
        <v>0</v>
      </c>
      <c r="N25" s="28" t="n">
        <f aca="false">$B25*M25</f>
        <v>0</v>
      </c>
      <c r="O25" s="28" t="n">
        <f aca="false">$E25*(1-(1-M25)^$G25)</f>
        <v>0</v>
      </c>
      <c r="P25" s="28" t="n">
        <f aca="false">$F25*(1-(1-M25)^$G25)</f>
        <v>0</v>
      </c>
      <c r="Q25" s="28" t="n">
        <f aca="false">IF($B25&lt;=0,0,$E25*(1-(1-$A$6)^$G25))</f>
        <v>0</v>
      </c>
      <c r="R25" s="42" t="n">
        <f aca="false">IF($B25&lt;=0,0,MIN(1,MAX(0,($A$7*SUM($B$12:$B$51)-$D25)/$B25)))</f>
        <v>0</v>
      </c>
      <c r="S25" s="28" t="n">
        <f aca="false">$B25*R25</f>
        <v>0</v>
      </c>
      <c r="T25" s="28" t="n">
        <f aca="false">$E25*(1-(1-R25)^$G25)</f>
        <v>0</v>
      </c>
      <c r="U25" s="28" t="n">
        <f aca="false">$F25*(1-(1-R25)^$G25)</f>
        <v>0</v>
      </c>
      <c r="V25" s="28" t="n">
        <f aca="false">IF($B25&lt;=0,0,$E25*(1-(1-$A$7)^$G25))</f>
        <v>0</v>
      </c>
    </row>
    <row r="26" customFormat="false" ht="15" hidden="false" customHeight="false" outlineLevel="0" collapsed="false">
      <c r="A26" s="9" t="str">
        <f aca="false">'Campaign Analysis'!$A$20</f>
        <v/>
      </c>
      <c r="B26" s="11" t="n">
        <f aca="false">N('Campaign Analysis'!$C$20)</f>
        <v>0</v>
      </c>
      <c r="C26" s="9" t="str">
        <f aca="false">'Campaign Analysis'!$X$20</f>
        <v/>
      </c>
      <c r="D26" s="28" t="n">
        <f aca="false">IF($C26="",0,SUMIF($C$12:$C$51,"&lt;"&amp;$C26,$B$12:$B$51))</f>
        <v>0</v>
      </c>
      <c r="E26" s="11" t="n">
        <f aca="false">N('Campaign Analysis'!$L$20)</f>
        <v>0</v>
      </c>
      <c r="F26" s="11" t="n">
        <f aca="false">N('Campaign Analysis'!$J$20)</f>
        <v>0</v>
      </c>
      <c r="G26" s="12" t="n">
        <f aca="false">N('Campaign Analysis'!$O$20)</f>
        <v>0</v>
      </c>
      <c r="H26" s="42" t="n">
        <f aca="false">IF($B26&lt;=0,0,MIN(1,MAX(0,($A$5*SUM($B$12:$B$51)-$D26)/$B26)))</f>
        <v>0</v>
      </c>
      <c r="I26" s="28" t="n">
        <f aca="false">$B26*H26</f>
        <v>0</v>
      </c>
      <c r="J26" s="28" t="n">
        <f aca="false">$E26*(1-(1-H26)^$G26)</f>
        <v>0</v>
      </c>
      <c r="K26" s="28" t="n">
        <f aca="false">$F26*(1-(1-H26)^$G26)</f>
        <v>0</v>
      </c>
      <c r="L26" s="28" t="n">
        <f aca="false">IF($B26&lt;=0,0,$E26*(1-(1-$A$5)^$G26))</f>
        <v>0</v>
      </c>
      <c r="M26" s="42" t="n">
        <f aca="false">IF($B26&lt;=0,0,MIN(1,MAX(0,($A$6*SUM($B$12:$B$51)-$D26)/$B26)))</f>
        <v>0</v>
      </c>
      <c r="N26" s="28" t="n">
        <f aca="false">$B26*M26</f>
        <v>0</v>
      </c>
      <c r="O26" s="28" t="n">
        <f aca="false">$E26*(1-(1-M26)^$G26)</f>
        <v>0</v>
      </c>
      <c r="P26" s="28" t="n">
        <f aca="false">$F26*(1-(1-M26)^$G26)</f>
        <v>0</v>
      </c>
      <c r="Q26" s="28" t="n">
        <f aca="false">IF($B26&lt;=0,0,$E26*(1-(1-$A$6)^$G26))</f>
        <v>0</v>
      </c>
      <c r="R26" s="42" t="n">
        <f aca="false">IF($B26&lt;=0,0,MIN(1,MAX(0,($A$7*SUM($B$12:$B$51)-$D26)/$B26)))</f>
        <v>0</v>
      </c>
      <c r="S26" s="28" t="n">
        <f aca="false">$B26*R26</f>
        <v>0</v>
      </c>
      <c r="T26" s="28" t="n">
        <f aca="false">$E26*(1-(1-R26)^$G26)</f>
        <v>0</v>
      </c>
      <c r="U26" s="28" t="n">
        <f aca="false">$F26*(1-(1-R26)^$G26)</f>
        <v>0</v>
      </c>
      <c r="V26" s="28" t="n">
        <f aca="false">IF($B26&lt;=0,0,$E26*(1-(1-$A$7)^$G26))</f>
        <v>0</v>
      </c>
    </row>
    <row r="27" customFormat="false" ht="15" hidden="false" customHeight="false" outlineLevel="0" collapsed="false">
      <c r="A27" s="9" t="str">
        <f aca="false">'Campaign Analysis'!$A$21</f>
        <v/>
      </c>
      <c r="B27" s="11" t="n">
        <f aca="false">N('Campaign Analysis'!$C$21)</f>
        <v>0</v>
      </c>
      <c r="C27" s="9" t="str">
        <f aca="false">'Campaign Analysis'!$X$21</f>
        <v/>
      </c>
      <c r="D27" s="28" t="n">
        <f aca="false">IF($C27="",0,SUMIF($C$12:$C$51,"&lt;"&amp;$C27,$B$12:$B$51))</f>
        <v>0</v>
      </c>
      <c r="E27" s="11" t="n">
        <f aca="false">N('Campaign Analysis'!$L$21)</f>
        <v>0</v>
      </c>
      <c r="F27" s="11" t="n">
        <f aca="false">N('Campaign Analysis'!$J$21)</f>
        <v>0</v>
      </c>
      <c r="G27" s="12" t="n">
        <f aca="false">N('Campaign Analysis'!$O$21)</f>
        <v>0</v>
      </c>
      <c r="H27" s="42" t="n">
        <f aca="false">IF($B27&lt;=0,0,MIN(1,MAX(0,($A$5*SUM($B$12:$B$51)-$D27)/$B27)))</f>
        <v>0</v>
      </c>
      <c r="I27" s="28" t="n">
        <f aca="false">$B27*H27</f>
        <v>0</v>
      </c>
      <c r="J27" s="28" t="n">
        <f aca="false">$E27*(1-(1-H27)^$G27)</f>
        <v>0</v>
      </c>
      <c r="K27" s="28" t="n">
        <f aca="false">$F27*(1-(1-H27)^$G27)</f>
        <v>0</v>
      </c>
      <c r="L27" s="28" t="n">
        <f aca="false">IF($B27&lt;=0,0,$E27*(1-(1-$A$5)^$G27))</f>
        <v>0</v>
      </c>
      <c r="M27" s="42" t="n">
        <f aca="false">IF($B27&lt;=0,0,MIN(1,MAX(0,($A$6*SUM($B$12:$B$51)-$D27)/$B27)))</f>
        <v>0</v>
      </c>
      <c r="N27" s="28" t="n">
        <f aca="false">$B27*M27</f>
        <v>0</v>
      </c>
      <c r="O27" s="28" t="n">
        <f aca="false">$E27*(1-(1-M27)^$G27)</f>
        <v>0</v>
      </c>
      <c r="P27" s="28" t="n">
        <f aca="false">$F27*(1-(1-M27)^$G27)</f>
        <v>0</v>
      </c>
      <c r="Q27" s="28" t="n">
        <f aca="false">IF($B27&lt;=0,0,$E27*(1-(1-$A$6)^$G27))</f>
        <v>0</v>
      </c>
      <c r="R27" s="42" t="n">
        <f aca="false">IF($B27&lt;=0,0,MIN(1,MAX(0,($A$7*SUM($B$12:$B$51)-$D27)/$B27)))</f>
        <v>0</v>
      </c>
      <c r="S27" s="28" t="n">
        <f aca="false">$B27*R27</f>
        <v>0</v>
      </c>
      <c r="T27" s="28" t="n">
        <f aca="false">$E27*(1-(1-R27)^$G27)</f>
        <v>0</v>
      </c>
      <c r="U27" s="28" t="n">
        <f aca="false">$F27*(1-(1-R27)^$G27)</f>
        <v>0</v>
      </c>
      <c r="V27" s="28" t="n">
        <f aca="false">IF($B27&lt;=0,0,$E27*(1-(1-$A$7)^$G27))</f>
        <v>0</v>
      </c>
    </row>
    <row r="28" customFormat="false" ht="15" hidden="false" customHeight="false" outlineLevel="0" collapsed="false">
      <c r="A28" s="9" t="str">
        <f aca="false">'Campaign Analysis'!$A$22</f>
        <v/>
      </c>
      <c r="B28" s="11" t="n">
        <f aca="false">N('Campaign Analysis'!$C$22)</f>
        <v>0</v>
      </c>
      <c r="C28" s="9" t="str">
        <f aca="false">'Campaign Analysis'!$X$22</f>
        <v/>
      </c>
      <c r="D28" s="28" t="n">
        <f aca="false">IF($C28="",0,SUMIF($C$12:$C$51,"&lt;"&amp;$C28,$B$12:$B$51))</f>
        <v>0</v>
      </c>
      <c r="E28" s="11" t="n">
        <f aca="false">N('Campaign Analysis'!$L$22)</f>
        <v>0</v>
      </c>
      <c r="F28" s="11" t="n">
        <f aca="false">N('Campaign Analysis'!$J$22)</f>
        <v>0</v>
      </c>
      <c r="G28" s="12" t="n">
        <f aca="false">N('Campaign Analysis'!$O$22)</f>
        <v>0</v>
      </c>
      <c r="H28" s="42" t="n">
        <f aca="false">IF($B28&lt;=0,0,MIN(1,MAX(0,($A$5*SUM($B$12:$B$51)-$D28)/$B28)))</f>
        <v>0</v>
      </c>
      <c r="I28" s="28" t="n">
        <f aca="false">$B28*H28</f>
        <v>0</v>
      </c>
      <c r="J28" s="28" t="n">
        <f aca="false">$E28*(1-(1-H28)^$G28)</f>
        <v>0</v>
      </c>
      <c r="K28" s="28" t="n">
        <f aca="false">$F28*(1-(1-H28)^$G28)</f>
        <v>0</v>
      </c>
      <c r="L28" s="28" t="n">
        <f aca="false">IF($B28&lt;=0,0,$E28*(1-(1-$A$5)^$G28))</f>
        <v>0</v>
      </c>
      <c r="M28" s="42" t="n">
        <f aca="false">IF($B28&lt;=0,0,MIN(1,MAX(0,($A$6*SUM($B$12:$B$51)-$D28)/$B28)))</f>
        <v>0</v>
      </c>
      <c r="N28" s="28" t="n">
        <f aca="false">$B28*M28</f>
        <v>0</v>
      </c>
      <c r="O28" s="28" t="n">
        <f aca="false">$E28*(1-(1-M28)^$G28)</f>
        <v>0</v>
      </c>
      <c r="P28" s="28" t="n">
        <f aca="false">$F28*(1-(1-M28)^$G28)</f>
        <v>0</v>
      </c>
      <c r="Q28" s="28" t="n">
        <f aca="false">IF($B28&lt;=0,0,$E28*(1-(1-$A$6)^$G28))</f>
        <v>0</v>
      </c>
      <c r="R28" s="42" t="n">
        <f aca="false">IF($B28&lt;=0,0,MIN(1,MAX(0,($A$7*SUM($B$12:$B$51)-$D28)/$B28)))</f>
        <v>0</v>
      </c>
      <c r="S28" s="28" t="n">
        <f aca="false">$B28*R28</f>
        <v>0</v>
      </c>
      <c r="T28" s="28" t="n">
        <f aca="false">$E28*(1-(1-R28)^$G28)</f>
        <v>0</v>
      </c>
      <c r="U28" s="28" t="n">
        <f aca="false">$F28*(1-(1-R28)^$G28)</f>
        <v>0</v>
      </c>
      <c r="V28" s="28" t="n">
        <f aca="false">IF($B28&lt;=0,0,$E28*(1-(1-$A$7)^$G28))</f>
        <v>0</v>
      </c>
    </row>
    <row r="29" customFormat="false" ht="15" hidden="false" customHeight="false" outlineLevel="0" collapsed="false">
      <c r="A29" s="9" t="str">
        <f aca="false">'Campaign Analysis'!$A$23</f>
        <v/>
      </c>
      <c r="B29" s="11" t="n">
        <f aca="false">N('Campaign Analysis'!$C$23)</f>
        <v>0</v>
      </c>
      <c r="C29" s="9" t="str">
        <f aca="false">'Campaign Analysis'!$X$23</f>
        <v/>
      </c>
      <c r="D29" s="28" t="n">
        <f aca="false">IF($C29="",0,SUMIF($C$12:$C$51,"&lt;"&amp;$C29,$B$12:$B$51))</f>
        <v>0</v>
      </c>
      <c r="E29" s="11" t="n">
        <f aca="false">N('Campaign Analysis'!$L$23)</f>
        <v>0</v>
      </c>
      <c r="F29" s="11" t="n">
        <f aca="false">N('Campaign Analysis'!$J$23)</f>
        <v>0</v>
      </c>
      <c r="G29" s="12" t="n">
        <f aca="false">N('Campaign Analysis'!$O$23)</f>
        <v>0</v>
      </c>
      <c r="H29" s="42" t="n">
        <f aca="false">IF($B29&lt;=0,0,MIN(1,MAX(0,($A$5*SUM($B$12:$B$51)-$D29)/$B29)))</f>
        <v>0</v>
      </c>
      <c r="I29" s="28" t="n">
        <f aca="false">$B29*H29</f>
        <v>0</v>
      </c>
      <c r="J29" s="28" t="n">
        <f aca="false">$E29*(1-(1-H29)^$G29)</f>
        <v>0</v>
      </c>
      <c r="K29" s="28" t="n">
        <f aca="false">$F29*(1-(1-H29)^$G29)</f>
        <v>0</v>
      </c>
      <c r="L29" s="28" t="n">
        <f aca="false">IF($B29&lt;=0,0,$E29*(1-(1-$A$5)^$G29))</f>
        <v>0</v>
      </c>
      <c r="M29" s="42" t="n">
        <f aca="false">IF($B29&lt;=0,0,MIN(1,MAX(0,($A$6*SUM($B$12:$B$51)-$D29)/$B29)))</f>
        <v>0</v>
      </c>
      <c r="N29" s="28" t="n">
        <f aca="false">$B29*M29</f>
        <v>0</v>
      </c>
      <c r="O29" s="28" t="n">
        <f aca="false">$E29*(1-(1-M29)^$G29)</f>
        <v>0</v>
      </c>
      <c r="P29" s="28" t="n">
        <f aca="false">$F29*(1-(1-M29)^$G29)</f>
        <v>0</v>
      </c>
      <c r="Q29" s="28" t="n">
        <f aca="false">IF($B29&lt;=0,0,$E29*(1-(1-$A$6)^$G29))</f>
        <v>0</v>
      </c>
      <c r="R29" s="42" t="n">
        <f aca="false">IF($B29&lt;=0,0,MIN(1,MAX(0,($A$7*SUM($B$12:$B$51)-$D29)/$B29)))</f>
        <v>0</v>
      </c>
      <c r="S29" s="28" t="n">
        <f aca="false">$B29*R29</f>
        <v>0</v>
      </c>
      <c r="T29" s="28" t="n">
        <f aca="false">$E29*(1-(1-R29)^$G29)</f>
        <v>0</v>
      </c>
      <c r="U29" s="28" t="n">
        <f aca="false">$F29*(1-(1-R29)^$G29)</f>
        <v>0</v>
      </c>
      <c r="V29" s="28" t="n">
        <f aca="false">IF($B29&lt;=0,0,$E29*(1-(1-$A$7)^$G29))</f>
        <v>0</v>
      </c>
    </row>
    <row r="30" customFormat="false" ht="15" hidden="false" customHeight="false" outlineLevel="0" collapsed="false">
      <c r="A30" s="9" t="str">
        <f aca="false">'Campaign Analysis'!$A$24</f>
        <v/>
      </c>
      <c r="B30" s="11" t="n">
        <f aca="false">N('Campaign Analysis'!$C$24)</f>
        <v>0</v>
      </c>
      <c r="C30" s="9" t="str">
        <f aca="false">'Campaign Analysis'!$X$24</f>
        <v/>
      </c>
      <c r="D30" s="28" t="n">
        <f aca="false">IF($C30="",0,SUMIF($C$12:$C$51,"&lt;"&amp;$C30,$B$12:$B$51))</f>
        <v>0</v>
      </c>
      <c r="E30" s="11" t="n">
        <f aca="false">N('Campaign Analysis'!$L$24)</f>
        <v>0</v>
      </c>
      <c r="F30" s="11" t="n">
        <f aca="false">N('Campaign Analysis'!$J$24)</f>
        <v>0</v>
      </c>
      <c r="G30" s="12" t="n">
        <f aca="false">N('Campaign Analysis'!$O$24)</f>
        <v>0</v>
      </c>
      <c r="H30" s="42" t="n">
        <f aca="false">IF($B30&lt;=0,0,MIN(1,MAX(0,($A$5*SUM($B$12:$B$51)-$D30)/$B30)))</f>
        <v>0</v>
      </c>
      <c r="I30" s="28" t="n">
        <f aca="false">$B30*H30</f>
        <v>0</v>
      </c>
      <c r="J30" s="28" t="n">
        <f aca="false">$E30*(1-(1-H30)^$G30)</f>
        <v>0</v>
      </c>
      <c r="K30" s="28" t="n">
        <f aca="false">$F30*(1-(1-H30)^$G30)</f>
        <v>0</v>
      </c>
      <c r="L30" s="28" t="n">
        <f aca="false">IF($B30&lt;=0,0,$E30*(1-(1-$A$5)^$G30))</f>
        <v>0</v>
      </c>
      <c r="M30" s="42" t="n">
        <f aca="false">IF($B30&lt;=0,0,MIN(1,MAX(0,($A$6*SUM($B$12:$B$51)-$D30)/$B30)))</f>
        <v>0</v>
      </c>
      <c r="N30" s="28" t="n">
        <f aca="false">$B30*M30</f>
        <v>0</v>
      </c>
      <c r="O30" s="28" t="n">
        <f aca="false">$E30*(1-(1-M30)^$G30)</f>
        <v>0</v>
      </c>
      <c r="P30" s="28" t="n">
        <f aca="false">$F30*(1-(1-M30)^$G30)</f>
        <v>0</v>
      </c>
      <c r="Q30" s="28" t="n">
        <f aca="false">IF($B30&lt;=0,0,$E30*(1-(1-$A$6)^$G30))</f>
        <v>0</v>
      </c>
      <c r="R30" s="42" t="n">
        <f aca="false">IF($B30&lt;=0,0,MIN(1,MAX(0,($A$7*SUM($B$12:$B$51)-$D30)/$B30)))</f>
        <v>0</v>
      </c>
      <c r="S30" s="28" t="n">
        <f aca="false">$B30*R30</f>
        <v>0</v>
      </c>
      <c r="T30" s="28" t="n">
        <f aca="false">$E30*(1-(1-R30)^$G30)</f>
        <v>0</v>
      </c>
      <c r="U30" s="28" t="n">
        <f aca="false">$F30*(1-(1-R30)^$G30)</f>
        <v>0</v>
      </c>
      <c r="V30" s="28" t="n">
        <f aca="false">IF($B30&lt;=0,0,$E30*(1-(1-$A$7)^$G30))</f>
        <v>0</v>
      </c>
    </row>
    <row r="31" customFormat="false" ht="15" hidden="false" customHeight="false" outlineLevel="0" collapsed="false">
      <c r="A31" s="9" t="str">
        <f aca="false">'Campaign Analysis'!$A$25</f>
        <v/>
      </c>
      <c r="B31" s="11" t="n">
        <f aca="false">N('Campaign Analysis'!$C$25)</f>
        <v>0</v>
      </c>
      <c r="C31" s="9" t="str">
        <f aca="false">'Campaign Analysis'!$X$25</f>
        <v/>
      </c>
      <c r="D31" s="28" t="n">
        <f aca="false">IF($C31="",0,SUMIF($C$12:$C$51,"&lt;"&amp;$C31,$B$12:$B$51))</f>
        <v>0</v>
      </c>
      <c r="E31" s="11" t="n">
        <f aca="false">N('Campaign Analysis'!$L$25)</f>
        <v>0</v>
      </c>
      <c r="F31" s="11" t="n">
        <f aca="false">N('Campaign Analysis'!$J$25)</f>
        <v>0</v>
      </c>
      <c r="G31" s="12" t="n">
        <f aca="false">N('Campaign Analysis'!$O$25)</f>
        <v>0</v>
      </c>
      <c r="H31" s="42" t="n">
        <f aca="false">IF($B31&lt;=0,0,MIN(1,MAX(0,($A$5*SUM($B$12:$B$51)-$D31)/$B31)))</f>
        <v>0</v>
      </c>
      <c r="I31" s="28" t="n">
        <f aca="false">$B31*H31</f>
        <v>0</v>
      </c>
      <c r="J31" s="28" t="n">
        <f aca="false">$E31*(1-(1-H31)^$G31)</f>
        <v>0</v>
      </c>
      <c r="K31" s="28" t="n">
        <f aca="false">$F31*(1-(1-H31)^$G31)</f>
        <v>0</v>
      </c>
      <c r="L31" s="28" t="n">
        <f aca="false">IF($B31&lt;=0,0,$E31*(1-(1-$A$5)^$G31))</f>
        <v>0</v>
      </c>
      <c r="M31" s="42" t="n">
        <f aca="false">IF($B31&lt;=0,0,MIN(1,MAX(0,($A$6*SUM($B$12:$B$51)-$D31)/$B31)))</f>
        <v>0</v>
      </c>
      <c r="N31" s="28" t="n">
        <f aca="false">$B31*M31</f>
        <v>0</v>
      </c>
      <c r="O31" s="28" t="n">
        <f aca="false">$E31*(1-(1-M31)^$G31)</f>
        <v>0</v>
      </c>
      <c r="P31" s="28" t="n">
        <f aca="false">$F31*(1-(1-M31)^$G31)</f>
        <v>0</v>
      </c>
      <c r="Q31" s="28" t="n">
        <f aca="false">IF($B31&lt;=0,0,$E31*(1-(1-$A$6)^$G31))</f>
        <v>0</v>
      </c>
      <c r="R31" s="42" t="n">
        <f aca="false">IF($B31&lt;=0,0,MIN(1,MAX(0,($A$7*SUM($B$12:$B$51)-$D31)/$B31)))</f>
        <v>0</v>
      </c>
      <c r="S31" s="28" t="n">
        <f aca="false">$B31*R31</f>
        <v>0</v>
      </c>
      <c r="T31" s="28" t="n">
        <f aca="false">$E31*(1-(1-R31)^$G31)</f>
        <v>0</v>
      </c>
      <c r="U31" s="28" t="n">
        <f aca="false">$F31*(1-(1-R31)^$G31)</f>
        <v>0</v>
      </c>
      <c r="V31" s="28" t="n">
        <f aca="false">IF($B31&lt;=0,0,$E31*(1-(1-$A$7)^$G31))</f>
        <v>0</v>
      </c>
    </row>
    <row r="32" customFormat="false" ht="15" hidden="false" customHeight="false" outlineLevel="0" collapsed="false">
      <c r="A32" s="9" t="str">
        <f aca="false">'Campaign Analysis'!$A$26</f>
        <v/>
      </c>
      <c r="B32" s="11" t="n">
        <f aca="false">N('Campaign Analysis'!$C$26)</f>
        <v>0</v>
      </c>
      <c r="C32" s="9" t="str">
        <f aca="false">'Campaign Analysis'!$X$26</f>
        <v/>
      </c>
      <c r="D32" s="28" t="n">
        <f aca="false">IF($C32="",0,SUMIF($C$12:$C$51,"&lt;"&amp;$C32,$B$12:$B$51))</f>
        <v>0</v>
      </c>
      <c r="E32" s="11" t="n">
        <f aca="false">N('Campaign Analysis'!$L$26)</f>
        <v>0</v>
      </c>
      <c r="F32" s="11" t="n">
        <f aca="false">N('Campaign Analysis'!$J$26)</f>
        <v>0</v>
      </c>
      <c r="G32" s="12" t="n">
        <f aca="false">N('Campaign Analysis'!$O$26)</f>
        <v>0</v>
      </c>
      <c r="H32" s="42" t="n">
        <f aca="false">IF($B32&lt;=0,0,MIN(1,MAX(0,($A$5*SUM($B$12:$B$51)-$D32)/$B32)))</f>
        <v>0</v>
      </c>
      <c r="I32" s="28" t="n">
        <f aca="false">$B32*H32</f>
        <v>0</v>
      </c>
      <c r="J32" s="28" t="n">
        <f aca="false">$E32*(1-(1-H32)^$G32)</f>
        <v>0</v>
      </c>
      <c r="K32" s="28" t="n">
        <f aca="false">$F32*(1-(1-H32)^$G32)</f>
        <v>0</v>
      </c>
      <c r="L32" s="28" t="n">
        <f aca="false">IF($B32&lt;=0,0,$E32*(1-(1-$A$5)^$G32))</f>
        <v>0</v>
      </c>
      <c r="M32" s="42" t="n">
        <f aca="false">IF($B32&lt;=0,0,MIN(1,MAX(0,($A$6*SUM($B$12:$B$51)-$D32)/$B32)))</f>
        <v>0</v>
      </c>
      <c r="N32" s="28" t="n">
        <f aca="false">$B32*M32</f>
        <v>0</v>
      </c>
      <c r="O32" s="28" t="n">
        <f aca="false">$E32*(1-(1-M32)^$G32)</f>
        <v>0</v>
      </c>
      <c r="P32" s="28" t="n">
        <f aca="false">$F32*(1-(1-M32)^$G32)</f>
        <v>0</v>
      </c>
      <c r="Q32" s="28" t="n">
        <f aca="false">IF($B32&lt;=0,0,$E32*(1-(1-$A$6)^$G32))</f>
        <v>0</v>
      </c>
      <c r="R32" s="42" t="n">
        <f aca="false">IF($B32&lt;=0,0,MIN(1,MAX(0,($A$7*SUM($B$12:$B$51)-$D32)/$B32)))</f>
        <v>0</v>
      </c>
      <c r="S32" s="28" t="n">
        <f aca="false">$B32*R32</f>
        <v>0</v>
      </c>
      <c r="T32" s="28" t="n">
        <f aca="false">$E32*(1-(1-R32)^$G32)</f>
        <v>0</v>
      </c>
      <c r="U32" s="28" t="n">
        <f aca="false">$F32*(1-(1-R32)^$G32)</f>
        <v>0</v>
      </c>
      <c r="V32" s="28" t="n">
        <f aca="false">IF($B32&lt;=0,0,$E32*(1-(1-$A$7)^$G32))</f>
        <v>0</v>
      </c>
    </row>
    <row r="33" customFormat="false" ht="15" hidden="false" customHeight="false" outlineLevel="0" collapsed="false">
      <c r="A33" s="9" t="str">
        <f aca="false">'Campaign Analysis'!$A$27</f>
        <v/>
      </c>
      <c r="B33" s="11" t="n">
        <f aca="false">N('Campaign Analysis'!$C$27)</f>
        <v>0</v>
      </c>
      <c r="C33" s="9" t="str">
        <f aca="false">'Campaign Analysis'!$X$27</f>
        <v/>
      </c>
      <c r="D33" s="28" t="n">
        <f aca="false">IF($C33="",0,SUMIF($C$12:$C$51,"&lt;"&amp;$C33,$B$12:$B$51))</f>
        <v>0</v>
      </c>
      <c r="E33" s="11" t="n">
        <f aca="false">N('Campaign Analysis'!$L$27)</f>
        <v>0</v>
      </c>
      <c r="F33" s="11" t="n">
        <f aca="false">N('Campaign Analysis'!$J$27)</f>
        <v>0</v>
      </c>
      <c r="G33" s="12" t="n">
        <f aca="false">N('Campaign Analysis'!$O$27)</f>
        <v>0</v>
      </c>
      <c r="H33" s="42" t="n">
        <f aca="false">IF($B33&lt;=0,0,MIN(1,MAX(0,($A$5*SUM($B$12:$B$51)-$D33)/$B33)))</f>
        <v>0</v>
      </c>
      <c r="I33" s="28" t="n">
        <f aca="false">$B33*H33</f>
        <v>0</v>
      </c>
      <c r="J33" s="28" t="n">
        <f aca="false">$E33*(1-(1-H33)^$G33)</f>
        <v>0</v>
      </c>
      <c r="K33" s="28" t="n">
        <f aca="false">$F33*(1-(1-H33)^$G33)</f>
        <v>0</v>
      </c>
      <c r="L33" s="28" t="n">
        <f aca="false">IF($B33&lt;=0,0,$E33*(1-(1-$A$5)^$G33))</f>
        <v>0</v>
      </c>
      <c r="M33" s="42" t="n">
        <f aca="false">IF($B33&lt;=0,0,MIN(1,MAX(0,($A$6*SUM($B$12:$B$51)-$D33)/$B33)))</f>
        <v>0</v>
      </c>
      <c r="N33" s="28" t="n">
        <f aca="false">$B33*M33</f>
        <v>0</v>
      </c>
      <c r="O33" s="28" t="n">
        <f aca="false">$E33*(1-(1-M33)^$G33)</f>
        <v>0</v>
      </c>
      <c r="P33" s="28" t="n">
        <f aca="false">$F33*(1-(1-M33)^$G33)</f>
        <v>0</v>
      </c>
      <c r="Q33" s="28" t="n">
        <f aca="false">IF($B33&lt;=0,0,$E33*(1-(1-$A$6)^$G33))</f>
        <v>0</v>
      </c>
      <c r="R33" s="42" t="n">
        <f aca="false">IF($B33&lt;=0,0,MIN(1,MAX(0,($A$7*SUM($B$12:$B$51)-$D33)/$B33)))</f>
        <v>0</v>
      </c>
      <c r="S33" s="28" t="n">
        <f aca="false">$B33*R33</f>
        <v>0</v>
      </c>
      <c r="T33" s="28" t="n">
        <f aca="false">$E33*(1-(1-R33)^$G33)</f>
        <v>0</v>
      </c>
      <c r="U33" s="28" t="n">
        <f aca="false">$F33*(1-(1-R33)^$G33)</f>
        <v>0</v>
      </c>
      <c r="V33" s="28" t="n">
        <f aca="false">IF($B33&lt;=0,0,$E33*(1-(1-$A$7)^$G33))</f>
        <v>0</v>
      </c>
    </row>
    <row r="34" customFormat="false" ht="15" hidden="false" customHeight="false" outlineLevel="0" collapsed="false">
      <c r="A34" s="9" t="str">
        <f aca="false">'Campaign Analysis'!$A$28</f>
        <v/>
      </c>
      <c r="B34" s="11" t="n">
        <f aca="false">N('Campaign Analysis'!$C$28)</f>
        <v>0</v>
      </c>
      <c r="C34" s="9" t="str">
        <f aca="false">'Campaign Analysis'!$X$28</f>
        <v/>
      </c>
      <c r="D34" s="28" t="n">
        <f aca="false">IF($C34="",0,SUMIF($C$12:$C$51,"&lt;"&amp;$C34,$B$12:$B$51))</f>
        <v>0</v>
      </c>
      <c r="E34" s="11" t="n">
        <f aca="false">N('Campaign Analysis'!$L$28)</f>
        <v>0</v>
      </c>
      <c r="F34" s="11" t="n">
        <f aca="false">N('Campaign Analysis'!$J$28)</f>
        <v>0</v>
      </c>
      <c r="G34" s="12" t="n">
        <f aca="false">N('Campaign Analysis'!$O$28)</f>
        <v>0</v>
      </c>
      <c r="H34" s="42" t="n">
        <f aca="false">IF($B34&lt;=0,0,MIN(1,MAX(0,($A$5*SUM($B$12:$B$51)-$D34)/$B34)))</f>
        <v>0</v>
      </c>
      <c r="I34" s="28" t="n">
        <f aca="false">$B34*H34</f>
        <v>0</v>
      </c>
      <c r="J34" s="28" t="n">
        <f aca="false">$E34*(1-(1-H34)^$G34)</f>
        <v>0</v>
      </c>
      <c r="K34" s="28" t="n">
        <f aca="false">$F34*(1-(1-H34)^$G34)</f>
        <v>0</v>
      </c>
      <c r="L34" s="28" t="n">
        <f aca="false">IF($B34&lt;=0,0,$E34*(1-(1-$A$5)^$G34))</f>
        <v>0</v>
      </c>
      <c r="M34" s="42" t="n">
        <f aca="false">IF($B34&lt;=0,0,MIN(1,MAX(0,($A$6*SUM($B$12:$B$51)-$D34)/$B34)))</f>
        <v>0</v>
      </c>
      <c r="N34" s="28" t="n">
        <f aca="false">$B34*M34</f>
        <v>0</v>
      </c>
      <c r="O34" s="28" t="n">
        <f aca="false">$E34*(1-(1-M34)^$G34)</f>
        <v>0</v>
      </c>
      <c r="P34" s="28" t="n">
        <f aca="false">$F34*(1-(1-M34)^$G34)</f>
        <v>0</v>
      </c>
      <c r="Q34" s="28" t="n">
        <f aca="false">IF($B34&lt;=0,0,$E34*(1-(1-$A$6)^$G34))</f>
        <v>0</v>
      </c>
      <c r="R34" s="42" t="n">
        <f aca="false">IF($B34&lt;=0,0,MIN(1,MAX(0,($A$7*SUM($B$12:$B$51)-$D34)/$B34)))</f>
        <v>0</v>
      </c>
      <c r="S34" s="28" t="n">
        <f aca="false">$B34*R34</f>
        <v>0</v>
      </c>
      <c r="T34" s="28" t="n">
        <f aca="false">$E34*(1-(1-R34)^$G34)</f>
        <v>0</v>
      </c>
      <c r="U34" s="28" t="n">
        <f aca="false">$F34*(1-(1-R34)^$G34)</f>
        <v>0</v>
      </c>
      <c r="V34" s="28" t="n">
        <f aca="false">IF($B34&lt;=0,0,$E34*(1-(1-$A$7)^$G34))</f>
        <v>0</v>
      </c>
    </row>
    <row r="35" customFormat="false" ht="15" hidden="false" customHeight="false" outlineLevel="0" collapsed="false">
      <c r="A35" s="9" t="str">
        <f aca="false">'Campaign Analysis'!$A$29</f>
        <v/>
      </c>
      <c r="B35" s="11" t="n">
        <f aca="false">N('Campaign Analysis'!$C$29)</f>
        <v>0</v>
      </c>
      <c r="C35" s="9" t="str">
        <f aca="false">'Campaign Analysis'!$X$29</f>
        <v/>
      </c>
      <c r="D35" s="28" t="n">
        <f aca="false">IF($C35="",0,SUMIF($C$12:$C$51,"&lt;"&amp;$C35,$B$12:$B$51))</f>
        <v>0</v>
      </c>
      <c r="E35" s="11" t="n">
        <f aca="false">N('Campaign Analysis'!$L$29)</f>
        <v>0</v>
      </c>
      <c r="F35" s="11" t="n">
        <f aca="false">N('Campaign Analysis'!$J$29)</f>
        <v>0</v>
      </c>
      <c r="G35" s="12" t="n">
        <f aca="false">N('Campaign Analysis'!$O$29)</f>
        <v>0</v>
      </c>
      <c r="H35" s="42" t="n">
        <f aca="false">IF($B35&lt;=0,0,MIN(1,MAX(0,($A$5*SUM($B$12:$B$51)-$D35)/$B35)))</f>
        <v>0</v>
      </c>
      <c r="I35" s="28" t="n">
        <f aca="false">$B35*H35</f>
        <v>0</v>
      </c>
      <c r="J35" s="28" t="n">
        <f aca="false">$E35*(1-(1-H35)^$G35)</f>
        <v>0</v>
      </c>
      <c r="K35" s="28" t="n">
        <f aca="false">$F35*(1-(1-H35)^$G35)</f>
        <v>0</v>
      </c>
      <c r="L35" s="28" t="n">
        <f aca="false">IF($B35&lt;=0,0,$E35*(1-(1-$A$5)^$G35))</f>
        <v>0</v>
      </c>
      <c r="M35" s="42" t="n">
        <f aca="false">IF($B35&lt;=0,0,MIN(1,MAX(0,($A$6*SUM($B$12:$B$51)-$D35)/$B35)))</f>
        <v>0</v>
      </c>
      <c r="N35" s="28" t="n">
        <f aca="false">$B35*M35</f>
        <v>0</v>
      </c>
      <c r="O35" s="28" t="n">
        <f aca="false">$E35*(1-(1-M35)^$G35)</f>
        <v>0</v>
      </c>
      <c r="P35" s="28" t="n">
        <f aca="false">$F35*(1-(1-M35)^$G35)</f>
        <v>0</v>
      </c>
      <c r="Q35" s="28" t="n">
        <f aca="false">IF($B35&lt;=0,0,$E35*(1-(1-$A$6)^$G35))</f>
        <v>0</v>
      </c>
      <c r="R35" s="42" t="n">
        <f aca="false">IF($B35&lt;=0,0,MIN(1,MAX(0,($A$7*SUM($B$12:$B$51)-$D35)/$B35)))</f>
        <v>0</v>
      </c>
      <c r="S35" s="28" t="n">
        <f aca="false">$B35*R35</f>
        <v>0</v>
      </c>
      <c r="T35" s="28" t="n">
        <f aca="false">$E35*(1-(1-R35)^$G35)</f>
        <v>0</v>
      </c>
      <c r="U35" s="28" t="n">
        <f aca="false">$F35*(1-(1-R35)^$G35)</f>
        <v>0</v>
      </c>
      <c r="V35" s="28" t="n">
        <f aca="false">IF($B35&lt;=0,0,$E35*(1-(1-$A$7)^$G35))</f>
        <v>0</v>
      </c>
    </row>
    <row r="36" customFormat="false" ht="15" hidden="false" customHeight="false" outlineLevel="0" collapsed="false">
      <c r="A36" s="9" t="str">
        <f aca="false">'Campaign Analysis'!$A$30</f>
        <v/>
      </c>
      <c r="B36" s="11" t="n">
        <f aca="false">N('Campaign Analysis'!$C$30)</f>
        <v>0</v>
      </c>
      <c r="C36" s="9" t="str">
        <f aca="false">'Campaign Analysis'!$X$30</f>
        <v/>
      </c>
      <c r="D36" s="28" t="n">
        <f aca="false">IF($C36="",0,SUMIF($C$12:$C$51,"&lt;"&amp;$C36,$B$12:$B$51))</f>
        <v>0</v>
      </c>
      <c r="E36" s="11" t="n">
        <f aca="false">N('Campaign Analysis'!$L$30)</f>
        <v>0</v>
      </c>
      <c r="F36" s="11" t="n">
        <f aca="false">N('Campaign Analysis'!$J$30)</f>
        <v>0</v>
      </c>
      <c r="G36" s="12" t="n">
        <f aca="false">N('Campaign Analysis'!$O$30)</f>
        <v>0</v>
      </c>
      <c r="H36" s="42" t="n">
        <f aca="false">IF($B36&lt;=0,0,MIN(1,MAX(0,($A$5*SUM($B$12:$B$51)-$D36)/$B36)))</f>
        <v>0</v>
      </c>
      <c r="I36" s="28" t="n">
        <f aca="false">$B36*H36</f>
        <v>0</v>
      </c>
      <c r="J36" s="28" t="n">
        <f aca="false">$E36*(1-(1-H36)^$G36)</f>
        <v>0</v>
      </c>
      <c r="K36" s="28" t="n">
        <f aca="false">$F36*(1-(1-H36)^$G36)</f>
        <v>0</v>
      </c>
      <c r="L36" s="28" t="n">
        <f aca="false">IF($B36&lt;=0,0,$E36*(1-(1-$A$5)^$G36))</f>
        <v>0</v>
      </c>
      <c r="M36" s="42" t="n">
        <f aca="false">IF($B36&lt;=0,0,MIN(1,MAX(0,($A$6*SUM($B$12:$B$51)-$D36)/$B36)))</f>
        <v>0</v>
      </c>
      <c r="N36" s="28" t="n">
        <f aca="false">$B36*M36</f>
        <v>0</v>
      </c>
      <c r="O36" s="28" t="n">
        <f aca="false">$E36*(1-(1-M36)^$G36)</f>
        <v>0</v>
      </c>
      <c r="P36" s="28" t="n">
        <f aca="false">$F36*(1-(1-M36)^$G36)</f>
        <v>0</v>
      </c>
      <c r="Q36" s="28" t="n">
        <f aca="false">IF($B36&lt;=0,0,$E36*(1-(1-$A$6)^$G36))</f>
        <v>0</v>
      </c>
      <c r="R36" s="42" t="n">
        <f aca="false">IF($B36&lt;=0,0,MIN(1,MAX(0,($A$7*SUM($B$12:$B$51)-$D36)/$B36)))</f>
        <v>0</v>
      </c>
      <c r="S36" s="28" t="n">
        <f aca="false">$B36*R36</f>
        <v>0</v>
      </c>
      <c r="T36" s="28" t="n">
        <f aca="false">$E36*(1-(1-R36)^$G36)</f>
        <v>0</v>
      </c>
      <c r="U36" s="28" t="n">
        <f aca="false">$F36*(1-(1-R36)^$G36)</f>
        <v>0</v>
      </c>
      <c r="V36" s="28" t="n">
        <f aca="false">IF($B36&lt;=0,0,$E36*(1-(1-$A$7)^$G36))</f>
        <v>0</v>
      </c>
    </row>
    <row r="37" customFormat="false" ht="15" hidden="false" customHeight="false" outlineLevel="0" collapsed="false">
      <c r="A37" s="9" t="str">
        <f aca="false">'Campaign Analysis'!$A$31</f>
        <v/>
      </c>
      <c r="B37" s="11" t="n">
        <f aca="false">N('Campaign Analysis'!$C$31)</f>
        <v>0</v>
      </c>
      <c r="C37" s="9" t="str">
        <f aca="false">'Campaign Analysis'!$X$31</f>
        <v/>
      </c>
      <c r="D37" s="28" t="n">
        <f aca="false">IF($C37="",0,SUMIF($C$12:$C$51,"&lt;"&amp;$C37,$B$12:$B$51))</f>
        <v>0</v>
      </c>
      <c r="E37" s="11" t="n">
        <f aca="false">N('Campaign Analysis'!$L$31)</f>
        <v>0</v>
      </c>
      <c r="F37" s="11" t="n">
        <f aca="false">N('Campaign Analysis'!$J$31)</f>
        <v>0</v>
      </c>
      <c r="G37" s="12" t="n">
        <f aca="false">N('Campaign Analysis'!$O$31)</f>
        <v>0</v>
      </c>
      <c r="H37" s="42" t="n">
        <f aca="false">IF($B37&lt;=0,0,MIN(1,MAX(0,($A$5*SUM($B$12:$B$51)-$D37)/$B37)))</f>
        <v>0</v>
      </c>
      <c r="I37" s="28" t="n">
        <f aca="false">$B37*H37</f>
        <v>0</v>
      </c>
      <c r="J37" s="28" t="n">
        <f aca="false">$E37*(1-(1-H37)^$G37)</f>
        <v>0</v>
      </c>
      <c r="K37" s="28" t="n">
        <f aca="false">$F37*(1-(1-H37)^$G37)</f>
        <v>0</v>
      </c>
      <c r="L37" s="28" t="n">
        <f aca="false">IF($B37&lt;=0,0,$E37*(1-(1-$A$5)^$G37))</f>
        <v>0</v>
      </c>
      <c r="M37" s="42" t="n">
        <f aca="false">IF($B37&lt;=0,0,MIN(1,MAX(0,($A$6*SUM($B$12:$B$51)-$D37)/$B37)))</f>
        <v>0</v>
      </c>
      <c r="N37" s="28" t="n">
        <f aca="false">$B37*M37</f>
        <v>0</v>
      </c>
      <c r="O37" s="28" t="n">
        <f aca="false">$E37*(1-(1-M37)^$G37)</f>
        <v>0</v>
      </c>
      <c r="P37" s="28" t="n">
        <f aca="false">$F37*(1-(1-M37)^$G37)</f>
        <v>0</v>
      </c>
      <c r="Q37" s="28" t="n">
        <f aca="false">IF($B37&lt;=0,0,$E37*(1-(1-$A$6)^$G37))</f>
        <v>0</v>
      </c>
      <c r="R37" s="42" t="n">
        <f aca="false">IF($B37&lt;=0,0,MIN(1,MAX(0,($A$7*SUM($B$12:$B$51)-$D37)/$B37)))</f>
        <v>0</v>
      </c>
      <c r="S37" s="28" t="n">
        <f aca="false">$B37*R37</f>
        <v>0</v>
      </c>
      <c r="T37" s="28" t="n">
        <f aca="false">$E37*(1-(1-R37)^$G37)</f>
        <v>0</v>
      </c>
      <c r="U37" s="28" t="n">
        <f aca="false">$F37*(1-(1-R37)^$G37)</f>
        <v>0</v>
      </c>
      <c r="V37" s="28" t="n">
        <f aca="false">IF($B37&lt;=0,0,$E37*(1-(1-$A$7)^$G37))</f>
        <v>0</v>
      </c>
    </row>
    <row r="38" customFormat="false" ht="15" hidden="false" customHeight="false" outlineLevel="0" collapsed="false">
      <c r="A38" s="9" t="str">
        <f aca="false">'Campaign Analysis'!$A$32</f>
        <v/>
      </c>
      <c r="B38" s="11" t="n">
        <f aca="false">N('Campaign Analysis'!$C$32)</f>
        <v>0</v>
      </c>
      <c r="C38" s="9" t="str">
        <f aca="false">'Campaign Analysis'!$X$32</f>
        <v/>
      </c>
      <c r="D38" s="28" t="n">
        <f aca="false">IF($C38="",0,SUMIF($C$12:$C$51,"&lt;"&amp;$C38,$B$12:$B$51))</f>
        <v>0</v>
      </c>
      <c r="E38" s="11" t="n">
        <f aca="false">N('Campaign Analysis'!$L$32)</f>
        <v>0</v>
      </c>
      <c r="F38" s="11" t="n">
        <f aca="false">N('Campaign Analysis'!$J$32)</f>
        <v>0</v>
      </c>
      <c r="G38" s="12" t="n">
        <f aca="false">N('Campaign Analysis'!$O$32)</f>
        <v>0</v>
      </c>
      <c r="H38" s="42" t="n">
        <f aca="false">IF($B38&lt;=0,0,MIN(1,MAX(0,($A$5*SUM($B$12:$B$51)-$D38)/$B38)))</f>
        <v>0</v>
      </c>
      <c r="I38" s="28" t="n">
        <f aca="false">$B38*H38</f>
        <v>0</v>
      </c>
      <c r="J38" s="28" t="n">
        <f aca="false">$E38*(1-(1-H38)^$G38)</f>
        <v>0</v>
      </c>
      <c r="K38" s="28" t="n">
        <f aca="false">$F38*(1-(1-H38)^$G38)</f>
        <v>0</v>
      </c>
      <c r="L38" s="28" t="n">
        <f aca="false">IF($B38&lt;=0,0,$E38*(1-(1-$A$5)^$G38))</f>
        <v>0</v>
      </c>
      <c r="M38" s="42" t="n">
        <f aca="false">IF($B38&lt;=0,0,MIN(1,MAX(0,($A$6*SUM($B$12:$B$51)-$D38)/$B38)))</f>
        <v>0</v>
      </c>
      <c r="N38" s="28" t="n">
        <f aca="false">$B38*M38</f>
        <v>0</v>
      </c>
      <c r="O38" s="28" t="n">
        <f aca="false">$E38*(1-(1-M38)^$G38)</f>
        <v>0</v>
      </c>
      <c r="P38" s="28" t="n">
        <f aca="false">$F38*(1-(1-M38)^$G38)</f>
        <v>0</v>
      </c>
      <c r="Q38" s="28" t="n">
        <f aca="false">IF($B38&lt;=0,0,$E38*(1-(1-$A$6)^$G38))</f>
        <v>0</v>
      </c>
      <c r="R38" s="42" t="n">
        <f aca="false">IF($B38&lt;=0,0,MIN(1,MAX(0,($A$7*SUM($B$12:$B$51)-$D38)/$B38)))</f>
        <v>0</v>
      </c>
      <c r="S38" s="28" t="n">
        <f aca="false">$B38*R38</f>
        <v>0</v>
      </c>
      <c r="T38" s="28" t="n">
        <f aca="false">$E38*(1-(1-R38)^$G38)</f>
        <v>0</v>
      </c>
      <c r="U38" s="28" t="n">
        <f aca="false">$F38*(1-(1-R38)^$G38)</f>
        <v>0</v>
      </c>
      <c r="V38" s="28" t="n">
        <f aca="false">IF($B38&lt;=0,0,$E38*(1-(1-$A$7)^$G38))</f>
        <v>0</v>
      </c>
    </row>
    <row r="39" customFormat="false" ht="15" hidden="false" customHeight="false" outlineLevel="0" collapsed="false">
      <c r="A39" s="9" t="str">
        <f aca="false">'Campaign Analysis'!$A$33</f>
        <v/>
      </c>
      <c r="B39" s="11" t="n">
        <f aca="false">N('Campaign Analysis'!$C$33)</f>
        <v>0</v>
      </c>
      <c r="C39" s="9" t="str">
        <f aca="false">'Campaign Analysis'!$X$33</f>
        <v/>
      </c>
      <c r="D39" s="28" t="n">
        <f aca="false">IF($C39="",0,SUMIF($C$12:$C$51,"&lt;"&amp;$C39,$B$12:$B$51))</f>
        <v>0</v>
      </c>
      <c r="E39" s="11" t="n">
        <f aca="false">N('Campaign Analysis'!$L$33)</f>
        <v>0</v>
      </c>
      <c r="F39" s="11" t="n">
        <f aca="false">N('Campaign Analysis'!$J$33)</f>
        <v>0</v>
      </c>
      <c r="G39" s="12" t="n">
        <f aca="false">N('Campaign Analysis'!$O$33)</f>
        <v>0</v>
      </c>
      <c r="H39" s="42" t="n">
        <f aca="false">IF($B39&lt;=0,0,MIN(1,MAX(0,($A$5*SUM($B$12:$B$51)-$D39)/$B39)))</f>
        <v>0</v>
      </c>
      <c r="I39" s="28" t="n">
        <f aca="false">$B39*H39</f>
        <v>0</v>
      </c>
      <c r="J39" s="28" t="n">
        <f aca="false">$E39*(1-(1-H39)^$G39)</f>
        <v>0</v>
      </c>
      <c r="K39" s="28" t="n">
        <f aca="false">$F39*(1-(1-H39)^$G39)</f>
        <v>0</v>
      </c>
      <c r="L39" s="28" t="n">
        <f aca="false">IF($B39&lt;=0,0,$E39*(1-(1-$A$5)^$G39))</f>
        <v>0</v>
      </c>
      <c r="M39" s="42" t="n">
        <f aca="false">IF($B39&lt;=0,0,MIN(1,MAX(0,($A$6*SUM($B$12:$B$51)-$D39)/$B39)))</f>
        <v>0</v>
      </c>
      <c r="N39" s="28" t="n">
        <f aca="false">$B39*M39</f>
        <v>0</v>
      </c>
      <c r="O39" s="28" t="n">
        <f aca="false">$E39*(1-(1-M39)^$G39)</f>
        <v>0</v>
      </c>
      <c r="P39" s="28" t="n">
        <f aca="false">$F39*(1-(1-M39)^$G39)</f>
        <v>0</v>
      </c>
      <c r="Q39" s="28" t="n">
        <f aca="false">IF($B39&lt;=0,0,$E39*(1-(1-$A$6)^$G39))</f>
        <v>0</v>
      </c>
      <c r="R39" s="42" t="n">
        <f aca="false">IF($B39&lt;=0,0,MIN(1,MAX(0,($A$7*SUM($B$12:$B$51)-$D39)/$B39)))</f>
        <v>0</v>
      </c>
      <c r="S39" s="28" t="n">
        <f aca="false">$B39*R39</f>
        <v>0</v>
      </c>
      <c r="T39" s="28" t="n">
        <f aca="false">$E39*(1-(1-R39)^$G39)</f>
        <v>0</v>
      </c>
      <c r="U39" s="28" t="n">
        <f aca="false">$F39*(1-(1-R39)^$G39)</f>
        <v>0</v>
      </c>
      <c r="V39" s="28" t="n">
        <f aca="false">IF($B39&lt;=0,0,$E39*(1-(1-$A$7)^$G39))</f>
        <v>0</v>
      </c>
    </row>
    <row r="40" customFormat="false" ht="15" hidden="false" customHeight="false" outlineLevel="0" collapsed="false">
      <c r="A40" s="9" t="str">
        <f aca="false">'Campaign Analysis'!$A$34</f>
        <v/>
      </c>
      <c r="B40" s="11" t="n">
        <f aca="false">N('Campaign Analysis'!$C$34)</f>
        <v>0</v>
      </c>
      <c r="C40" s="9" t="str">
        <f aca="false">'Campaign Analysis'!$X$34</f>
        <v/>
      </c>
      <c r="D40" s="28" t="n">
        <f aca="false">IF($C40="",0,SUMIF($C$12:$C$51,"&lt;"&amp;$C40,$B$12:$B$51))</f>
        <v>0</v>
      </c>
      <c r="E40" s="11" t="n">
        <f aca="false">N('Campaign Analysis'!$L$34)</f>
        <v>0</v>
      </c>
      <c r="F40" s="11" t="n">
        <f aca="false">N('Campaign Analysis'!$J$34)</f>
        <v>0</v>
      </c>
      <c r="G40" s="12" t="n">
        <f aca="false">N('Campaign Analysis'!$O$34)</f>
        <v>0</v>
      </c>
      <c r="H40" s="42" t="n">
        <f aca="false">IF($B40&lt;=0,0,MIN(1,MAX(0,($A$5*SUM($B$12:$B$51)-$D40)/$B40)))</f>
        <v>0</v>
      </c>
      <c r="I40" s="28" t="n">
        <f aca="false">$B40*H40</f>
        <v>0</v>
      </c>
      <c r="J40" s="28" t="n">
        <f aca="false">$E40*(1-(1-H40)^$G40)</f>
        <v>0</v>
      </c>
      <c r="K40" s="28" t="n">
        <f aca="false">$F40*(1-(1-H40)^$G40)</f>
        <v>0</v>
      </c>
      <c r="L40" s="28" t="n">
        <f aca="false">IF($B40&lt;=0,0,$E40*(1-(1-$A$5)^$G40))</f>
        <v>0</v>
      </c>
      <c r="M40" s="42" t="n">
        <f aca="false">IF($B40&lt;=0,0,MIN(1,MAX(0,($A$6*SUM($B$12:$B$51)-$D40)/$B40)))</f>
        <v>0</v>
      </c>
      <c r="N40" s="28" t="n">
        <f aca="false">$B40*M40</f>
        <v>0</v>
      </c>
      <c r="O40" s="28" t="n">
        <f aca="false">$E40*(1-(1-M40)^$G40)</f>
        <v>0</v>
      </c>
      <c r="P40" s="28" t="n">
        <f aca="false">$F40*(1-(1-M40)^$G40)</f>
        <v>0</v>
      </c>
      <c r="Q40" s="28" t="n">
        <f aca="false">IF($B40&lt;=0,0,$E40*(1-(1-$A$6)^$G40))</f>
        <v>0</v>
      </c>
      <c r="R40" s="42" t="n">
        <f aca="false">IF($B40&lt;=0,0,MIN(1,MAX(0,($A$7*SUM($B$12:$B$51)-$D40)/$B40)))</f>
        <v>0</v>
      </c>
      <c r="S40" s="28" t="n">
        <f aca="false">$B40*R40</f>
        <v>0</v>
      </c>
      <c r="T40" s="28" t="n">
        <f aca="false">$E40*(1-(1-R40)^$G40)</f>
        <v>0</v>
      </c>
      <c r="U40" s="28" t="n">
        <f aca="false">$F40*(1-(1-R40)^$G40)</f>
        <v>0</v>
      </c>
      <c r="V40" s="28" t="n">
        <f aca="false">IF($B40&lt;=0,0,$E40*(1-(1-$A$7)^$G40))</f>
        <v>0</v>
      </c>
    </row>
    <row r="41" customFormat="false" ht="15" hidden="false" customHeight="false" outlineLevel="0" collapsed="false">
      <c r="A41" s="9" t="str">
        <f aca="false">'Campaign Analysis'!$A$35</f>
        <v/>
      </c>
      <c r="B41" s="11" t="n">
        <f aca="false">N('Campaign Analysis'!$C$35)</f>
        <v>0</v>
      </c>
      <c r="C41" s="9" t="str">
        <f aca="false">'Campaign Analysis'!$X$35</f>
        <v/>
      </c>
      <c r="D41" s="28" t="n">
        <f aca="false">IF($C41="",0,SUMIF($C$12:$C$51,"&lt;"&amp;$C41,$B$12:$B$51))</f>
        <v>0</v>
      </c>
      <c r="E41" s="11" t="n">
        <f aca="false">N('Campaign Analysis'!$L$35)</f>
        <v>0</v>
      </c>
      <c r="F41" s="11" t="n">
        <f aca="false">N('Campaign Analysis'!$J$35)</f>
        <v>0</v>
      </c>
      <c r="G41" s="12" t="n">
        <f aca="false">N('Campaign Analysis'!$O$35)</f>
        <v>0</v>
      </c>
      <c r="H41" s="42" t="n">
        <f aca="false">IF($B41&lt;=0,0,MIN(1,MAX(0,($A$5*SUM($B$12:$B$51)-$D41)/$B41)))</f>
        <v>0</v>
      </c>
      <c r="I41" s="28" t="n">
        <f aca="false">$B41*H41</f>
        <v>0</v>
      </c>
      <c r="J41" s="28" t="n">
        <f aca="false">$E41*(1-(1-H41)^$G41)</f>
        <v>0</v>
      </c>
      <c r="K41" s="28" t="n">
        <f aca="false">$F41*(1-(1-H41)^$G41)</f>
        <v>0</v>
      </c>
      <c r="L41" s="28" t="n">
        <f aca="false">IF($B41&lt;=0,0,$E41*(1-(1-$A$5)^$G41))</f>
        <v>0</v>
      </c>
      <c r="M41" s="42" t="n">
        <f aca="false">IF($B41&lt;=0,0,MIN(1,MAX(0,($A$6*SUM($B$12:$B$51)-$D41)/$B41)))</f>
        <v>0</v>
      </c>
      <c r="N41" s="28" t="n">
        <f aca="false">$B41*M41</f>
        <v>0</v>
      </c>
      <c r="O41" s="28" t="n">
        <f aca="false">$E41*(1-(1-M41)^$G41)</f>
        <v>0</v>
      </c>
      <c r="P41" s="28" t="n">
        <f aca="false">$F41*(1-(1-M41)^$G41)</f>
        <v>0</v>
      </c>
      <c r="Q41" s="28" t="n">
        <f aca="false">IF($B41&lt;=0,0,$E41*(1-(1-$A$6)^$G41))</f>
        <v>0</v>
      </c>
      <c r="R41" s="42" t="n">
        <f aca="false">IF($B41&lt;=0,0,MIN(1,MAX(0,($A$7*SUM($B$12:$B$51)-$D41)/$B41)))</f>
        <v>0</v>
      </c>
      <c r="S41" s="28" t="n">
        <f aca="false">$B41*R41</f>
        <v>0</v>
      </c>
      <c r="T41" s="28" t="n">
        <f aca="false">$E41*(1-(1-R41)^$G41)</f>
        <v>0</v>
      </c>
      <c r="U41" s="28" t="n">
        <f aca="false">$F41*(1-(1-R41)^$G41)</f>
        <v>0</v>
      </c>
      <c r="V41" s="28" t="n">
        <f aca="false">IF($B41&lt;=0,0,$E41*(1-(1-$A$7)^$G41))</f>
        <v>0</v>
      </c>
    </row>
    <row r="42" customFormat="false" ht="15" hidden="false" customHeight="false" outlineLevel="0" collapsed="false">
      <c r="A42" s="9" t="str">
        <f aca="false">'Campaign Analysis'!$A$36</f>
        <v/>
      </c>
      <c r="B42" s="11" t="n">
        <f aca="false">N('Campaign Analysis'!$C$36)</f>
        <v>0</v>
      </c>
      <c r="C42" s="9" t="str">
        <f aca="false">'Campaign Analysis'!$X$36</f>
        <v/>
      </c>
      <c r="D42" s="28" t="n">
        <f aca="false">IF($C42="",0,SUMIF($C$12:$C$51,"&lt;"&amp;$C42,$B$12:$B$51))</f>
        <v>0</v>
      </c>
      <c r="E42" s="11" t="n">
        <f aca="false">N('Campaign Analysis'!$L$36)</f>
        <v>0</v>
      </c>
      <c r="F42" s="11" t="n">
        <f aca="false">N('Campaign Analysis'!$J$36)</f>
        <v>0</v>
      </c>
      <c r="G42" s="12" t="n">
        <f aca="false">N('Campaign Analysis'!$O$36)</f>
        <v>0</v>
      </c>
      <c r="H42" s="42" t="n">
        <f aca="false">IF($B42&lt;=0,0,MIN(1,MAX(0,($A$5*SUM($B$12:$B$51)-$D42)/$B42)))</f>
        <v>0</v>
      </c>
      <c r="I42" s="28" t="n">
        <f aca="false">$B42*H42</f>
        <v>0</v>
      </c>
      <c r="J42" s="28" t="n">
        <f aca="false">$E42*(1-(1-H42)^$G42)</f>
        <v>0</v>
      </c>
      <c r="K42" s="28" t="n">
        <f aca="false">$F42*(1-(1-H42)^$G42)</f>
        <v>0</v>
      </c>
      <c r="L42" s="28" t="n">
        <f aca="false">IF($B42&lt;=0,0,$E42*(1-(1-$A$5)^$G42))</f>
        <v>0</v>
      </c>
      <c r="M42" s="42" t="n">
        <f aca="false">IF($B42&lt;=0,0,MIN(1,MAX(0,($A$6*SUM($B$12:$B$51)-$D42)/$B42)))</f>
        <v>0</v>
      </c>
      <c r="N42" s="28" t="n">
        <f aca="false">$B42*M42</f>
        <v>0</v>
      </c>
      <c r="O42" s="28" t="n">
        <f aca="false">$E42*(1-(1-M42)^$G42)</f>
        <v>0</v>
      </c>
      <c r="P42" s="28" t="n">
        <f aca="false">$F42*(1-(1-M42)^$G42)</f>
        <v>0</v>
      </c>
      <c r="Q42" s="28" t="n">
        <f aca="false">IF($B42&lt;=0,0,$E42*(1-(1-$A$6)^$G42))</f>
        <v>0</v>
      </c>
      <c r="R42" s="42" t="n">
        <f aca="false">IF($B42&lt;=0,0,MIN(1,MAX(0,($A$7*SUM($B$12:$B$51)-$D42)/$B42)))</f>
        <v>0</v>
      </c>
      <c r="S42" s="28" t="n">
        <f aca="false">$B42*R42</f>
        <v>0</v>
      </c>
      <c r="T42" s="28" t="n">
        <f aca="false">$E42*(1-(1-R42)^$G42)</f>
        <v>0</v>
      </c>
      <c r="U42" s="28" t="n">
        <f aca="false">$F42*(1-(1-R42)^$G42)</f>
        <v>0</v>
      </c>
      <c r="V42" s="28" t="n">
        <f aca="false">IF($B42&lt;=0,0,$E42*(1-(1-$A$7)^$G42))</f>
        <v>0</v>
      </c>
    </row>
    <row r="43" customFormat="false" ht="15" hidden="false" customHeight="false" outlineLevel="0" collapsed="false">
      <c r="A43" s="9" t="str">
        <f aca="false">'Campaign Analysis'!$A$37</f>
        <v/>
      </c>
      <c r="B43" s="11" t="n">
        <f aca="false">N('Campaign Analysis'!$C$37)</f>
        <v>0</v>
      </c>
      <c r="C43" s="9" t="str">
        <f aca="false">'Campaign Analysis'!$X$37</f>
        <v/>
      </c>
      <c r="D43" s="28" t="n">
        <f aca="false">IF($C43="",0,SUMIF($C$12:$C$51,"&lt;"&amp;$C43,$B$12:$B$51))</f>
        <v>0</v>
      </c>
      <c r="E43" s="11" t="n">
        <f aca="false">N('Campaign Analysis'!$L$37)</f>
        <v>0</v>
      </c>
      <c r="F43" s="11" t="n">
        <f aca="false">N('Campaign Analysis'!$J$37)</f>
        <v>0</v>
      </c>
      <c r="G43" s="12" t="n">
        <f aca="false">N('Campaign Analysis'!$O$37)</f>
        <v>0</v>
      </c>
      <c r="H43" s="42" t="n">
        <f aca="false">IF($B43&lt;=0,0,MIN(1,MAX(0,($A$5*SUM($B$12:$B$51)-$D43)/$B43)))</f>
        <v>0</v>
      </c>
      <c r="I43" s="28" t="n">
        <f aca="false">$B43*H43</f>
        <v>0</v>
      </c>
      <c r="J43" s="28" t="n">
        <f aca="false">$E43*(1-(1-H43)^$G43)</f>
        <v>0</v>
      </c>
      <c r="K43" s="28" t="n">
        <f aca="false">$F43*(1-(1-H43)^$G43)</f>
        <v>0</v>
      </c>
      <c r="L43" s="28" t="n">
        <f aca="false">IF($B43&lt;=0,0,$E43*(1-(1-$A$5)^$G43))</f>
        <v>0</v>
      </c>
      <c r="M43" s="42" t="n">
        <f aca="false">IF($B43&lt;=0,0,MIN(1,MAX(0,($A$6*SUM($B$12:$B$51)-$D43)/$B43)))</f>
        <v>0</v>
      </c>
      <c r="N43" s="28" t="n">
        <f aca="false">$B43*M43</f>
        <v>0</v>
      </c>
      <c r="O43" s="28" t="n">
        <f aca="false">$E43*(1-(1-M43)^$G43)</f>
        <v>0</v>
      </c>
      <c r="P43" s="28" t="n">
        <f aca="false">$F43*(1-(1-M43)^$G43)</f>
        <v>0</v>
      </c>
      <c r="Q43" s="28" t="n">
        <f aca="false">IF($B43&lt;=0,0,$E43*(1-(1-$A$6)^$G43))</f>
        <v>0</v>
      </c>
      <c r="R43" s="42" t="n">
        <f aca="false">IF($B43&lt;=0,0,MIN(1,MAX(0,($A$7*SUM($B$12:$B$51)-$D43)/$B43)))</f>
        <v>0</v>
      </c>
      <c r="S43" s="28" t="n">
        <f aca="false">$B43*R43</f>
        <v>0</v>
      </c>
      <c r="T43" s="28" t="n">
        <f aca="false">$E43*(1-(1-R43)^$G43)</f>
        <v>0</v>
      </c>
      <c r="U43" s="28" t="n">
        <f aca="false">$F43*(1-(1-R43)^$G43)</f>
        <v>0</v>
      </c>
      <c r="V43" s="28" t="n">
        <f aca="false">IF($B43&lt;=0,0,$E43*(1-(1-$A$7)^$G43))</f>
        <v>0</v>
      </c>
    </row>
    <row r="44" customFormat="false" ht="15" hidden="false" customHeight="false" outlineLevel="0" collapsed="false">
      <c r="A44" s="9" t="str">
        <f aca="false">'Campaign Analysis'!$A$38</f>
        <v/>
      </c>
      <c r="B44" s="11" t="n">
        <f aca="false">N('Campaign Analysis'!$C$38)</f>
        <v>0</v>
      </c>
      <c r="C44" s="9" t="str">
        <f aca="false">'Campaign Analysis'!$X$38</f>
        <v/>
      </c>
      <c r="D44" s="28" t="n">
        <f aca="false">IF($C44="",0,SUMIF($C$12:$C$51,"&lt;"&amp;$C44,$B$12:$B$51))</f>
        <v>0</v>
      </c>
      <c r="E44" s="11" t="n">
        <f aca="false">N('Campaign Analysis'!$L$38)</f>
        <v>0</v>
      </c>
      <c r="F44" s="11" t="n">
        <f aca="false">N('Campaign Analysis'!$J$38)</f>
        <v>0</v>
      </c>
      <c r="G44" s="12" t="n">
        <f aca="false">N('Campaign Analysis'!$O$38)</f>
        <v>0</v>
      </c>
      <c r="H44" s="42" t="n">
        <f aca="false">IF($B44&lt;=0,0,MIN(1,MAX(0,($A$5*SUM($B$12:$B$51)-$D44)/$B44)))</f>
        <v>0</v>
      </c>
      <c r="I44" s="28" t="n">
        <f aca="false">$B44*H44</f>
        <v>0</v>
      </c>
      <c r="J44" s="28" t="n">
        <f aca="false">$E44*(1-(1-H44)^$G44)</f>
        <v>0</v>
      </c>
      <c r="K44" s="28" t="n">
        <f aca="false">$F44*(1-(1-H44)^$G44)</f>
        <v>0</v>
      </c>
      <c r="L44" s="28" t="n">
        <f aca="false">IF($B44&lt;=0,0,$E44*(1-(1-$A$5)^$G44))</f>
        <v>0</v>
      </c>
      <c r="M44" s="42" t="n">
        <f aca="false">IF($B44&lt;=0,0,MIN(1,MAX(0,($A$6*SUM($B$12:$B$51)-$D44)/$B44)))</f>
        <v>0</v>
      </c>
      <c r="N44" s="28" t="n">
        <f aca="false">$B44*M44</f>
        <v>0</v>
      </c>
      <c r="O44" s="28" t="n">
        <f aca="false">$E44*(1-(1-M44)^$G44)</f>
        <v>0</v>
      </c>
      <c r="P44" s="28" t="n">
        <f aca="false">$F44*(1-(1-M44)^$G44)</f>
        <v>0</v>
      </c>
      <c r="Q44" s="28" t="n">
        <f aca="false">IF($B44&lt;=0,0,$E44*(1-(1-$A$6)^$G44))</f>
        <v>0</v>
      </c>
      <c r="R44" s="42" t="n">
        <f aca="false">IF($B44&lt;=0,0,MIN(1,MAX(0,($A$7*SUM($B$12:$B$51)-$D44)/$B44)))</f>
        <v>0</v>
      </c>
      <c r="S44" s="28" t="n">
        <f aca="false">$B44*R44</f>
        <v>0</v>
      </c>
      <c r="T44" s="28" t="n">
        <f aca="false">$E44*(1-(1-R44)^$G44)</f>
        <v>0</v>
      </c>
      <c r="U44" s="28" t="n">
        <f aca="false">$F44*(1-(1-R44)^$G44)</f>
        <v>0</v>
      </c>
      <c r="V44" s="28" t="n">
        <f aca="false">IF($B44&lt;=0,0,$E44*(1-(1-$A$7)^$G44))</f>
        <v>0</v>
      </c>
    </row>
    <row r="45" customFormat="false" ht="15" hidden="false" customHeight="false" outlineLevel="0" collapsed="false">
      <c r="A45" s="9" t="str">
        <f aca="false">'Campaign Analysis'!$A$39</f>
        <v/>
      </c>
      <c r="B45" s="11" t="n">
        <f aca="false">N('Campaign Analysis'!$C$39)</f>
        <v>0</v>
      </c>
      <c r="C45" s="9" t="str">
        <f aca="false">'Campaign Analysis'!$X$39</f>
        <v/>
      </c>
      <c r="D45" s="28" t="n">
        <f aca="false">IF($C45="",0,SUMIF($C$12:$C$51,"&lt;"&amp;$C45,$B$12:$B$51))</f>
        <v>0</v>
      </c>
      <c r="E45" s="11" t="n">
        <f aca="false">N('Campaign Analysis'!$L$39)</f>
        <v>0</v>
      </c>
      <c r="F45" s="11" t="n">
        <f aca="false">N('Campaign Analysis'!$J$39)</f>
        <v>0</v>
      </c>
      <c r="G45" s="12" t="n">
        <f aca="false">N('Campaign Analysis'!$O$39)</f>
        <v>0</v>
      </c>
      <c r="H45" s="42" t="n">
        <f aca="false">IF($B45&lt;=0,0,MIN(1,MAX(0,($A$5*SUM($B$12:$B$51)-$D45)/$B45)))</f>
        <v>0</v>
      </c>
      <c r="I45" s="28" t="n">
        <f aca="false">$B45*H45</f>
        <v>0</v>
      </c>
      <c r="J45" s="28" t="n">
        <f aca="false">$E45*(1-(1-H45)^$G45)</f>
        <v>0</v>
      </c>
      <c r="K45" s="28" t="n">
        <f aca="false">$F45*(1-(1-H45)^$G45)</f>
        <v>0</v>
      </c>
      <c r="L45" s="28" t="n">
        <f aca="false">IF($B45&lt;=0,0,$E45*(1-(1-$A$5)^$G45))</f>
        <v>0</v>
      </c>
      <c r="M45" s="42" t="n">
        <f aca="false">IF($B45&lt;=0,0,MIN(1,MAX(0,($A$6*SUM($B$12:$B$51)-$D45)/$B45)))</f>
        <v>0</v>
      </c>
      <c r="N45" s="28" t="n">
        <f aca="false">$B45*M45</f>
        <v>0</v>
      </c>
      <c r="O45" s="28" t="n">
        <f aca="false">$E45*(1-(1-M45)^$G45)</f>
        <v>0</v>
      </c>
      <c r="P45" s="28" t="n">
        <f aca="false">$F45*(1-(1-M45)^$G45)</f>
        <v>0</v>
      </c>
      <c r="Q45" s="28" t="n">
        <f aca="false">IF($B45&lt;=0,0,$E45*(1-(1-$A$6)^$G45))</f>
        <v>0</v>
      </c>
      <c r="R45" s="42" t="n">
        <f aca="false">IF($B45&lt;=0,0,MIN(1,MAX(0,($A$7*SUM($B$12:$B$51)-$D45)/$B45)))</f>
        <v>0</v>
      </c>
      <c r="S45" s="28" t="n">
        <f aca="false">$B45*R45</f>
        <v>0</v>
      </c>
      <c r="T45" s="28" t="n">
        <f aca="false">$E45*(1-(1-R45)^$G45)</f>
        <v>0</v>
      </c>
      <c r="U45" s="28" t="n">
        <f aca="false">$F45*(1-(1-R45)^$G45)</f>
        <v>0</v>
      </c>
      <c r="V45" s="28" t="n">
        <f aca="false">IF($B45&lt;=0,0,$E45*(1-(1-$A$7)^$G45))</f>
        <v>0</v>
      </c>
    </row>
    <row r="46" customFormat="false" ht="15" hidden="false" customHeight="false" outlineLevel="0" collapsed="false">
      <c r="A46" s="9" t="str">
        <f aca="false">'Campaign Analysis'!$A$40</f>
        <v/>
      </c>
      <c r="B46" s="11" t="n">
        <f aca="false">N('Campaign Analysis'!$C$40)</f>
        <v>0</v>
      </c>
      <c r="C46" s="9" t="str">
        <f aca="false">'Campaign Analysis'!$X$40</f>
        <v/>
      </c>
      <c r="D46" s="28" t="n">
        <f aca="false">IF($C46="",0,SUMIF($C$12:$C$51,"&lt;"&amp;$C46,$B$12:$B$51))</f>
        <v>0</v>
      </c>
      <c r="E46" s="11" t="n">
        <f aca="false">N('Campaign Analysis'!$L$40)</f>
        <v>0</v>
      </c>
      <c r="F46" s="11" t="n">
        <f aca="false">N('Campaign Analysis'!$J$40)</f>
        <v>0</v>
      </c>
      <c r="G46" s="12" t="n">
        <f aca="false">N('Campaign Analysis'!$O$40)</f>
        <v>0</v>
      </c>
      <c r="H46" s="42" t="n">
        <f aca="false">IF($B46&lt;=0,0,MIN(1,MAX(0,($A$5*SUM($B$12:$B$51)-$D46)/$B46)))</f>
        <v>0</v>
      </c>
      <c r="I46" s="28" t="n">
        <f aca="false">$B46*H46</f>
        <v>0</v>
      </c>
      <c r="J46" s="28" t="n">
        <f aca="false">$E46*(1-(1-H46)^$G46)</f>
        <v>0</v>
      </c>
      <c r="K46" s="28" t="n">
        <f aca="false">$F46*(1-(1-H46)^$G46)</f>
        <v>0</v>
      </c>
      <c r="L46" s="28" t="n">
        <f aca="false">IF($B46&lt;=0,0,$E46*(1-(1-$A$5)^$G46))</f>
        <v>0</v>
      </c>
      <c r="M46" s="42" t="n">
        <f aca="false">IF($B46&lt;=0,0,MIN(1,MAX(0,($A$6*SUM($B$12:$B$51)-$D46)/$B46)))</f>
        <v>0</v>
      </c>
      <c r="N46" s="28" t="n">
        <f aca="false">$B46*M46</f>
        <v>0</v>
      </c>
      <c r="O46" s="28" t="n">
        <f aca="false">$E46*(1-(1-M46)^$G46)</f>
        <v>0</v>
      </c>
      <c r="P46" s="28" t="n">
        <f aca="false">$F46*(1-(1-M46)^$G46)</f>
        <v>0</v>
      </c>
      <c r="Q46" s="28" t="n">
        <f aca="false">IF($B46&lt;=0,0,$E46*(1-(1-$A$6)^$G46))</f>
        <v>0</v>
      </c>
      <c r="R46" s="42" t="n">
        <f aca="false">IF($B46&lt;=0,0,MIN(1,MAX(0,($A$7*SUM($B$12:$B$51)-$D46)/$B46)))</f>
        <v>0</v>
      </c>
      <c r="S46" s="28" t="n">
        <f aca="false">$B46*R46</f>
        <v>0</v>
      </c>
      <c r="T46" s="28" t="n">
        <f aca="false">$E46*(1-(1-R46)^$G46)</f>
        <v>0</v>
      </c>
      <c r="U46" s="28" t="n">
        <f aca="false">$F46*(1-(1-R46)^$G46)</f>
        <v>0</v>
      </c>
      <c r="V46" s="28" t="n">
        <f aca="false">IF($B46&lt;=0,0,$E46*(1-(1-$A$7)^$G46))</f>
        <v>0</v>
      </c>
    </row>
    <row r="47" customFormat="false" ht="15" hidden="false" customHeight="false" outlineLevel="0" collapsed="false">
      <c r="A47" s="9" t="str">
        <f aca="false">'Campaign Analysis'!$A$41</f>
        <v/>
      </c>
      <c r="B47" s="11" t="n">
        <f aca="false">N('Campaign Analysis'!$C$41)</f>
        <v>0</v>
      </c>
      <c r="C47" s="9" t="str">
        <f aca="false">'Campaign Analysis'!$X$41</f>
        <v/>
      </c>
      <c r="D47" s="28" t="n">
        <f aca="false">IF($C47="",0,SUMIF($C$12:$C$51,"&lt;"&amp;$C47,$B$12:$B$51))</f>
        <v>0</v>
      </c>
      <c r="E47" s="11" t="n">
        <f aca="false">N('Campaign Analysis'!$L$41)</f>
        <v>0</v>
      </c>
      <c r="F47" s="11" t="n">
        <f aca="false">N('Campaign Analysis'!$J$41)</f>
        <v>0</v>
      </c>
      <c r="G47" s="12" t="n">
        <f aca="false">N('Campaign Analysis'!$O$41)</f>
        <v>0</v>
      </c>
      <c r="H47" s="42" t="n">
        <f aca="false">IF($B47&lt;=0,0,MIN(1,MAX(0,($A$5*SUM($B$12:$B$51)-$D47)/$B47)))</f>
        <v>0</v>
      </c>
      <c r="I47" s="28" t="n">
        <f aca="false">$B47*H47</f>
        <v>0</v>
      </c>
      <c r="J47" s="28" t="n">
        <f aca="false">$E47*(1-(1-H47)^$G47)</f>
        <v>0</v>
      </c>
      <c r="K47" s="28" t="n">
        <f aca="false">$F47*(1-(1-H47)^$G47)</f>
        <v>0</v>
      </c>
      <c r="L47" s="28" t="n">
        <f aca="false">IF($B47&lt;=0,0,$E47*(1-(1-$A$5)^$G47))</f>
        <v>0</v>
      </c>
      <c r="M47" s="42" t="n">
        <f aca="false">IF($B47&lt;=0,0,MIN(1,MAX(0,($A$6*SUM($B$12:$B$51)-$D47)/$B47)))</f>
        <v>0</v>
      </c>
      <c r="N47" s="28" t="n">
        <f aca="false">$B47*M47</f>
        <v>0</v>
      </c>
      <c r="O47" s="28" t="n">
        <f aca="false">$E47*(1-(1-M47)^$G47)</f>
        <v>0</v>
      </c>
      <c r="P47" s="28" t="n">
        <f aca="false">$F47*(1-(1-M47)^$G47)</f>
        <v>0</v>
      </c>
      <c r="Q47" s="28" t="n">
        <f aca="false">IF($B47&lt;=0,0,$E47*(1-(1-$A$6)^$G47))</f>
        <v>0</v>
      </c>
      <c r="R47" s="42" t="n">
        <f aca="false">IF($B47&lt;=0,0,MIN(1,MAX(0,($A$7*SUM($B$12:$B$51)-$D47)/$B47)))</f>
        <v>0</v>
      </c>
      <c r="S47" s="28" t="n">
        <f aca="false">$B47*R47</f>
        <v>0</v>
      </c>
      <c r="T47" s="28" t="n">
        <f aca="false">$E47*(1-(1-R47)^$G47)</f>
        <v>0</v>
      </c>
      <c r="U47" s="28" t="n">
        <f aca="false">$F47*(1-(1-R47)^$G47)</f>
        <v>0</v>
      </c>
      <c r="V47" s="28" t="n">
        <f aca="false">IF($B47&lt;=0,0,$E47*(1-(1-$A$7)^$G47))</f>
        <v>0</v>
      </c>
    </row>
    <row r="48" customFormat="false" ht="15" hidden="false" customHeight="false" outlineLevel="0" collapsed="false">
      <c r="A48" s="9" t="str">
        <f aca="false">'Campaign Analysis'!$A$42</f>
        <v/>
      </c>
      <c r="B48" s="11" t="n">
        <f aca="false">N('Campaign Analysis'!$C$42)</f>
        <v>0</v>
      </c>
      <c r="C48" s="9" t="str">
        <f aca="false">'Campaign Analysis'!$X$42</f>
        <v/>
      </c>
      <c r="D48" s="28" t="n">
        <f aca="false">IF($C48="",0,SUMIF($C$12:$C$51,"&lt;"&amp;$C48,$B$12:$B$51))</f>
        <v>0</v>
      </c>
      <c r="E48" s="11" t="n">
        <f aca="false">N('Campaign Analysis'!$L$42)</f>
        <v>0</v>
      </c>
      <c r="F48" s="11" t="n">
        <f aca="false">N('Campaign Analysis'!$J$42)</f>
        <v>0</v>
      </c>
      <c r="G48" s="12" t="n">
        <f aca="false">N('Campaign Analysis'!$O$42)</f>
        <v>0</v>
      </c>
      <c r="H48" s="42" t="n">
        <f aca="false">IF($B48&lt;=0,0,MIN(1,MAX(0,($A$5*SUM($B$12:$B$51)-$D48)/$B48)))</f>
        <v>0</v>
      </c>
      <c r="I48" s="28" t="n">
        <f aca="false">$B48*H48</f>
        <v>0</v>
      </c>
      <c r="J48" s="28" t="n">
        <f aca="false">$E48*(1-(1-H48)^$G48)</f>
        <v>0</v>
      </c>
      <c r="K48" s="28" t="n">
        <f aca="false">$F48*(1-(1-H48)^$G48)</f>
        <v>0</v>
      </c>
      <c r="L48" s="28" t="n">
        <f aca="false">IF($B48&lt;=0,0,$E48*(1-(1-$A$5)^$G48))</f>
        <v>0</v>
      </c>
      <c r="M48" s="42" t="n">
        <f aca="false">IF($B48&lt;=0,0,MIN(1,MAX(0,($A$6*SUM($B$12:$B$51)-$D48)/$B48)))</f>
        <v>0</v>
      </c>
      <c r="N48" s="28" t="n">
        <f aca="false">$B48*M48</f>
        <v>0</v>
      </c>
      <c r="O48" s="28" t="n">
        <f aca="false">$E48*(1-(1-M48)^$G48)</f>
        <v>0</v>
      </c>
      <c r="P48" s="28" t="n">
        <f aca="false">$F48*(1-(1-M48)^$G48)</f>
        <v>0</v>
      </c>
      <c r="Q48" s="28" t="n">
        <f aca="false">IF($B48&lt;=0,0,$E48*(1-(1-$A$6)^$G48))</f>
        <v>0</v>
      </c>
      <c r="R48" s="42" t="n">
        <f aca="false">IF($B48&lt;=0,0,MIN(1,MAX(0,($A$7*SUM($B$12:$B$51)-$D48)/$B48)))</f>
        <v>0</v>
      </c>
      <c r="S48" s="28" t="n">
        <f aca="false">$B48*R48</f>
        <v>0</v>
      </c>
      <c r="T48" s="28" t="n">
        <f aca="false">$E48*(1-(1-R48)^$G48)</f>
        <v>0</v>
      </c>
      <c r="U48" s="28" t="n">
        <f aca="false">$F48*(1-(1-R48)^$G48)</f>
        <v>0</v>
      </c>
      <c r="V48" s="28" t="n">
        <f aca="false">IF($B48&lt;=0,0,$E48*(1-(1-$A$7)^$G48))</f>
        <v>0</v>
      </c>
    </row>
    <row r="49" customFormat="false" ht="15" hidden="false" customHeight="false" outlineLevel="0" collapsed="false">
      <c r="A49" s="9" t="str">
        <f aca="false">'Campaign Analysis'!$A$43</f>
        <v/>
      </c>
      <c r="B49" s="11" t="n">
        <f aca="false">N('Campaign Analysis'!$C$43)</f>
        <v>0</v>
      </c>
      <c r="C49" s="9" t="str">
        <f aca="false">'Campaign Analysis'!$X$43</f>
        <v/>
      </c>
      <c r="D49" s="28" t="n">
        <f aca="false">IF($C49="",0,SUMIF($C$12:$C$51,"&lt;"&amp;$C49,$B$12:$B$51))</f>
        <v>0</v>
      </c>
      <c r="E49" s="11" t="n">
        <f aca="false">N('Campaign Analysis'!$L$43)</f>
        <v>0</v>
      </c>
      <c r="F49" s="11" t="n">
        <f aca="false">N('Campaign Analysis'!$J$43)</f>
        <v>0</v>
      </c>
      <c r="G49" s="12" t="n">
        <f aca="false">N('Campaign Analysis'!$O$43)</f>
        <v>0</v>
      </c>
      <c r="H49" s="42" t="n">
        <f aca="false">IF($B49&lt;=0,0,MIN(1,MAX(0,($A$5*SUM($B$12:$B$51)-$D49)/$B49)))</f>
        <v>0</v>
      </c>
      <c r="I49" s="28" t="n">
        <f aca="false">$B49*H49</f>
        <v>0</v>
      </c>
      <c r="J49" s="28" t="n">
        <f aca="false">$E49*(1-(1-H49)^$G49)</f>
        <v>0</v>
      </c>
      <c r="K49" s="28" t="n">
        <f aca="false">$F49*(1-(1-H49)^$G49)</f>
        <v>0</v>
      </c>
      <c r="L49" s="28" t="n">
        <f aca="false">IF($B49&lt;=0,0,$E49*(1-(1-$A$5)^$G49))</f>
        <v>0</v>
      </c>
      <c r="M49" s="42" t="n">
        <f aca="false">IF($B49&lt;=0,0,MIN(1,MAX(0,($A$6*SUM($B$12:$B$51)-$D49)/$B49)))</f>
        <v>0</v>
      </c>
      <c r="N49" s="28" t="n">
        <f aca="false">$B49*M49</f>
        <v>0</v>
      </c>
      <c r="O49" s="28" t="n">
        <f aca="false">$E49*(1-(1-M49)^$G49)</f>
        <v>0</v>
      </c>
      <c r="P49" s="28" t="n">
        <f aca="false">$F49*(1-(1-M49)^$G49)</f>
        <v>0</v>
      </c>
      <c r="Q49" s="28" t="n">
        <f aca="false">IF($B49&lt;=0,0,$E49*(1-(1-$A$6)^$G49))</f>
        <v>0</v>
      </c>
      <c r="R49" s="42" t="n">
        <f aca="false">IF($B49&lt;=0,0,MIN(1,MAX(0,($A$7*SUM($B$12:$B$51)-$D49)/$B49)))</f>
        <v>0</v>
      </c>
      <c r="S49" s="28" t="n">
        <f aca="false">$B49*R49</f>
        <v>0</v>
      </c>
      <c r="T49" s="28" t="n">
        <f aca="false">$E49*(1-(1-R49)^$G49)</f>
        <v>0</v>
      </c>
      <c r="U49" s="28" t="n">
        <f aca="false">$F49*(1-(1-R49)^$G49)</f>
        <v>0</v>
      </c>
      <c r="V49" s="28" t="n">
        <f aca="false">IF($B49&lt;=0,0,$E49*(1-(1-$A$7)^$G49))</f>
        <v>0</v>
      </c>
    </row>
    <row r="50" customFormat="false" ht="15" hidden="false" customHeight="false" outlineLevel="0" collapsed="false">
      <c r="A50" s="9" t="str">
        <f aca="false">'Campaign Analysis'!$A$44</f>
        <v/>
      </c>
      <c r="B50" s="11" t="n">
        <f aca="false">N('Campaign Analysis'!$C$44)</f>
        <v>0</v>
      </c>
      <c r="C50" s="9" t="str">
        <f aca="false">'Campaign Analysis'!$X$44</f>
        <v/>
      </c>
      <c r="D50" s="28" t="n">
        <f aca="false">IF($C50="",0,SUMIF($C$12:$C$51,"&lt;"&amp;$C50,$B$12:$B$51))</f>
        <v>0</v>
      </c>
      <c r="E50" s="11" t="n">
        <f aca="false">N('Campaign Analysis'!$L$44)</f>
        <v>0</v>
      </c>
      <c r="F50" s="11" t="n">
        <f aca="false">N('Campaign Analysis'!$J$44)</f>
        <v>0</v>
      </c>
      <c r="G50" s="12" t="n">
        <f aca="false">N('Campaign Analysis'!$O$44)</f>
        <v>0</v>
      </c>
      <c r="H50" s="42" t="n">
        <f aca="false">IF($B50&lt;=0,0,MIN(1,MAX(0,($A$5*SUM($B$12:$B$51)-$D50)/$B50)))</f>
        <v>0</v>
      </c>
      <c r="I50" s="28" t="n">
        <f aca="false">$B50*H50</f>
        <v>0</v>
      </c>
      <c r="J50" s="28" t="n">
        <f aca="false">$E50*(1-(1-H50)^$G50)</f>
        <v>0</v>
      </c>
      <c r="K50" s="28" t="n">
        <f aca="false">$F50*(1-(1-H50)^$G50)</f>
        <v>0</v>
      </c>
      <c r="L50" s="28" t="n">
        <f aca="false">IF($B50&lt;=0,0,$E50*(1-(1-$A$5)^$G50))</f>
        <v>0</v>
      </c>
      <c r="M50" s="42" t="n">
        <f aca="false">IF($B50&lt;=0,0,MIN(1,MAX(0,($A$6*SUM($B$12:$B$51)-$D50)/$B50)))</f>
        <v>0</v>
      </c>
      <c r="N50" s="28" t="n">
        <f aca="false">$B50*M50</f>
        <v>0</v>
      </c>
      <c r="O50" s="28" t="n">
        <f aca="false">$E50*(1-(1-M50)^$G50)</f>
        <v>0</v>
      </c>
      <c r="P50" s="28" t="n">
        <f aca="false">$F50*(1-(1-M50)^$G50)</f>
        <v>0</v>
      </c>
      <c r="Q50" s="28" t="n">
        <f aca="false">IF($B50&lt;=0,0,$E50*(1-(1-$A$6)^$G50))</f>
        <v>0</v>
      </c>
      <c r="R50" s="42" t="n">
        <f aca="false">IF($B50&lt;=0,0,MIN(1,MAX(0,($A$7*SUM($B$12:$B$51)-$D50)/$B50)))</f>
        <v>0</v>
      </c>
      <c r="S50" s="28" t="n">
        <f aca="false">$B50*R50</f>
        <v>0</v>
      </c>
      <c r="T50" s="28" t="n">
        <f aca="false">$E50*(1-(1-R50)^$G50)</f>
        <v>0</v>
      </c>
      <c r="U50" s="28" t="n">
        <f aca="false">$F50*(1-(1-R50)^$G50)</f>
        <v>0</v>
      </c>
      <c r="V50" s="28" t="n">
        <f aca="false">IF($B50&lt;=0,0,$E50*(1-(1-$A$7)^$G50))</f>
        <v>0</v>
      </c>
    </row>
    <row r="51" customFormat="false" ht="15" hidden="false" customHeight="false" outlineLevel="0" collapsed="false">
      <c r="A51" s="9" t="str">
        <f aca="false">'Campaign Analysis'!$A$45</f>
        <v/>
      </c>
      <c r="B51" s="11" t="n">
        <f aca="false">N('Campaign Analysis'!$C$45)</f>
        <v>0</v>
      </c>
      <c r="C51" s="9" t="str">
        <f aca="false">'Campaign Analysis'!$X$45</f>
        <v/>
      </c>
      <c r="D51" s="28" t="n">
        <f aca="false">IF($C51="",0,SUMIF($C$12:$C$51,"&lt;"&amp;$C51,$B$12:$B$51))</f>
        <v>0</v>
      </c>
      <c r="E51" s="11" t="n">
        <f aca="false">N('Campaign Analysis'!$L$45)</f>
        <v>0</v>
      </c>
      <c r="F51" s="11" t="n">
        <f aca="false">N('Campaign Analysis'!$J$45)</f>
        <v>0</v>
      </c>
      <c r="G51" s="12" t="n">
        <f aca="false">N('Campaign Analysis'!$O$45)</f>
        <v>0</v>
      </c>
      <c r="H51" s="42" t="n">
        <f aca="false">IF($B51&lt;=0,0,MIN(1,MAX(0,($A$5*SUM($B$12:$B$51)-$D51)/$B51)))</f>
        <v>0</v>
      </c>
      <c r="I51" s="28" t="n">
        <f aca="false">$B51*H51</f>
        <v>0</v>
      </c>
      <c r="J51" s="28" t="n">
        <f aca="false">$E51*(1-(1-H51)^$G51)</f>
        <v>0</v>
      </c>
      <c r="K51" s="28" t="n">
        <f aca="false">$F51*(1-(1-H51)^$G51)</f>
        <v>0</v>
      </c>
      <c r="L51" s="28" t="n">
        <f aca="false">IF($B51&lt;=0,0,$E51*(1-(1-$A$5)^$G51))</f>
        <v>0</v>
      </c>
      <c r="M51" s="42" t="n">
        <f aca="false">IF($B51&lt;=0,0,MIN(1,MAX(0,($A$6*SUM($B$12:$B$51)-$D51)/$B51)))</f>
        <v>0</v>
      </c>
      <c r="N51" s="28" t="n">
        <f aca="false">$B51*M51</f>
        <v>0</v>
      </c>
      <c r="O51" s="28" t="n">
        <f aca="false">$E51*(1-(1-M51)^$G51)</f>
        <v>0</v>
      </c>
      <c r="P51" s="28" t="n">
        <f aca="false">$F51*(1-(1-M51)^$G51)</f>
        <v>0</v>
      </c>
      <c r="Q51" s="28" t="n">
        <f aca="false">IF($B51&lt;=0,0,$E51*(1-(1-$A$6)^$G51))</f>
        <v>0</v>
      </c>
      <c r="R51" s="42" t="n">
        <f aca="false">IF($B51&lt;=0,0,MIN(1,MAX(0,($A$7*SUM($B$12:$B$51)-$D51)/$B51)))</f>
        <v>0</v>
      </c>
      <c r="S51" s="28" t="n">
        <f aca="false">$B51*R51</f>
        <v>0</v>
      </c>
      <c r="T51" s="28" t="n">
        <f aca="false">$E51*(1-(1-R51)^$G51)</f>
        <v>0</v>
      </c>
      <c r="U51" s="28" t="n">
        <f aca="false">$F51*(1-(1-R51)^$G51)</f>
        <v>0</v>
      </c>
      <c r="V51" s="28" t="n">
        <f aca="false">IF($B51&lt;=0,0,$E51*(1-(1-$A$7)^$G51))</f>
        <v>0</v>
      </c>
    </row>
  </sheetData>
  <sheetProtection sheet="true" formatColumns="false" formatRows="false"/>
  <mergeCells count="1">
    <mergeCell ref="C8:G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56"/>
    <col collapsed="false" customWidth="true" hidden="false" outlineLevel="0" max="3" min="3" style="0" width="14"/>
    <col collapsed="false" customWidth="true" hidden="false" outlineLevel="0" max="4" min="4" style="0" width="10"/>
    <col collapsed="false" customWidth="true" hidden="false" outlineLevel="0" max="5" min="5" style="0" width="80"/>
  </cols>
  <sheetData>
    <row r="1" customFormat="false" ht="17.35" hidden="false" customHeight="false" outlineLevel="0" collapsed="false">
      <c r="A1" s="1" t="s">
        <v>28</v>
      </c>
    </row>
    <row r="2" customFormat="false" ht="15" hidden="false" customHeight="false" outlineLevel="0" collapsed="false">
      <c r="A2" s="2" t="s">
        <v>182</v>
      </c>
    </row>
    <row r="4" customFormat="false" ht="36" hidden="false" customHeight="true" outlineLevel="0" collapsed="false">
      <c r="A4" s="15" t="s">
        <v>183</v>
      </c>
      <c r="B4" s="15" t="s">
        <v>184</v>
      </c>
      <c r="C4" s="15" t="s">
        <v>58</v>
      </c>
      <c r="D4" s="15" t="s">
        <v>185</v>
      </c>
      <c r="E4" s="15" t="s">
        <v>186</v>
      </c>
    </row>
    <row r="5" customFormat="false" ht="15" hidden="false" customHeight="false" outlineLevel="0" collapsed="false">
      <c r="A5" s="8" t="n">
        <v>1</v>
      </c>
      <c r="B5" s="8" t="s">
        <v>187</v>
      </c>
      <c r="C5" s="9" t="n">
        <f aca="false">COUNTIF('Campaign Data'!$C$6:$C$45,"&lt;0")+COUNTIF('Campaign Data'!$D$6:$D$45,"&lt;0")+COUNTIF('Campaign Data'!$E$6:$E$45,"&lt;0")+COUNTIF('Campaign Data'!$F$6:$F$45,"&lt;0")</f>
        <v>0</v>
      </c>
      <c r="D5" s="44" t="str">
        <f aca="false">IF(C5=0,"PASS","FAIL")</f>
        <v>PASS</v>
      </c>
      <c r="E5" s="8" t="s">
        <v>188</v>
      </c>
    </row>
    <row r="6" customFormat="false" ht="15" hidden="false" customHeight="false" outlineLevel="0" collapsed="false">
      <c r="A6" s="8" t="n">
        <v>2</v>
      </c>
      <c r="B6" s="8" t="s">
        <v>189</v>
      </c>
      <c r="C6" s="9" t="n">
        <f aca="false">SUMPRODUCT(('Campaign Data'!$A$6:$A$45&lt;&gt;"")*(COUNTIF(Settings!$A$17:$A$25,'Campaign Data'!$B$6:$B$45)=0))</f>
        <v>0</v>
      </c>
      <c r="D6" s="44" t="str">
        <f aca="false">IF(C6=0,"PASS","FAIL")</f>
        <v>PASS</v>
      </c>
      <c r="E6" s="8" t="s">
        <v>190</v>
      </c>
    </row>
    <row r="7" customFormat="false" ht="15" hidden="false" customHeight="false" outlineLevel="0" collapsed="false">
      <c r="A7" s="8" t="n">
        <v>3</v>
      </c>
      <c r="B7" s="8" t="s">
        <v>191</v>
      </c>
      <c r="C7" s="9" t="n">
        <f aca="false">SUMPRODUCT(('Campaign Data'!$A$6:$A$45&lt;&gt;"")*(COUNTIF('Campaign Data'!$A$6:$A$45,'Campaign Data'!$A$6:$A$45)&gt;1))</f>
        <v>0</v>
      </c>
      <c r="D7" s="44" t="str">
        <f aca="false">IF(C7=0,"PASS","FAIL")</f>
        <v>PASS</v>
      </c>
      <c r="E7" s="8" t="s">
        <v>192</v>
      </c>
    </row>
    <row r="8" customFormat="false" ht="15" hidden="false" customHeight="false" outlineLevel="0" collapsed="false">
      <c r="A8" s="8" t="n">
        <v>4</v>
      </c>
      <c r="B8" s="8" t="s">
        <v>193</v>
      </c>
      <c r="C8" s="9" t="n">
        <f aca="false">COUNTIF(Tests!$G$6:$G$20,"No")</f>
        <v>0</v>
      </c>
      <c r="D8" s="44" t="str">
        <f aca="false">IF(C8=0,"PASS","FAIL")</f>
        <v>PASS</v>
      </c>
      <c r="E8" s="8" t="s">
        <v>194</v>
      </c>
    </row>
    <row r="9" customFormat="false" ht="15" hidden="false" customHeight="false" outlineLevel="0" collapsed="false">
      <c r="A9" s="8" t="n">
        <v>5</v>
      </c>
      <c r="B9" s="8" t="s">
        <v>195</v>
      </c>
      <c r="C9" s="9" t="n">
        <f aca="false">COUNTIF(Tests!$F$6:$F$20,"&lt;0")+COUNTIF(Tests!$F$6:$F$20,"&gt;2")</f>
        <v>0</v>
      </c>
      <c r="D9" s="44" t="str">
        <f aca="false">IF(C9=0,"PASS","FAIL")</f>
        <v>PASS</v>
      </c>
      <c r="E9" s="8" t="s">
        <v>196</v>
      </c>
    </row>
    <row r="10" customFormat="false" ht="15" hidden="false" customHeight="false" outlineLevel="0" collapsed="false">
      <c r="A10" s="8" t="n">
        <v>6</v>
      </c>
      <c r="B10" s="8" t="s">
        <v>197</v>
      </c>
      <c r="C10" s="9" t="n">
        <f aca="false">COUNTIF(Settings!$C$17:$C$25,"&lt;0.1")+COUNTIF(Settings!$C$17:$C$25,"&gt;0.95")</f>
        <v>0</v>
      </c>
      <c r="D10" s="44" t="str">
        <f aca="false">IF(C10=0,"PASS","FAIL")</f>
        <v>PASS</v>
      </c>
      <c r="E10" s="8" t="s">
        <v>198</v>
      </c>
    </row>
    <row r="11" customFormat="false" ht="15" hidden="false" customHeight="false" outlineLevel="0" collapsed="false">
      <c r="A11" s="8" t="n">
        <v>7</v>
      </c>
      <c r="B11" s="8" t="s">
        <v>199</v>
      </c>
      <c r="C11" s="9" t="n">
        <f aca="false">COUNTIF('Campaign Data'!$G$6:$G$45,"&lt;0")+COUNTIF('Campaign Data'!$G$6:$G$45,"&gt;1")+COUNTIF('Campaign Data'!$H$6:$H$45,"&lt;0")+COUNTIF('Campaign Data'!$H$6:$H$45,"&gt;1")+(Settings!$B$7&lt;0)+(Settings!$B$7&gt;1)+(Settings!$B$8&lt;0)+(Settings!$B$8&gt;1)</f>
        <v>0</v>
      </c>
      <c r="D11" s="44" t="str">
        <f aca="false">IF(C11=0,"PASS","FAIL")</f>
        <v>PASS</v>
      </c>
      <c r="E11" s="8" t="s">
        <v>200</v>
      </c>
    </row>
    <row r="12" customFormat="false" ht="15" hidden="false" customHeight="false" outlineLevel="0" collapsed="false">
      <c r="A12" s="8" t="n">
        <v>8</v>
      </c>
      <c r="B12" s="8" t="s">
        <v>201</v>
      </c>
      <c r="C12" s="9" t="n">
        <f aca="false">SUMPRODUCT(--('Campaign Data'!$F$6:$F$45&gt;'Campaign Data'!$D$6:$D$45))</f>
        <v>0</v>
      </c>
      <c r="D12" s="44" t="str">
        <f aca="false">IF(C12=0,"PASS","FAIL")</f>
        <v>PASS</v>
      </c>
      <c r="E12" s="8" t="s">
        <v>202</v>
      </c>
    </row>
    <row r="13" customFormat="false" ht="15" hidden="false" customHeight="false" outlineLevel="0" collapsed="false">
      <c r="A13" s="8" t="n">
        <v>9</v>
      </c>
      <c r="B13" s="8" t="s">
        <v>203</v>
      </c>
      <c r="C13" s="27" t="n">
        <f aca="false">IFERROR('Campaign Analysis'!$G$46/Settings!$B$6,0)</f>
        <v>0.3805875</v>
      </c>
      <c r="D13" s="44" t="str">
        <f aca="false">IF(C13&lt;=1,"PASS","WARN")</f>
        <v>PASS</v>
      </c>
      <c r="E13" s="8" t="s">
        <v>204</v>
      </c>
    </row>
    <row r="14" customFormat="false" ht="15" hidden="false" customHeight="false" outlineLevel="0" collapsed="false">
      <c r="A14" s="8" t="n">
        <v>10</v>
      </c>
      <c r="B14" s="8" t="s">
        <v>205</v>
      </c>
      <c r="C14" s="27" t="n">
        <f aca="false">IFERROR(SUMIF('Campaign Analysis'!$I$6:$I$45,"Measured",'Campaign Analysis'!$C$6:$C$45)/'Campaign Analysis'!$C$46,0)</f>
        <v>0.35036496350365</v>
      </c>
      <c r="D14" s="44" t="str">
        <f aca="false">IF(C14&gt;=0.25,"PASS","WARN")</f>
        <v>PASS</v>
      </c>
      <c r="E14" s="8" t="s">
        <v>206</v>
      </c>
    </row>
    <row r="16" customFormat="false" ht="15" hidden="false" customHeight="false" outlineLevel="0" collapsed="false">
      <c r="B16" s="3" t="s">
        <v>207</v>
      </c>
      <c r="D16" s="44" t="str">
        <f aca="false">IF(COUNTIF(D5:D14,"FAIL")&gt;0,"FAIL",IF(COUNTIF(D5:D14,"WARN")&gt;0,"WARN","PASS"))</f>
        <v>PASS</v>
      </c>
    </row>
  </sheetData>
  <sheetProtection sheet="true" formatColumns="false" formatRows="false"/>
  <conditionalFormatting sqref="D5:D16">
    <cfRule type="cellIs" priority="2" operator="equal" aboveAverage="0" equalAverage="0" bottom="0" percent="0" rank="0" text="" dxfId="0">
      <formula>"PASS"</formula>
    </cfRule>
    <cfRule type="cellIs" priority="3" operator="equal" aboveAverage="0" equalAverage="0" bottom="0" percent="0" rank="0" text="" dxfId="1">
      <formula>"WARN"</formula>
    </cfRule>
    <cfRule type="cellIs" priority="4" operator="equal" aboveAverage="0" equalAverage="0" bottom="0" percent="0" rank="0" text="" dxfId="2">
      <formula>"FAIL"</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2026-10-28T13:44:40Z</dcterms:created>
  <dc:creator>openpyxl</dc:creator>
  <dc:description/>
  <dc:language>en-US</dc:language>
  <cp:lastModifiedBy/>
  <dcterms:modified xsi:type="dcterms:W3CDTF">2026-10-28T13:44:40Z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