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1.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9.xml" ContentType="application/vnd.openxmlformats-officedocument.spreadsheetml.worksheet+xml"/>
  <Override PartName="/xl/worksheets/sheet14.xml" ContentType="application/vnd.openxmlformats-officedocument.spreadsheetml.worksheet+xml"/>
  <Override PartName="/xl/worksheets/sheet8.xml" ContentType="application/vnd.openxmlformats-officedocument.spreadsheetml.worksheet+xml"/>
  <Override PartName="/xl/worksheets/sheet13.xml" ContentType="application/vnd.openxmlformats-officedocument.spreadsheetml.worksheet+xml"/>
  <Override PartName="/xl/worksheets/sheet7.xml" ContentType="application/vnd.openxmlformats-officedocument.spreadsheetml.worksheet+xml"/>
  <Override PartName="/xl/worksheets/sheet12.xml" ContentType="application/vnd.openxmlformats-officedocument.spreadsheetml.worksheet+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worksheets/sheet27.xml" ContentType="application/vnd.openxmlformats-officedocument.spreadsheetml.worksheet+xml"/>
  <Override PartName="/xl/worksheets/sheet15.xml" ContentType="application/vnd.openxmlformats-officedocument.spreadsheetml.worksheet+xml"/>
  <Override PartName="/xl/worksheets/sheet26.xml" ContentType="application/vnd.openxmlformats-officedocument.spreadsheetml.worksheet+xml"/>
  <Override PartName="/xl/worksheets/sheet25.xml" ContentType="application/vnd.openxmlformats-officedocument.spreadsheetml.worksheet+xml"/>
  <Override PartName="/xl/worksheets/sheet24.xml" ContentType="application/vnd.openxmlformats-officedocument.spreadsheetml.worksheet+xml"/>
  <Override PartName="/xl/worksheets/sheet23.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lockStructure="1"/>
  <bookViews>
    <workbookView showHorizontalScroll="true" showVerticalScroll="true" showSheetTabs="true" xWindow="0" yWindow="0" windowWidth="16384" windowHeight="8192" tabRatio="500" firstSheet="0" activeTab="1"/>
  </bookViews>
  <sheets>
    <sheet name="Read Me" sheetId="1" state="visible" r:id="rId3"/>
    <sheet name="Executive Summary" sheetId="2" state="visible" r:id="rId4"/>
    <sheet name="Checks" sheetId="3" state="visible" r:id="rId5"/>
    <sheet name="Settings" sheetId="4" state="visible" r:id="rId6"/>
    <sheet name="Assumptions" sheetId="5" state="visible" r:id="rId7"/>
    <sheet name="Market" sheetId="6" state="visible" r:id="rId8"/>
    <sheet name="Calendar" sheetId="7" state="visible" r:id="rId9"/>
    <sheet name="History Y-1" sheetId="8" state="visible" r:id="rId10"/>
    <sheet name="History Y-2" sheetId="9" state="visible" r:id="rId11"/>
    <sheet name="History Y-3" sheetId="10" state="visible" r:id="rId12"/>
    <sheet name="History Y-4" sheetId="11" state="visible" r:id="rId13"/>
    <sheet name="Fixed Costs" sheetId="12" state="visible" r:id="rId14"/>
    <sheet name="Baseline" sheetId="13" state="visible" r:id="rId15"/>
    <sheet name="Media Plan" sheetId="14" state="visible" r:id="rId16"/>
    <sheet name="Sales Build" sheetId="15" state="visible" r:id="rId17"/>
    <sheet name="Costs" sheetId="16" state="visible" r:id="rId18"/>
    <sheet name="P&amp;L" sheetId="17" state="visible" r:id="rId19"/>
    <sheet name="Stock Feasibility" sheetId="18" state="visible" r:id="rId20"/>
    <sheet name="Reconciliation" sheetId="19" state="visible" r:id="rId21"/>
    <sheet name="Scenarios" sheetId="20" state="visible" r:id="rId22"/>
    <sheet name="Budget v Actual" sheetId="21" state="visible" r:id="rId23"/>
    <sheet name="Back Test" sheetId="22" state="visible" r:id="rId24"/>
    <sheet name="Engine Base" sheetId="23" state="hidden" r:id="rId25"/>
    <sheet name="Engine Upside" sheetId="24" state="hidden" r:id="rId26"/>
    <sheet name="Engine Downside" sheetId="25" state="hidden" r:id="rId27"/>
    <sheet name="Engine Upside Trading" sheetId="26" state="hidden" r:id="rId28"/>
    <sheet name="Engine Downside Trading" sheetId="27" state="hidden" r:id="rId2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<sst xmlns="http://schemas.openxmlformats.org/spreadsheetml/2006/main" count="1662" uniqueCount="813">
  <si>
    <t xml:space="preserve">Ecommerce Budget Builder</t>
  </si>
  <si>
    <t xml:space="preserve">Barking Cat. Diagnosis before solutions.</t>
  </si>
  <si>
    <t xml:space="preserve">What this is</t>
  </si>
  <si>
    <t xml:space="preserve">A weekly ecommerce budget that builds sales and spend from your own history, shows every assumption and the evidence behind it, and reconciles the bottom-up plan with the number the board has asked for.</t>
  </si>
  <si>
    <t xml:space="preserve">It ships pre-filled with four years of illustrative data for a fictional retailer, so you can see it working before you add your own. None of the figures describe a real business or a market benchmark.</t>
  </si>
  <si>
    <t xml:space="preserve">Start on the Executive Summary. Then check the Checks sheet: a FAIL means a number on the summary cannot be trusted.</t>
  </si>
  <si>
    <t xml:space="preserve">How to use it, in order</t>
  </si>
  <si>
    <t xml:space="preserve">1. Settings: name the years, set the budget year start date, the rolling-average weights, the board target and the version block.</t>
  </si>
  <si>
    <t xml:space="preserve">2. History Y-1 to Y-3 (and Y-4 for the back test): paste weekly actuals into the blue columns. Flag any week that should not shape the future with Y and say why in the trading note.</t>
  </si>
  <si>
    <t xml:space="preserve">3. Market: category growth, online penetration and share gain, each with a named source, a vintage and a vendor-interest check.</t>
  </si>
  <si>
    <t xml:space="preserve">4. Calendar: the budget year's events. Where an event is new or has moved week, enter an uplift. Confirm Easter and any 53-week year on the Checks sheet.</t>
  </si>
  <si>
    <t xml:space="preserve">5. Assumptions: Base, Upside and Downside for every driver, with an evidence type. Upside and Downside can carry different media budgets.</t>
  </si>
  <si>
    <t xml:space="preserve">6. Fixed Costs, Media Plan overrides, and Stock Feasibility (opening stock and planned intake).</t>
  </si>
  <si>
    <t xml:space="preserve">7. Read the outputs: Executive Summary, P&amp;L, Reconciliation, Scenarios. Track the year on Budget v Actual.</t>
  </si>
  <si>
    <t xml:space="preserve">How the numbers are built</t>
  </si>
  <si>
    <t xml:space="preserve">Rates (conversion, AOV, units per order, discount depth, returns rate, new customer share, media cost per session) are weighted rolling averages of the same week across three years, skipping flagged weeks.</t>
  </si>
  <si>
    <t xml:space="preserve">Volumes (non-paid sessions, media phasing) use a weighted seasonality index applied to last year's annual total and your growth assumption. Averaging raw volumes would understate a growing business.</t>
  </si>
  <si>
    <t xml:space="preserve">A compound growth rate on last year is the common shortcut. It carries last year's anomalies into next year and assumes the drivers move together. The Back Test sheet compares the two on your own history.</t>
  </si>
  <si>
    <t xml:space="preserve">Paid sessions come from spend divided by cost per session. Cost per session moves with (spend / last year's spend) to a channel-specific exponent, in both directions: pushing spend makes traffic dearer, cutting it makes the remaining traffic cheaper.</t>
  </si>
  <si>
    <t xml:space="preserve">Gross demand is orders x AOV, after discount. Net sales are gross demand less returns, booked in the week of sale. Cost of goods is the full-price value of net sales x (1 - intake margin), so deeper discounting shows up in margin.</t>
  </si>
  <si>
    <t xml:space="preserve">The Executive Summary splits each scenario into trading and investment: the same trading assumptions on Base media, then the effect of the media change. It shows whether Upside is a better proposition or simply a bigger budget.</t>
  </si>
  <si>
    <t xml:space="preserve">Five hidden engines run the full weekly build on Base, Upside and Downside at once. The Checks sheet confirms the engine for the active scenario matches the detailed sheets to the pound.</t>
  </si>
  <si>
    <t xml:space="preserve">Colour key and protection</t>
  </si>
  <si>
    <t xml:space="preserve">Blue text on a pale gold fill: an assumption, setting or note you should review.</t>
  </si>
  <si>
    <t xml:space="preserve">Blue text without fill: data you paste in.</t>
  </si>
  <si>
    <t xml:space="preserve">Green text: a formula reading another sheet.</t>
  </si>
  <si>
    <t xml:space="preserve">Black text: a formula on the same sheet. Every sheet is protected so only blue cells can be edited. There is no password: Review, then Unprotect Sheet, if you need to change the model itself.</t>
  </si>
  <si>
    <t xml:space="preserve">Limits, and where judgement is still required</t>
  </si>
  <si>
    <t xml:space="preserve">It is a planning framework, not a proven forecast, until it has been back-tested on your own history. A back test rebuilds a past year; true validation needs forecasts recorded at the time and compared with what followed.</t>
  </si>
  <si>
    <t xml:space="preserve">To test other weighting schemes, change the weights on Settings: the Back Test recalculates with them.</t>
  </si>
  <si>
    <t xml:space="preserve">The model is linear inside a week. Promotional behaviour comes from history; the discount sensitivity is the mechanical margin effect only.</t>
  </si>
  <si>
    <t xml:space="preserve">Stock is checked by period, not modelled by product. Lifetime value is deliberately excluded: a budget that justifies acquisition with an assumed LTV is where the problem starts. First-order payback is the honest line.</t>
  </si>
  <si>
    <t xml:space="preserve">Ecommerce contribution is only as complete as its cost perimeter. Read the perimeter note on the P&amp;L before calling it channel profit.</t>
  </si>
  <si>
    <t xml:space="preserve">Sheet map</t>
  </si>
  <si>
    <t xml:space="preserve">Executive Summary</t>
  </si>
  <si>
    <t xml:space="preserve">The answer, scenarios side by side, levers and evidence, risks and decisions</t>
  </si>
  <si>
    <t xml:space="preserve">Checks</t>
  </si>
  <si>
    <t xml:space="preserve">Model health: every validation, with PASS, WARN or FAIL</t>
  </si>
  <si>
    <t xml:space="preserve">Settings</t>
  </si>
  <si>
    <t xml:space="preserve">Years, weights, scenario, board target, version control</t>
  </si>
  <si>
    <t xml:space="preserve">Assumptions</t>
  </si>
  <si>
    <t xml:space="preserve">Every driver with Base, Upside, Downside, evidence type, owner and source</t>
  </si>
  <si>
    <t xml:space="preserve">Market</t>
  </si>
  <si>
    <t xml:space="preserve">Market growth inputs and the market-implied top-down number</t>
  </si>
  <si>
    <t xml:space="preserve">Calendar</t>
  </si>
  <si>
    <t xml:space="preserve">4-4-5 weeks, periods and events</t>
  </si>
  <si>
    <t xml:space="preserve">History Y-1 to Y-4</t>
  </si>
  <si>
    <t xml:space="preserve">Weekly actuals and the rates derived from them (Y-4 is for the back test only)</t>
  </si>
  <si>
    <t xml:space="preserve">Fixed Costs</t>
  </si>
  <si>
    <t xml:space="preserve">One line per fixed cost</t>
  </si>
  <si>
    <t xml:space="preserve">Baseline</t>
  </si>
  <si>
    <t xml:space="preserve">Weighted rolling averages and seasonality indices</t>
  </si>
  <si>
    <t xml:space="preserve">Media Plan</t>
  </si>
  <si>
    <t xml:space="preserve">Weekly spend, effective cost per session and paid sessions</t>
  </si>
  <si>
    <t xml:space="preserve">Sales Build</t>
  </si>
  <si>
    <t xml:space="preserve">Weekly sessions to net sales, active scenario</t>
  </si>
  <si>
    <t xml:space="preserve">Costs</t>
  </si>
  <si>
    <t xml:space="preserve">Weekly cost of goods, every variable cost line and contribution</t>
  </si>
  <si>
    <t xml:space="preserve">P&amp;L</t>
  </si>
  <si>
    <t xml:space="preserve">Period P&amp;L, Y-1 comparison, customer economics, cost perimeter</t>
  </si>
  <si>
    <t xml:space="preserve">Stock Feasibility</t>
  </si>
  <si>
    <t xml:space="preserve">Can the planned stock deliver the planned sales, by period</t>
  </si>
  <si>
    <t xml:space="preserve">Reconciliation</t>
  </si>
  <si>
    <t xml:space="preserve">Board target vs bottom up, and what you would have to believe</t>
  </si>
  <si>
    <t xml:space="preserve">Scenarios</t>
  </si>
  <si>
    <t xml:space="preserve">Scenario comparison, levers, sensitivities with workings, trigger points</t>
  </si>
  <si>
    <t xml:space="preserve">Budget v Actual</t>
  </si>
  <si>
    <t xml:space="preserve">Weekly tracking, variance bridge, cause and action log</t>
  </si>
  <si>
    <t xml:space="preserve">Back Test</t>
  </si>
  <si>
    <t xml:space="preserve">Would this method have forecast last year, against a compound growth rate</t>
  </si>
  <si>
    <t xml:space="preserve">Built by Barking Cat. The builder does the arithmetic. Whether the plan deserves funding is a different conversation.</t>
  </si>
  <si>
    <t xml:space="preserve">Version v1.3.1.</t>
  </si>
  <si>
    <t xml:space="preserve">Barking Cat Advisory Limited. Registered in England and Wales, company number 17338003. Registered office: The Old Constabulary, Welsh Row, Nantwich, Cheshire CW5 5ET. barkingcat.ai</t>
  </si>
  <si>
    <t xml:space="preserve">Executive summary</t>
  </si>
  <si>
    <t xml:space="preserve">The answer first. Everything behind this page is evidence for it.</t>
  </si>
  <si>
    <t xml:space="preserve">Retailer</t>
  </si>
  <si>
    <t xml:space="preserve">Budget year</t>
  </si>
  <si>
    <t xml:space="preserve">Active scenario</t>
  </si>
  <si>
    <t xml:space="preserve">Model checks</t>
  </si>
  <si>
    <t xml:space="preserve">The answer</t>
  </si>
  <si>
    <t xml:space="preserve">Contribution covers online sales, cost of goods, every variable cost, working media and the costs on the Fixed Costs sheet. Shared central costs not listed there are excluded, so this is not fully loaded channel profit. The perimeter is set out on the P&amp;L.</t>
  </si>
  <si>
    <t xml:space="preserve">Scenarios side by side</t>
  </si>
  <si>
    <t xml:space="preserve">Measure</t>
  </si>
  <si>
    <t xml:space="preserve">Base</t>
  </si>
  <si>
    <t xml:space="preserve">Upside</t>
  </si>
  <si>
    <t xml:space="preserve">Downside</t>
  </si>
  <si>
    <t xml:space="preserve">Y-1 actual</t>
  </si>
  <si>
    <t xml:space="preserve">Net sales</t>
  </si>
  <si>
    <t xml:space="preserve">Media spend</t>
  </si>
  <si>
    <t xml:space="preserve">Contribution after marketing</t>
  </si>
  <si>
    <t xml:space="preserve">Ecommerce contribution</t>
  </si>
  <si>
    <t xml:space="preserve">New customers</t>
  </si>
  <si>
    <t xml:space="preserve">Growth in net sales vs Y-1</t>
  </si>
  <si>
    <t xml:space="preserve">Contribution after marketing %</t>
  </si>
  <si>
    <t xml:space="preserve">Gap to board target</t>
  </si>
  <si>
    <t xml:space="preserve">Where the difference comes from: trading or investment</t>
  </si>
  <si>
    <t xml:space="preserve">Movement vs Base</t>
  </si>
  <si>
    <t xml:space="preserve">Net sales (£)</t>
  </si>
  <si>
    <t xml:space="preserve">Contribution after marketing (£)</t>
  </si>
  <si>
    <t xml:space="preserve">Media change (£)</t>
  </si>
  <si>
    <t xml:space="preserve">Contribution per extra £1 of media</t>
  </si>
  <si>
    <t xml:space="preserve">Trading assumptions alone run on Base media. The media change runs on that scenario's trading assumptions. Below zero in the last column, the extra spend buys sales at a loss.</t>
  </si>
  <si>
    <t xml:space="preserve">The decision</t>
  </si>
  <si>
    <t xml:space="preserve">Recommended scenario to approve</t>
  </si>
  <si>
    <t xml:space="preserve">Media versus Base</t>
  </si>
  <si>
    <t xml:space="preserve">Contribution versus Base</t>
  </si>
  <si>
    <t xml:space="preserve">of which from trading assumptions</t>
  </si>
  <si>
    <t xml:space="preserve">of which from the media change</t>
  </si>
  <si>
    <t xml:space="preserve">Gap to board target remaining</t>
  </si>
  <si>
    <t xml:space="preserve">Rationale</t>
  </si>
  <si>
    <t xml:space="preserve">Example: approve Base. Almost all of the Upside contribution comes from trading, not media, so release the extra media budget only once Q1 conversion tracks to the Upside trading assumptions.</t>
  </si>
  <si>
    <t xml:space="preserve">Move to the Downside plan if</t>
  </si>
  <si>
    <t xml:space="preserve">Release upside budget if</t>
  </si>
  <si>
    <t xml:space="preserve">What you would have to believe (active scenario, each lever alone)</t>
  </si>
  <si>
    <t xml:space="preserve">Lever</t>
  </si>
  <si>
    <t xml:space="preserve">Plan</t>
  </si>
  <si>
    <t xml:space="preserve">Required</t>
  </si>
  <si>
    <t xml:space="preserve">Change needed</t>
  </si>
  <si>
    <t xml:space="preserve">What each lever is worth, and the evidence behind it</t>
  </si>
  <si>
    <t xml:space="preserve">Change</t>
  </si>
  <si>
    <t xml:space="preserve">Evidence behind the assumption</t>
  </si>
  <si>
    <t xml:space="preserve">Evidence quality and feasibility</t>
  </si>
  <si>
    <t xml:space="preserve">Assumptions resting on: historical evidence</t>
  </si>
  <si>
    <t xml:space="preserve">Assumptions resting on: external benchmark</t>
  </si>
  <si>
    <t xml:space="preserve">Assumptions resting on: management judgement</t>
  </si>
  <si>
    <t xml:space="preserve">Assumptions resting on: untested hypothesis</t>
  </si>
  <si>
    <t xml:space="preserve">Stock feasibility: periods flagged</t>
  </si>
  <si>
    <t xml:space="preserve">Stock feasibility: sales at risk</t>
  </si>
  <si>
    <t xml:space="preserve">Back test, average weekly error: this method</t>
  </si>
  <si>
    <t xml:space="preserve">Illustrative history: proves the mechanics, not the method</t>
  </si>
  <si>
    <t xml:space="preserve">Back test, average weekly error: compound growth rate</t>
  </si>
  <si>
    <t xml:space="preserve">Open checks and what to do</t>
  </si>
  <si>
    <t xml:space="preserve">Check</t>
  </si>
  <si>
    <t xml:space="preserve">Status</t>
  </si>
  <si>
    <t xml:space="preserve">What to do</t>
  </si>
  <si>
    <t xml:space="preserve">Largest risks to delivery</t>
  </si>
  <si>
    <t xml:space="preserve">Risk</t>
  </si>
  <si>
    <t xml:space="preserve">Owner</t>
  </si>
  <si>
    <t xml:space="preserve">Mitigation</t>
  </si>
  <si>
    <t xml:space="preserve">Example: conversion uplift in Upside rests on an untested hypothesis</t>
  </si>
  <si>
    <t xml:space="preserve">Head of Ecommerce</t>
  </si>
  <si>
    <t xml:space="preserve">Test before funding the Upside media budget</t>
  </si>
  <si>
    <t xml:space="preserve">Example: stock cover falls below four weeks from P9 into peak</t>
  </si>
  <si>
    <t xml:space="preserve">Trading Manager</t>
  </si>
  <si>
    <t xml:space="preserve">Bring forward intake or protect best sellers from early promotion</t>
  </si>
  <si>
    <t xml:space="preserve">Example: media efficiency at higher spend is assumed, not measured</t>
  </si>
  <si>
    <t xml:space="preserve">Digital Marketing Manager</t>
  </si>
  <si>
    <t xml:space="preserve">Run a spend test in a quiet period to calibrate the curve</t>
  </si>
  <si>
    <t xml:space="preserve">Decisions the leadership team needs to make</t>
  </si>
  <si>
    <t xml:space="preserve">Decision</t>
  </si>
  <si>
    <t xml:space="preserve">Decide by</t>
  </si>
  <si>
    <t xml:space="preserve">Example: fund the gap, phase it, or move the target</t>
  </si>
  <si>
    <t xml:space="preserve">CEO</t>
  </si>
  <si>
    <t xml:space="preserve">Example: approve the recommended scenario and its media budget</t>
  </si>
  <si>
    <t xml:space="preserve">CFO</t>
  </si>
  <si>
    <t xml:space="preserve">Example: agree the trigger points for switching to the Downside plan</t>
  </si>
  <si>
    <t xml:space="preserve">Leadership team</t>
  </si>
  <si>
    <t xml:space="preserve">Examples are prompts. Replace them with the risks and decisions your own numbers raise.</t>
  </si>
  <si>
    <t xml:space="preserve">Every check recalculates as you edit. FAIL means a number on the Executive Summary cannot be trusted. WARN means look before you present.</t>
  </si>
  <si>
    <t xml:space="preserve">#</t>
  </si>
  <si>
    <t xml:space="preserve">Value</t>
  </si>
  <si>
    <t xml:space="preserve">What it means if it is not PASS</t>
  </si>
  <si>
    <t xml:space="preserve">History weights sum to 100%</t>
  </si>
  <si>
    <t xml:space="preserve">The baseline weights no longer read as shares, so every rate in the budget is distorted.</t>
  </si>
  <si>
    <t xml:space="preserve">Change the weights on Settings so they add to 100%.</t>
  </si>
  <si>
    <t xml:space="preserve">Active scenario is valid</t>
  </si>
  <si>
    <t xml:space="preserve">An unexpected entry would silently default to Base.</t>
  </si>
  <si>
    <t xml:space="preserve">Choose Base, Upside or Downside from the list on Settings.</t>
  </si>
  <si>
    <t xml:space="preserve">Board target entered</t>
  </si>
  <si>
    <t xml:space="preserve">The reconciliation has nothing to reconcile against.</t>
  </si>
  <si>
    <t xml:space="preserve">Enter the board's net sales target on Settings.</t>
  </si>
  <si>
    <t xml:space="preserve">History complete (blank data cells, Y-1 to Y-3)</t>
  </si>
  <si>
    <t xml:space="preserve">Missing weeks feed zeros into the baseline.</t>
  </si>
  <si>
    <t xml:space="preserve">Fill the blank weeks in the History sheets, or flag them Y and explain why.</t>
  </si>
  <si>
    <t xml:space="preserve">Weeks excluded in all three history years</t>
  </si>
  <si>
    <t xml:space="preserve">Those weeks fall back to Y-1 values, including the anomaly you flagged.</t>
  </si>
  <si>
    <t xml:space="preserve">Unflag one year for those weeks, or use a Calendar uplift to stand in for them.</t>
  </si>
  <si>
    <t xml:space="preserve">Seasonality indices each sum to 100%</t>
  </si>
  <si>
    <t xml:space="preserve">Volumes will not add back to the annual totals.</t>
  </si>
  <si>
    <t xml:space="preserve">Check the History totals; a blank or negative week usually causes this.</t>
  </si>
  <si>
    <t xml:space="preserve">Assumptions inside sensible bounds (count of breaches, all scenarios)</t>
  </si>
  <si>
    <t xml:space="preserve">A rate outside its bounds (a negative cost, a margin above 90%) produces impossible outputs.</t>
  </si>
  <si>
    <t xml:space="preserve">Find the breach in the exception table below and correct it on Assumptions.</t>
  </si>
  <si>
    <t xml:space="preserve">Planned returns rate between 0% and 80%, all scenarios</t>
  </si>
  <si>
    <t xml:space="preserve">Returns assumptions have pushed a week beyond plausibility.</t>
  </si>
  <si>
    <t xml:space="preserve">Reduce the returns rate change on Assumptions for the scenario concerned.</t>
  </si>
  <si>
    <t xml:space="preserve">Planned discount depth below 70%, all scenarios</t>
  </si>
  <si>
    <t xml:space="preserve">Cost of goods inflates sharply as discount depth rises; check the discount change.</t>
  </si>
  <si>
    <t xml:space="preserve">Reduce the discount depth change on Assumptions.</t>
  </si>
  <si>
    <t xml:space="preserve">Media spend non-negative, all scenarios</t>
  </si>
  <si>
    <t xml:space="preserve">A negative override or budget is in the plan.</t>
  </si>
  <si>
    <t xml:space="preserve">Remove the negative override on Media Plan or the negative budget on Assumptions.</t>
  </si>
  <si>
    <t xml:space="preserve">Media plan matches annual budgets (active)</t>
  </si>
  <si>
    <t xml:space="preserve">Weekly overrides have moved spend away from the agreed budgets.</t>
  </si>
  <si>
    <t xml:space="preserve">Clear the overrides on Media Plan, or update the annual budgets to match them.</t>
  </si>
  <si>
    <t xml:space="preserve">Sales Build reconciles to P&amp;L</t>
  </si>
  <si>
    <t xml:space="preserve">A week is missing a valid period, so the P&amp;L drops sales.</t>
  </si>
  <si>
    <t xml:space="preserve">Check every Calendar week carries a period from P1 to P12.</t>
  </si>
  <si>
    <t xml:space="preserve">Costs reconcile to P&amp;L</t>
  </si>
  <si>
    <t xml:space="preserve">The cost build and the P&amp;L disagree.</t>
  </si>
  <si>
    <t xml:space="preserve">Restore the Costs and P&amp;L sheets from a clean copy; they should not be editable.</t>
  </si>
  <si>
    <t xml:space="preserve">Scenario engine matches active build</t>
  </si>
  <si>
    <t xml:space="preserve">The side-by-side scenarios are not calculating the same model as the detailed sheets.</t>
  </si>
  <si>
    <t xml:space="preserve">Check Media Plan overrides and Calendar uplifts; restore from a clean copy if sheets were edited.</t>
  </si>
  <si>
    <t xml:space="preserve">Scenario order: Upside above Base above Downside (net sales)</t>
  </si>
  <si>
    <t xml:space="preserve">A scenario's assumptions point the wrong way. Check before presenting.</t>
  </si>
  <si>
    <t xml:space="preserve">Review the Upside and Downside values on Assumptions; one is pointing the wrong way.</t>
  </si>
  <si>
    <t xml:space="preserve">Black Friday falls in the week labelled Black Friday</t>
  </si>
  <si>
    <t xml:space="preserve">Value shows how many weeks the real Black Friday sits from the labelled week. Move the label and its uplift.</t>
  </si>
  <si>
    <t xml:space="preserve">Move the Black Friday label and its uplift on the Calendar to the correct week.</t>
  </si>
  <si>
    <t xml:space="preserve">Easter and 53-week year confirmed by hand</t>
  </si>
  <si>
    <t xml:space="preserve">Easter moves between periods; a 53-week year needs a week merged or dropped in history.</t>
  </si>
  <si>
    <t xml:space="preserve">Check where Easter falls and whether the year has 53 weeks, then choose Confirmed in cell D30.</t>
  </si>
  <si>
    <t xml:space="preserve">Stock feasibility: periods flagged Short or Tight</t>
  </si>
  <si>
    <t xml:space="preserve">Short: the plan sells stock you will not have. Tight: availability, and so conversion, is at risk.</t>
  </si>
  <si>
    <t xml:space="preserve">Add intake for the flagged periods on Stock Feasibility, or reduce the sales plan to what the stock supports.</t>
  </si>
  <si>
    <t xml:space="preserve">Untested hypotheses in the assumptions register</t>
  </si>
  <si>
    <t xml:space="preserve">Acceptable in a draft. Name them on the Executive Summary rather than let them pass as fact.</t>
  </si>
  <si>
    <t xml:space="preserve">Name each untested assumption on the summary, and test the ones that drive a lever before funding them.</t>
  </si>
  <si>
    <t xml:space="preserve">Budget v Actual: actuals tie to each other</t>
  </si>
  <si>
    <t xml:space="preserve">Net sales, sessions, conversion, AOV and returns entered for a week do not multiply out.</t>
  </si>
  <si>
    <t xml:space="preserve">Check that the week's net sales, sessions, conversion, AOV and returns come from the same source.</t>
  </si>
  <si>
    <t xml:space="preserve">Overall model status</t>
  </si>
  <si>
    <t xml:space="preserve">Checks failed</t>
  </si>
  <si>
    <t xml:space="preserve">Checks to review</t>
  </si>
  <si>
    <t xml:space="preserve">Easter and 53-week year checked by hand (choose Confirmed)</t>
  </si>
  <si>
    <t xml:space="preserve">Exception table: assumption bounds, every scenario</t>
  </si>
  <si>
    <t xml:space="preserve">ID</t>
  </si>
  <si>
    <t xml:space="preserve">Assumption</t>
  </si>
  <si>
    <t xml:space="preserve">Lower bound</t>
  </si>
  <si>
    <t xml:space="preserve">Upper bound</t>
  </si>
  <si>
    <t xml:space="preserve">Result</t>
  </si>
  <si>
    <t xml:space="preserve">Scenarios in breach</t>
  </si>
  <si>
    <t xml:space="preserve">g_org</t>
  </si>
  <si>
    <t xml:space="preserve">g_email</t>
  </si>
  <si>
    <t xml:space="preserve">g_aff</t>
  </si>
  <si>
    <t xml:space="preserve">bud_ps</t>
  </si>
  <si>
    <t xml:space="preserve">bud_soc</t>
  </si>
  <si>
    <t xml:space="preserve">bud_disp</t>
  </si>
  <si>
    <t xml:space="preserve">cps_infl</t>
  </si>
  <si>
    <t xml:space="preserve">dr_ps</t>
  </si>
  <si>
    <t xml:space="preserve">dr_soc</t>
  </si>
  <si>
    <t xml:space="preserve">dr_disp</t>
  </si>
  <si>
    <t xml:space="preserve">cr_chg</t>
  </si>
  <si>
    <t xml:space="preserve">aov_chg</t>
  </si>
  <si>
    <t xml:space="preserve">disc_chg</t>
  </si>
  <si>
    <t xml:space="preserve">ret_chg</t>
  </si>
  <si>
    <t xml:space="preserve">imu</t>
  </si>
  <si>
    <t xml:space="preserve">unsale</t>
  </si>
  <si>
    <t xml:space="preserve">carr_in</t>
  </si>
  <si>
    <t xml:space="preserve">carr_out</t>
  </si>
  <si>
    <t xml:space="preserve">del_inc</t>
  </si>
  <si>
    <t xml:space="preserve">pack</t>
  </si>
  <si>
    <t xml:space="preserve">pick</t>
  </si>
  <si>
    <t xml:space="preserve">ret_post</t>
  </si>
  <si>
    <t xml:space="preserve">ret_proc</t>
  </si>
  <si>
    <t xml:space="preserve">pay_fee</t>
  </si>
  <si>
    <t xml:space="preserve">aff_comm</t>
  </si>
  <si>
    <t xml:space="preserve">aff_share</t>
  </si>
  <si>
    <t xml:space="preserve">cs_contacts</t>
  </si>
  <si>
    <t xml:space="preserve">cs_cost</t>
  </si>
  <si>
    <t xml:space="preserve">fraud</t>
  </si>
  <si>
    <t xml:space="preserve">Edit the shaded cells. Everything else in the workbook follows from these and the Assumptions sheet.</t>
  </si>
  <si>
    <t xml:space="preserve">Setting</t>
  </si>
  <si>
    <t xml:space="preserve">Notes</t>
  </si>
  <si>
    <t xml:space="preserve">Example Retailer (fictional)</t>
  </si>
  <si>
    <t xml:space="preserve">Illustrative business. Replace with your own name.</t>
  </si>
  <si>
    <t xml:space="preserve">Budget year label</t>
  </si>
  <si>
    <t xml:space="preserve">FY2027</t>
  </si>
  <si>
    <t xml:space="preserve">Text label only.</t>
  </si>
  <si>
    <t xml:space="preserve">Budget year start date (week 1)</t>
  </si>
  <si>
    <t xml:space="preserve">First day of week 1. Weeks run on a 4-4-5 retail calendar.</t>
  </si>
  <si>
    <t xml:space="preserve">History year Y-1 label</t>
  </si>
  <si>
    <t xml:space="preserve">FY2026</t>
  </si>
  <si>
    <t xml:space="preserve">Most recent full year (latest estimate if not yet closed).</t>
  </si>
  <si>
    <t xml:space="preserve">History year Y-2 label</t>
  </si>
  <si>
    <t xml:space="preserve">FY2025</t>
  </si>
  <si>
    <t xml:space="preserve">History year Y-3 label</t>
  </si>
  <si>
    <t xml:space="preserve">FY2024</t>
  </si>
  <si>
    <t xml:space="preserve">Weight on Y-1</t>
  </si>
  <si>
    <t xml:space="preserve">Weighted rolling average: how much each history year counts. Recent years usually count most.</t>
  </si>
  <si>
    <t xml:space="preserve">Weight on Y-2</t>
  </si>
  <si>
    <t xml:space="preserve">Weight on Y-3</t>
  </si>
  <si>
    <t xml:space="preserve">Weight check (must equal 100%)</t>
  </si>
  <si>
    <t xml:space="preserve">Turns red if the weights do not add to 100%. The Checks sheet fails too.</t>
  </si>
  <si>
    <t xml:space="preserve">Choose from the list: Base, Upside or Downside.</t>
  </si>
  <si>
    <t xml:space="preserve">Scenario number (calculated)</t>
  </si>
  <si>
    <t xml:space="preserve">Do not edit.</t>
  </si>
  <si>
    <t xml:space="preserve">Board target: net sales (£)</t>
  </si>
  <si>
    <t xml:space="preserve">The top-down number the board has asked for. Illustrative.</t>
  </si>
  <si>
    <t xml:space="preserve">Basis</t>
  </si>
  <si>
    <t xml:space="preserve">All values in GBP, excluding VAT. Net sales are after returns.</t>
  </si>
  <si>
    <t xml:space="preserve">History year Y-4 label (back test only)</t>
  </si>
  <si>
    <t xml:space="preserve">FY2023</t>
  </si>
  <si>
    <t xml:space="preserve">Only needed for the Back Test sheet.</t>
  </si>
  <si>
    <t xml:space="preserve">Version control</t>
  </si>
  <si>
    <t xml:space="preserve">Model version</t>
  </si>
  <si>
    <t xml:space="preserve">v1.3.1</t>
  </si>
  <si>
    <t xml:space="preserve">Last updated</t>
  </si>
  <si>
    <t xml:space="preserve">Prepared by</t>
  </si>
  <si>
    <t xml:space="preserve">Reviewed by</t>
  </si>
  <si>
    <t xml:space="preserve">Change note</t>
  </si>
  <si>
    <t xml:space="preserve">v1.3.1: negative media overrides no longer break the cost per session formula (found in QA). v1.3: trading and investment split, scenario decision block, checks as actions with an exception table, cost perimeter on the summary, sales at risk on stock, owned back-test inputs.</t>
  </si>
  <si>
    <t xml:space="preserve">Assumptions register</t>
  </si>
  <si>
    <t xml:space="preserve">Every planning assumption lives here, once. The Active column feeds the build; the scenario engines read Base, Upside and Downside directly. All values are illustrative.</t>
  </si>
  <si>
    <t xml:space="preserve">Unit</t>
  </si>
  <si>
    <t xml:space="preserve">Active</t>
  </si>
  <si>
    <t xml:space="preserve">How it is used</t>
  </si>
  <si>
    <t xml:space="preserve">Evidence type</t>
  </si>
  <si>
    <t xml:space="preserve">Source</t>
  </si>
  <si>
    <t xml:space="preserve">Vintage</t>
  </si>
  <si>
    <t xml:space="preserve">Confidence</t>
  </si>
  <si>
    <t xml:space="preserve">Traffic (non-paid channels)</t>
  </si>
  <si>
    <t xml:space="preserve">Organic and direct sessions growth vs Y-1</t>
  </si>
  <si>
    <t xml:space="preserve">%</t>
  </si>
  <si>
    <t xml:space="preserve">Y-1 annual sessions x (1 + growth) x weekly seasonality index</t>
  </si>
  <si>
    <t xml:space="preserve">Management judgement</t>
  </si>
  <si>
    <t xml:space="preserve">Illustrative. Replace with your own evidence.</t>
  </si>
  <si>
    <t xml:space="preserve">To confirm</t>
  </si>
  <si>
    <t xml:space="preserve">Medium</t>
  </si>
  <si>
    <t xml:space="preserve">Email and CRM sessions growth vs Y-1</t>
  </si>
  <si>
    <t xml:space="preserve">As above, email and CRM channel</t>
  </si>
  <si>
    <t xml:space="preserve">CRM Manager</t>
  </si>
  <si>
    <t xml:space="preserve">Affiliate sessions growth vs Y-1</t>
  </si>
  <si>
    <t xml:space="preserve">As above, affiliate channel</t>
  </si>
  <si>
    <t xml:space="preserve">Media (working media only: agency fees, creative and ad technology sit in Fixed Costs)</t>
  </si>
  <si>
    <t xml:space="preserve">Paid search annual budget</t>
  </si>
  <si>
    <t xml:space="preserve">£</t>
  </si>
  <si>
    <t xml:space="preserve">Phased by Y-1 weekly spend shape unless overridden on Media Plan</t>
  </si>
  <si>
    <t xml:space="preserve">Paid social annual budget</t>
  </si>
  <si>
    <t xml:space="preserve">As above</t>
  </si>
  <si>
    <t xml:space="preserve">Display and video annual budget</t>
  </si>
  <si>
    <t xml:space="preserve">Media cost per session inflation vs baseline</t>
  </si>
  <si>
    <t xml:space="preserve">Applied to the weighted baseline cost per session</t>
  </si>
  <si>
    <t xml:space="preserve">External benchmark</t>
  </si>
  <si>
    <t xml:space="preserve">Diminishing returns exponent: paid search</t>
  </si>
  <si>
    <t xml:space="preserve">x</t>
  </si>
  <si>
    <t xml:space="preserve">Cost per session x (spend / Y-1 spend) to this power. Symmetric: spending less than Y-1 makes traffic cheaper</t>
  </si>
  <si>
    <t xml:space="preserve">Untested hypothesis</t>
  </si>
  <si>
    <t xml:space="preserve">Diminishing returns exponent: paid social</t>
  </si>
  <si>
    <t xml:space="preserve">As above. Planning assumption: test with your own spend and traffic history</t>
  </si>
  <si>
    <t xml:space="preserve">Diminishing returns exponent: display and video</t>
  </si>
  <si>
    <t xml:space="preserve">Conversion and basket</t>
  </si>
  <si>
    <t xml:space="preserve">Conversion rate change vs baseline (relative)</t>
  </si>
  <si>
    <t xml:space="preserve">Baseline weekly conversion x (1 + change)</t>
  </si>
  <si>
    <t xml:space="preserve">AOV change vs baseline (relative)</t>
  </si>
  <si>
    <t xml:space="preserve">Baseline weekly AOV x (1 + change). Include price inflation here</t>
  </si>
  <si>
    <t xml:space="preserve">Discount depth change vs baseline (points)</t>
  </si>
  <si>
    <t xml:space="preserve">pts</t>
  </si>
  <si>
    <t xml:space="preserve">Added to baseline discount depth. Drives full-price value and so cost of goods</t>
  </si>
  <si>
    <t xml:space="preserve">Returns rate change vs baseline (points)</t>
  </si>
  <si>
    <t xml:space="preserve">Added to baseline returns rate (returns value / gross demand)</t>
  </si>
  <si>
    <t xml:space="preserve">Product margin</t>
  </si>
  <si>
    <t xml:space="preserve">Intake margin (on full-price value, ex VAT)</t>
  </si>
  <si>
    <t xml:space="preserve">Cost of goods = full-price value of net sales x (1 - intake margin)</t>
  </si>
  <si>
    <t xml:space="preserve">Historical evidence</t>
  </si>
  <si>
    <t xml:space="preserve">Finance</t>
  </si>
  <si>
    <t xml:space="preserve">Returns not resaleable (share of returns value)</t>
  </si>
  <si>
    <t xml:space="preserve">Written off at cost</t>
  </si>
  <si>
    <t xml:space="preserve">Operations</t>
  </si>
  <si>
    <t xml:space="preserve">Carriage in (% of cost of goods)</t>
  </si>
  <si>
    <t xml:space="preserve">Inbound freight on goods sold</t>
  </si>
  <si>
    <t xml:space="preserve">Fulfilment and service (per unit of activity)</t>
  </si>
  <si>
    <t xml:space="preserve">Carriage out per order</t>
  </si>
  <si>
    <t xml:space="preserve">Orders x rate. Blend of delivery options</t>
  </si>
  <si>
    <t xml:space="preserve">Delivery income recovered per order</t>
  </si>
  <si>
    <t xml:space="preserve">Average across all orders, including free delivery orders</t>
  </si>
  <si>
    <t xml:space="preserve">Packaging per order</t>
  </si>
  <si>
    <t xml:space="preserve">Orders x rate</t>
  </si>
  <si>
    <t xml:space="preserve">Pick and pack per unit</t>
  </si>
  <si>
    <t xml:space="preserve">Units x rate</t>
  </si>
  <si>
    <t xml:space="preserve">Returns postage per returned order</t>
  </si>
  <si>
    <t xml:space="preserve">Returned orders x rate. Returned orders = returns value / AOV</t>
  </si>
  <si>
    <t xml:space="preserve">Returns processing per returned order</t>
  </si>
  <si>
    <t xml:space="preserve">Returned orders x rate</t>
  </si>
  <si>
    <t xml:space="preserve">Payment fees (% of gross demand)</t>
  </si>
  <si>
    <t xml:space="preserve">Blended across payment methods</t>
  </si>
  <si>
    <t xml:space="preserve">Affiliate commission rate</t>
  </si>
  <si>
    <t xml:space="preserve">Applied to commissionable affiliate demand</t>
  </si>
  <si>
    <t xml:space="preserve">Commissionable share of affiliate-attributed demand</t>
  </si>
  <si>
    <t xml:space="preserve">Demand attributed to affiliate sessions x share. Set below 100% where your network deduplicates against other channels</t>
  </si>
  <si>
    <t xml:space="preserve">Customer service contacts per order</t>
  </si>
  <si>
    <t xml:space="preserve">Orders x contacts x cost per contact</t>
  </si>
  <si>
    <t xml:space="preserve">Customer Service Manager</t>
  </si>
  <si>
    <t xml:space="preserve">Cost per customer service contact</t>
  </si>
  <si>
    <t xml:space="preserve">Fraud and chargebacks (% of gross demand)</t>
  </si>
  <si>
    <t xml:space="preserve">Losses net of recoveries</t>
  </si>
  <si>
    <t xml:space="preserve">Market insights</t>
  </si>
  <si>
    <t xml:space="preserve">Every market figure needs a named source, a vintage and a vendor-interest check. The values below are placeholders to show the mechanics.</t>
  </si>
  <si>
    <t xml:space="preserve">Input</t>
  </si>
  <si>
    <t xml:space="preserve">Vendor interest?</t>
  </si>
  <si>
    <t xml:space="preserve">Category market growth, budget year</t>
  </si>
  <si>
    <t xml:space="preserve">ILLUSTRATIVE: replace with a named source</t>
  </si>
  <si>
    <t xml:space="preserve">Month and year</t>
  </si>
  <si>
    <t xml:space="preserve">Total category, all channels</t>
  </si>
  <si>
    <t xml:space="preserve">Current online penetration of the category</t>
  </si>
  <si>
    <t xml:space="preserve">Online share of category sales, Y-1</t>
  </si>
  <si>
    <t xml:space="preserve">Online penetration change, budget year</t>
  </si>
  <si>
    <t xml:space="preserve">Expected shift in online share, in percentage points</t>
  </si>
  <si>
    <t xml:space="preserve">Category price inflation</t>
  </si>
  <si>
    <t xml:space="preserve">For reference; carry it into AOV change on Assumptions</t>
  </si>
  <si>
    <t xml:space="preserve">Share gain ambition (relative uplift on online market growth)</t>
  </si>
  <si>
    <t xml:space="preserve">A relative uplift on the online market, not a change in market share points</t>
  </si>
  <si>
    <t xml:space="preserve">Implied online market growth</t>
  </si>
  <si>
    <t xml:space="preserve">Category growth, adjusted for the shift in online share</t>
  </si>
  <si>
    <t xml:space="preserve">Y-1 net sales (from History Y-1)</t>
  </si>
  <si>
    <t xml:space="preserve">Market-implied top-down net sales</t>
  </si>
  <si>
    <t xml:space="preserve">Y-1 x online market growth x share gain. A sense check on the board target, not a forecast</t>
  </si>
  <si>
    <t xml:space="preserve">Trading calendar, budget year</t>
  </si>
  <si>
    <t xml:space="preserve">4-4-5 retail calendar. Events are assumed to fall in the same week number as in history. Use the uplift column for events that are new or have moved. The Checks sheet tests Black Friday.</t>
  </si>
  <si>
    <t xml:space="preserve">Week</t>
  </si>
  <si>
    <t xml:space="preserve">Week start</t>
  </si>
  <si>
    <t xml:space="preserve">Week end</t>
  </si>
  <si>
    <t xml:space="preserve">Period</t>
  </si>
  <si>
    <t xml:space="preserve">Quarter</t>
  </si>
  <si>
    <t xml:space="preserve">Event (budget year)</t>
  </si>
  <si>
    <t xml:space="preserve">Event uplift override</t>
  </si>
  <si>
    <t xml:space="preserve">Note</t>
  </si>
  <si>
    <t xml:space="preserve">P1</t>
  </si>
  <si>
    <t xml:space="preserve">Q1</t>
  </si>
  <si>
    <t xml:space="preserve">P2</t>
  </si>
  <si>
    <t xml:space="preserve">P3</t>
  </si>
  <si>
    <t xml:space="preserve">Spring launch</t>
  </si>
  <si>
    <t xml:space="preserve">P4</t>
  </si>
  <si>
    <t xml:space="preserve">Q2</t>
  </si>
  <si>
    <t xml:space="preserve">P5</t>
  </si>
  <si>
    <t xml:space="preserve">Summer sale launch</t>
  </si>
  <si>
    <t xml:space="preserve">P6</t>
  </si>
  <si>
    <t xml:space="preserve">Summer sale</t>
  </si>
  <si>
    <t xml:space="preserve">P7</t>
  </si>
  <si>
    <t xml:space="preserve">Q3</t>
  </si>
  <si>
    <t xml:space="preserve">P8</t>
  </si>
  <si>
    <t xml:space="preserve">P9</t>
  </si>
  <si>
    <t xml:space="preserve">Mid-season sale</t>
  </si>
  <si>
    <t xml:space="preserve">New: brand collaboration launch</t>
  </si>
  <si>
    <t xml:space="preserve">Illustrative example of a new event not in history. Uplift applies to orders that week.</t>
  </si>
  <si>
    <t xml:space="preserve">P10</t>
  </si>
  <si>
    <t xml:space="preserve">Q4</t>
  </si>
  <si>
    <t xml:space="preserve">Black Friday</t>
  </si>
  <si>
    <t xml:space="preserve">P11</t>
  </si>
  <si>
    <t xml:space="preserve">Cyber week</t>
  </si>
  <si>
    <t xml:space="preserve">P12</t>
  </si>
  <si>
    <t xml:space="preserve">Boxing Day sale</t>
  </si>
  <si>
    <t xml:space="preserve">January sale</t>
  </si>
  <si>
    <t xml:space="preserve">History Y-1</t>
  </si>
  <si>
    <t xml:space="preserve">Weekly actuals. Illustrative data for a fictional retailer: replace with your own exports. Columns U onwards calculate.</t>
  </si>
  <si>
    <t xml:space="preserve">Event</t>
  </si>
  <si>
    <t xml:space="preserve">Sessions: paid search</t>
  </si>
  <si>
    <t xml:space="preserve">Sessions: paid social</t>
  </si>
  <si>
    <t xml:space="preserve">Sessions: display and video</t>
  </si>
  <si>
    <t xml:space="preserve">Sessions: organic and direct</t>
  </si>
  <si>
    <t xml:space="preserve">Sessions: email and CRM</t>
  </si>
  <si>
    <t xml:space="preserve">Sessions: affiliates</t>
  </si>
  <si>
    <t xml:space="preserve">Sessions: total</t>
  </si>
  <si>
    <t xml:space="preserve">Orders</t>
  </si>
  <si>
    <t xml:space="preserve">Gross demand (£, after discount)</t>
  </si>
  <si>
    <t xml:space="preserve">Units</t>
  </si>
  <si>
    <t xml:space="preserve">Discount given (£)</t>
  </si>
  <si>
    <t xml:space="preserve">Returns (£)</t>
  </si>
  <si>
    <t xml:space="preserve">Spend: paid search (£)</t>
  </si>
  <si>
    <t xml:space="preserve">Spend: paid social (£)</t>
  </si>
  <si>
    <t xml:space="preserve">Spend: display and video (£)</t>
  </si>
  <si>
    <t xml:space="preserve">Exclude from baseline? (Y)</t>
  </si>
  <si>
    <t xml:space="preserve">Trading note</t>
  </si>
  <si>
    <t xml:space="preserve">Conversion rate</t>
  </si>
  <si>
    <t xml:space="preserve">AOV (£)</t>
  </si>
  <si>
    <t xml:space="preserve">Units per order</t>
  </si>
  <si>
    <t xml:space="preserve">Discount depth</t>
  </si>
  <si>
    <t xml:space="preserve">Returns rate</t>
  </si>
  <si>
    <t xml:space="preserve">New customer share</t>
  </si>
  <si>
    <t xml:space="preserve">Cost per session: paid search</t>
  </si>
  <si>
    <t xml:space="preserve">Cost per session: paid social</t>
  </si>
  <si>
    <t xml:space="preserve">Cost per session: display</t>
  </si>
  <si>
    <t xml:space="preserve">Share of year: organic</t>
  </si>
  <si>
    <t xml:space="preserve">Share of year: email</t>
  </si>
  <si>
    <t xml:space="preserve">Share of year: affiliates</t>
  </si>
  <si>
    <t xml:space="preserve">Share of year: paid search spend</t>
  </si>
  <si>
    <t xml:space="preserve">Share of year: paid social spend</t>
  </si>
  <si>
    <t xml:space="preserve">Share of year: display spend</t>
  </si>
  <si>
    <t xml:space="preserve">Share of year: total sessions</t>
  </si>
  <si>
    <t xml:space="preserve">Y</t>
  </si>
  <si>
    <t xml:space="preserve">Hero line sold out for the whole week. Excluded from the baseline.</t>
  </si>
  <si>
    <t xml:space="preserve">One-off press feature. Traffic spike will not repeat. Excluded from the baseline.</t>
  </si>
  <si>
    <t xml:space="preserve">Total</t>
  </si>
  <si>
    <t xml:space="preserve">History Y-2</t>
  </si>
  <si>
    <t xml:space="preserve">Site outage, 14 hours across two days. Excluded from the baseline.</t>
  </si>
  <si>
    <t xml:space="preserve">History Y-3</t>
  </si>
  <si>
    <t xml:space="preserve">Heatwave. Left in the baseline as normal variation.</t>
  </si>
  <si>
    <t xml:space="preserve">History Y-4</t>
  </si>
  <si>
    <t xml:space="preserve">Optional. Only used by the Back Test sheet. Weekly actuals. Illustrative data for a fictional retailer: replace with your own exports. Columns U onwards calculate.</t>
  </si>
  <si>
    <t xml:space="preserve">Fixed costs</t>
  </si>
  <si>
    <t xml:space="preserve">One line per fixed cost. Annual cost = quantity x annual rate x (1 + on-cost). Phased evenly across 52 weeks. Illustrative values.</t>
  </si>
  <si>
    <t xml:space="preserve">Category</t>
  </si>
  <si>
    <t xml:space="preserve">Line</t>
  </si>
  <si>
    <t xml:space="preserve">Quantity</t>
  </si>
  <si>
    <t xml:space="preserve">Annual rate (£)</t>
  </si>
  <si>
    <t xml:space="preserve">On-cost %</t>
  </si>
  <si>
    <t xml:space="preserve">Annual cost (£)</t>
  </si>
  <si>
    <t xml:space="preserve">People</t>
  </si>
  <si>
    <t xml:space="preserve">Headcount x salary</t>
  </si>
  <si>
    <t xml:space="preserve">Illustrative</t>
  </si>
  <si>
    <t xml:space="preserve">Performance Marketing Executive</t>
  </si>
  <si>
    <t xml:space="preserve">UX and Content Designer</t>
  </si>
  <si>
    <t xml:space="preserve">Ecommerce Executive</t>
  </si>
  <si>
    <t xml:space="preserve">Technology</t>
  </si>
  <si>
    <t xml:space="preserve">Platform licence</t>
  </si>
  <si>
    <t xml:space="preserve">Annual contract</t>
  </si>
  <si>
    <t xml:space="preserve">Apps and extensions</t>
  </si>
  <si>
    <t xml:space="preserve">Annual subscriptions</t>
  </si>
  <si>
    <t xml:space="preserve">Hosting and CDN</t>
  </si>
  <si>
    <t xml:space="preserve">Development retainer</t>
  </si>
  <si>
    <t xml:space="preserve">Annual retainer</t>
  </si>
  <si>
    <t xml:space="preserve">CRM and email platform</t>
  </si>
  <si>
    <t xml:space="preserve">Analytics, testing and ad technology</t>
  </si>
  <si>
    <t xml:space="preserve">Agencies</t>
  </si>
  <si>
    <t xml:space="preserve">Performance marketing agency fees</t>
  </si>
  <si>
    <t xml:space="preserve">Monthly retainer x 12</t>
  </si>
  <si>
    <t xml:space="preserve">SEO agency</t>
  </si>
  <si>
    <t xml:space="preserve">Content</t>
  </si>
  <si>
    <t xml:space="preserve">Photography, creative and content production</t>
  </si>
  <si>
    <t xml:space="preserve">Annual budget</t>
  </si>
  <si>
    <t xml:space="preserve">Overheads</t>
  </si>
  <si>
    <t xml:space="preserve">Allocated overheads</t>
  </si>
  <si>
    <t xml:space="preserve">Finance allocation</t>
  </si>
  <si>
    <t xml:space="preserve">Total fixed costs</t>
  </si>
  <si>
    <t xml:space="preserve">Weekly fixed cost</t>
  </si>
  <si>
    <t xml:space="preserve">Eight spare shaded rows sit above the total for additional cost lines. They are already included in the total.</t>
  </si>
  <si>
    <t xml:space="preserve">Baseline: weighted rolling averages</t>
  </si>
  <si>
    <t xml:space="preserve">Rates are the weighted average of the same week across three years, skipping weeks flagged for exclusion. Volumes use a weighted seasonality index instead.</t>
  </si>
  <si>
    <t xml:space="preserve">CPS: paid search</t>
  </si>
  <si>
    <t xml:space="preserve">CPS: paid social</t>
  </si>
  <si>
    <t xml:space="preserve">CPS: display</t>
  </si>
  <si>
    <t xml:space="preserve">Raw share: organic</t>
  </si>
  <si>
    <t xml:space="preserve">Raw share: email</t>
  </si>
  <si>
    <t xml:space="preserve">Raw share: affiliates</t>
  </si>
  <si>
    <t xml:space="preserve">Raw share: PS spend</t>
  </si>
  <si>
    <t xml:space="preserve">Raw share: social spend</t>
  </si>
  <si>
    <t xml:space="preserve">Raw share: display spend</t>
  </si>
  <si>
    <t xml:space="preserve">Index: organic</t>
  </si>
  <si>
    <t xml:space="preserve">Index: email</t>
  </si>
  <si>
    <t xml:space="preserve">Index: affiliates</t>
  </si>
  <si>
    <t xml:space="preserve">Index: PS spend</t>
  </si>
  <si>
    <t xml:space="preserve">Index: social spend</t>
  </si>
  <si>
    <t xml:space="preserve">Index: display spend</t>
  </si>
  <si>
    <t xml:space="preserve">Media plan</t>
  </si>
  <si>
    <t xml:space="preserve">Spend = annual budget x Y-1 weekly spend shape, unless you type an override. Effective cost per session = baseline x inflation x (spend / Y-1 spend) to the channel's exponent.</t>
  </si>
  <si>
    <t xml:space="preserve">PS phasing</t>
  </si>
  <si>
    <t xml:space="preserve">PS override (£)</t>
  </si>
  <si>
    <t xml:space="preserve">PS spend (£)</t>
  </si>
  <si>
    <t xml:space="preserve">PS Y-1 spend (£)</t>
  </si>
  <si>
    <t xml:space="preserve">PS effective CPS</t>
  </si>
  <si>
    <t xml:space="preserve">PS sessions</t>
  </si>
  <si>
    <t xml:space="preserve">Social phasing</t>
  </si>
  <si>
    <t xml:space="preserve">Social override (£)</t>
  </si>
  <si>
    <t xml:space="preserve">Social spend (£)</t>
  </si>
  <si>
    <t xml:space="preserve">Social Y-1 spend (£)</t>
  </si>
  <si>
    <t xml:space="preserve">Social effective CPS</t>
  </si>
  <si>
    <t xml:space="preserve">Social sessions</t>
  </si>
  <si>
    <t xml:space="preserve">Display phasing</t>
  </si>
  <si>
    <t xml:space="preserve">Display override (£)</t>
  </si>
  <si>
    <t xml:space="preserve">Display spend (£)</t>
  </si>
  <si>
    <t xml:space="preserve">Display Y-1 spend (£)</t>
  </si>
  <si>
    <t xml:space="preserve">Display effective CPS</t>
  </si>
  <si>
    <t xml:space="preserve">Display sessions</t>
  </si>
  <si>
    <t xml:space="preserve">Total spend (£)</t>
  </si>
  <si>
    <t xml:space="preserve">Budget check</t>
  </si>
  <si>
    <t xml:space="preserve">Paid search: planned vs annual budget</t>
  </si>
  <si>
    <t xml:space="preserve">Paid social: planned vs annual budget</t>
  </si>
  <si>
    <t xml:space="preserve">Display: planned vs annual budget</t>
  </si>
  <si>
    <t xml:space="preserve">A non-zero figure means overrides have moved the plan away from the budget on the Assumptions sheet. Overrides apply to every scenario.</t>
  </si>
  <si>
    <t xml:space="preserve">Sales build: bottom up, weekly, active scenario</t>
  </si>
  <si>
    <t xml:space="preserve">Sessions x conversion x AOV = gross demand. Less returns = net sales. Returns are booked in the week of sale, not the week the parcel comes back.</t>
  </si>
  <si>
    <t xml:space="preserve">Sessions: display</t>
  </si>
  <si>
    <t xml:space="preserve">Event uplift</t>
  </si>
  <si>
    <t xml:space="preserve">Gross demand (£)</t>
  </si>
  <si>
    <t xml:space="preserve">Full-price value (£)</t>
  </si>
  <si>
    <t xml:space="preserve">Returned orders</t>
  </si>
  <si>
    <t xml:space="preserve">Affiliate demand (£)</t>
  </si>
  <si>
    <t xml:space="preserve">Returned units</t>
  </si>
  <si>
    <t xml:space="preserve">Cost build: weekly, active scenario</t>
  </si>
  <si>
    <t xml:space="preserve">Every variable cost line shows its driver: orders, units, returned orders, demand or cost of goods. Rates come from the Assumptions sheet.</t>
  </si>
  <si>
    <t xml:space="preserve">Cost of goods (£)</t>
  </si>
  <si>
    <t xml:space="preserve">Returns write-off (£)</t>
  </si>
  <si>
    <t xml:space="preserve">Gross margin (£)</t>
  </si>
  <si>
    <t xml:space="preserve">Carriage in</t>
  </si>
  <si>
    <t xml:space="preserve">Carriage out</t>
  </si>
  <si>
    <t xml:space="preserve">Delivery income</t>
  </si>
  <si>
    <t xml:space="preserve">Packaging</t>
  </si>
  <si>
    <t xml:space="preserve">Pick and pack</t>
  </si>
  <si>
    <t xml:space="preserve">Returns postage</t>
  </si>
  <si>
    <t xml:space="preserve">Returns processing</t>
  </si>
  <si>
    <t xml:space="preserve">Payment fees</t>
  </si>
  <si>
    <t xml:space="preserve">Affiliate commission</t>
  </si>
  <si>
    <t xml:space="preserve">Customer service</t>
  </si>
  <si>
    <t xml:space="preserve">Fraud and chargebacks</t>
  </si>
  <si>
    <t xml:space="preserve">Total variable costs</t>
  </si>
  <si>
    <t xml:space="preserve">Contribution before marketing</t>
  </si>
  <si>
    <t xml:space="preserve">Ecommerce P&amp;L by period, active scenario</t>
  </si>
  <si>
    <t xml:space="preserve">Summed from the weekly build. Ratios are recalculated from totals, never averaged.</t>
  </si>
  <si>
    <t xml:space="preserve">Growth vs Y-1</t>
  </si>
  <si>
    <t xml:space="preserve">Sessions</t>
  </si>
  <si>
    <t xml:space="preserve">Gross demand</t>
  </si>
  <si>
    <t xml:space="preserve">Memo: discount given</t>
  </si>
  <si>
    <t xml:space="preserve">Returns</t>
  </si>
  <si>
    <t xml:space="preserve">Cost of goods</t>
  </si>
  <si>
    <t xml:space="preserve">Returns write-off</t>
  </si>
  <si>
    <t xml:space="preserve">Gross margin</t>
  </si>
  <si>
    <t xml:space="preserve">Gross margin %</t>
  </si>
  <si>
    <t xml:space="preserve">Variable costs</t>
  </si>
  <si>
    <t xml:space="preserve">Ecommerce contribution %</t>
  </si>
  <si>
    <t xml:space="preserve">Customers and unit economics</t>
  </si>
  <si>
    <t xml:space="preserve">Returning customer orders (orders less new customers)</t>
  </si>
  <si>
    <t xml:space="preserve">Net sales from new customers (at average basket)</t>
  </si>
  <si>
    <t xml:space="preserve">Net sales from returning customers</t>
  </si>
  <si>
    <t xml:space="preserve">Media spend per new customer (blended)</t>
  </si>
  <si>
    <t xml:space="preserve">Net sales per order</t>
  </si>
  <si>
    <t xml:space="preserve">Contribution before marketing per order</t>
  </si>
  <si>
    <t xml:space="preserve">First-order payback (contribution per first order / media per new customer)</t>
  </si>
  <si>
    <t xml:space="preserve">Contribution after marketing per order</t>
  </si>
  <si>
    <t xml:space="preserve">Variable cost per order</t>
  </si>
  <si>
    <t xml:space="preserve">Y-1 cost lines (shaded) come from your management accounts; the History sheets hold trading data only. Ratio growth is shown in points.</t>
  </si>
  <si>
    <t xml:space="preserve">Cost perimeter: what ecommerce contribution includes</t>
  </si>
  <si>
    <t xml:space="preserve">Includes: online net sales after returns; cost of goods on online sales; every variable cost line above; working media; the fixed costs listed on the Fixed Costs sheet.</t>
  </si>
  <si>
    <t xml:space="preserve">Excludes unless you add them: store-assisted online sales credited elsewhere, online returns taken in store, shared warehouse and central overheads not on the Fixed Costs sheet, depreciation and capital spend.</t>
  </si>
  <si>
    <t xml:space="preserve">Media is working media only. Agency fees, creative production and ad technology sit in Fixed Costs, so contribution after marketing is not flattered by moving costs between lines.</t>
  </si>
  <si>
    <t xml:space="preserve">Reconcile this perimeter to your management accounts before presenting it as channel profit. Contribution is not a fully loaded channel profit unless every shared cost has been allocated.</t>
  </si>
  <si>
    <t xml:space="preserve">Stock feasibility check</t>
  </si>
  <si>
    <t xml:space="preserve">Can the stock you plan to hold deliver the sales you plan to make? A light check by period. The Availability and Stock Intelligence tool does this properly, by style, colour and size.</t>
  </si>
  <si>
    <t xml:space="preserve">Flag a period as Tight when implied sell-through exceeds</t>
  </si>
  <si>
    <t xml:space="preserve">or closing stock covers fewer weeks than</t>
  </si>
  <si>
    <t xml:space="preserve">Weeks</t>
  </si>
  <si>
    <t xml:space="preserve">Units sold (gross)</t>
  </si>
  <si>
    <t xml:space="preserve">Resaleable returned units</t>
  </si>
  <si>
    <t xml:space="preserve">Net stock consumption</t>
  </si>
  <si>
    <t xml:space="preserve">Opening stock (units, example value)</t>
  </si>
  <si>
    <t xml:space="preserve">Planned intake (units, example value)</t>
  </si>
  <si>
    <t xml:space="preserve">Available units</t>
  </si>
  <si>
    <t xml:space="preserve">Implied sell-through</t>
  </si>
  <si>
    <t xml:space="preserve">Closing stock (units)</t>
  </si>
  <si>
    <t xml:space="preserve">Weekly demand, next period</t>
  </si>
  <si>
    <t xml:space="preserve">Weeks cover at close</t>
  </si>
  <si>
    <t xml:space="preserve">Flag</t>
  </si>
  <si>
    <t xml:space="preserve">Sales at risk (£)</t>
  </si>
  <si>
    <t xml:space="preserve">Periods flagged</t>
  </si>
  <si>
    <t xml:space="preserve">First flagged period</t>
  </si>
  <si>
    <t xml:space="preserve">Net sales per unit sold, net of returns (used to value the risk)</t>
  </si>
  <si>
    <t xml:space="preserve">Enter units for the stock pool online can sell from. If stores share the pool, enter the share online can realistically reach, not the whole warehouse.</t>
  </si>
  <si>
    <t xml:space="preserve">Short means the plan sells stock you will not have: the sales budget is not deliverable as written. Tight means availability, and so conversion, is at risk.</t>
  </si>
  <si>
    <t xml:space="preserve">Sales at risk: for Short periods, the units the plan sells but you will not have; for thin cover, the units needed to restore minimum cover. Valued at net sales per unit. An exposure, not a forecast.</t>
  </si>
  <si>
    <t xml:space="preserve">This is a high-level feasibility check on total units. It is not a merchandise plan: a shortfall in a hero line can hide inside a healthy total.</t>
  </si>
  <si>
    <t xml:space="preserve">Top down versus bottom up</t>
  </si>
  <si>
    <t xml:space="preserve">A budget allocates spend. A plan explains how the business delivers the number. This sheet shows the gap between the two and what you would have to believe to close it.</t>
  </si>
  <si>
    <t xml:space="preserve">The three numbers</t>
  </si>
  <si>
    <t xml:space="preserve">Board target: net sales</t>
  </si>
  <si>
    <t xml:space="preserve">Bottom-up net sales (active scenario)</t>
  </si>
  <si>
    <t xml:space="preserve">Gap: board target less bottom up</t>
  </si>
  <si>
    <t xml:space="preserve">Gap as % of bottom up</t>
  </si>
  <si>
    <t xml:space="preserve">Gap: market-implied less bottom up</t>
  </si>
  <si>
    <t xml:space="preserve">What you would have to believe to close the gap to the board target</t>
  </si>
  <si>
    <t xml:space="preserve">Each lever on its own, everything else held at plan. Where the gap is zero or negative, no change is required.</t>
  </si>
  <si>
    <t xml:space="preserve">Read it as</t>
  </si>
  <si>
    <t xml:space="preserve">Relative uplift on every week's conversion rate</t>
  </si>
  <si>
    <t xml:space="preserve">Relative uplift on basket value, with no loss of conversion</t>
  </si>
  <si>
    <t xml:space="preserve">Total sessions</t>
  </si>
  <si>
    <t xml:space="preserve">Extra traffic at plan conversion and plan basket</t>
  </si>
  <si>
    <t xml:space="preserve">Points off the returns rate, demand unchanged</t>
  </si>
  <si>
    <t xml:space="preserve">Media spend (indicative floor)</t>
  </si>
  <si>
    <t xml:space="preserve">Extra sessions bought at plan average cost per paid session. Diminishing returns mean the real cost is higher</t>
  </si>
  <si>
    <t xml:space="preserve">How to use this sheet</t>
  </si>
  <si>
    <t xml:space="preserve">If no single lever is defensible in front of the board, the target is either a stretch that needs funding or a number that needs renegotiating.</t>
  </si>
  <si>
    <t xml:space="preserve">Most gaps get closed with an optimistic conversion assumption. Name the gap instead, then decide whether to fund it, phase it or move the target.</t>
  </si>
  <si>
    <t xml:space="preserve">Combine levers by editing the Assumptions sheet and watching the gap move. That is the conversation worth having, line by line.</t>
  </si>
  <si>
    <t xml:space="preserve">Scenarios, sensitivities and trigger points</t>
  </si>
  <si>
    <t xml:space="preserve">All three scenarios calculate at once. The sensitivity table shows what one unit of each lever is worth on the active scenario; its workings sit in the helper block below it.</t>
  </si>
  <si>
    <t xml:space="preserve">Scenario comparison</t>
  </si>
  <si>
    <t xml:space="preserve">Upside and Downside differ in media budgets as well as trading assumptions, so Upside represents funded growth</t>
  </si>
  <si>
    <t xml:space="preserve">Scenario levers</t>
  </si>
  <si>
    <t xml:space="preserve">Helper block: the workings behind the sensitivities (active scenario)</t>
  </si>
  <si>
    <t xml:space="preserve">AOV</t>
  </si>
  <si>
    <t xml:space="preserve">Average discount depth (discount / full-price value)</t>
  </si>
  <si>
    <t xml:space="preserve">Cost ratio on full-price value (1 - intake margin)</t>
  </si>
  <si>
    <t xml:space="preserve">Value-based variable costs (carriage in, payment, affiliate, fraud)</t>
  </si>
  <si>
    <t xml:space="preserve">Non-paid share of sessions</t>
  </si>
  <si>
    <t xml:space="preserve">Paid search share of sessions</t>
  </si>
  <si>
    <t xml:space="preserve">Paid social share of sessions</t>
  </si>
  <si>
    <t xml:space="preserve">Display share of sessions</t>
  </si>
  <si>
    <t xml:space="preserve">Session uplift from +10% media</t>
  </si>
  <si>
    <t xml:space="preserve">Cost of goods per £1 of returns (at cost, net of write-off, incl. carriage in)</t>
  </si>
  <si>
    <t xml:space="preserve">Returns handling cost per £1 of returns</t>
  </si>
  <si>
    <t xml:space="preserve">Sensitivities on the active scenario</t>
  </si>
  <si>
    <t xml:space="preserve">Net sales impact (£)</t>
  </si>
  <si>
    <t xml:space="preserve">Contribution after marketing impact (£)</t>
  </si>
  <si>
    <t xml:space="preserve">+1% relative</t>
  </si>
  <si>
    <t xml:space="preserve">Exact: every volume moves 1%, media held</t>
  </si>
  <si>
    <t xml:space="preserve">Exact: value-based costs move, per-order costs do not</t>
  </si>
  <si>
    <t xml:space="preserve">Non-paid sessions (organic, email, affiliates)</t>
  </si>
  <si>
    <t xml:space="preserve">+1%</t>
  </si>
  <si>
    <t xml:space="preserve">Approximate: assumes average conversion and basket</t>
  </si>
  <si>
    <t xml:space="preserve">+1 point</t>
  </si>
  <si>
    <t xml:space="preserve">Approximate: uses the full-year average discount depth</t>
  </si>
  <si>
    <t xml:space="preserve">Mechanical margin effect only. Behavioural effects (conversion, mix, pull-forward) are not modelled</t>
  </si>
  <si>
    <t xml:space="preserve">Media budget, all paid channels</t>
  </si>
  <si>
    <t xml:space="preserve">+10%</t>
  </si>
  <si>
    <t xml:space="preserve">Approximate: applies each channel's diminishing returns exponent</t>
  </si>
  <si>
    <t xml:space="preserve">Trigger points: when to change course</t>
  </si>
  <si>
    <t xml:space="preserve">Examples only. Set your own thresholds; they depend on your category, season and risk appetite.</t>
  </si>
  <si>
    <t xml:space="preserve">Signal</t>
  </si>
  <si>
    <t xml:space="preserve">Trigger (example)</t>
  </si>
  <si>
    <t xml:space="preserve">Action (example)</t>
  </si>
  <si>
    <t xml:space="preserve">4-week rolling vs plan</t>
  </si>
  <si>
    <t xml:space="preserve">Below the downside assumption for 3 consecutive weeks</t>
  </si>
  <si>
    <t xml:space="preserve">Move media to the downside plan. Check availability and site performance before blaming traffic</t>
  </si>
  <si>
    <t xml:space="preserve">2 points above plan for 4 weeks</t>
  </si>
  <si>
    <t xml:space="preserve">Review returns reasons and size guidance by category</t>
  </si>
  <si>
    <t xml:space="preserve">Media cost per session</t>
  </si>
  <si>
    <t xml:space="preserve">Weekly vs plan</t>
  </si>
  <si>
    <t xml:space="preserve">15% above plan for 3 weeks</t>
  </si>
  <si>
    <t xml:space="preserve">Cut the lowest-margin campaigns and rebalance the phasing</t>
  </si>
  <si>
    <t xml:space="preserve">Cumulative vs plan at period end</t>
  </si>
  <si>
    <t xml:space="preserve">5% ahead at the end of Q1</t>
  </si>
  <si>
    <t xml:space="preserve">Release upside media budget, after checking stock cover on best sellers</t>
  </si>
  <si>
    <t xml:space="preserve">Weekly, full-price weeks</t>
  </si>
  <si>
    <t xml:space="preserve">3 points above plan in a full-price period</t>
  </si>
  <si>
    <t xml:space="preserve">Trading review: stock position and promotion approval</t>
  </si>
  <si>
    <t xml:space="preserve">Upside: trading assumptions alone (Base media)</t>
  </si>
  <si>
    <t xml:space="preserve">Upside: media change (on Upside trading)</t>
  </si>
  <si>
    <t xml:space="preserve">Upside: total</t>
  </si>
  <si>
    <t xml:space="preserve">Downside: trading assumptions alone (Base media)</t>
  </si>
  <si>
    <t xml:space="preserve">Downside: media change (on Downside trading)</t>
  </si>
  <si>
    <t xml:space="preserve">Downside: total</t>
  </si>
  <si>
    <t xml:space="preserve">Contribution after marketing is already net of media, so the last column is what each extra pound of media adds to contribution. Below zero, the extra spend buys sales at a loss.</t>
  </si>
  <si>
    <t xml:space="preserve">Budget versus actual, weekly, with variance bridge</t>
  </si>
  <si>
    <t xml:space="preserve">Type actuals into the shaded columns as each week closes. The bridge splits the sales variance into traffic, conversion, basket and returns, so a miss is not blamed on marketing by default.</t>
  </si>
  <si>
    <t xml:space="preserve">Budget net sales (£)</t>
  </si>
  <si>
    <t xml:space="preserve">Actual net sales (£)</t>
  </si>
  <si>
    <t xml:space="preserve">Variance (£)</t>
  </si>
  <si>
    <t xml:space="preserve">Variance %</t>
  </si>
  <si>
    <t xml:space="preserve">Budget sessions</t>
  </si>
  <si>
    <t xml:space="preserve">Actual sessions</t>
  </si>
  <si>
    <t xml:space="preserve">Budget conversion</t>
  </si>
  <si>
    <t xml:space="preserve">Actual conversion</t>
  </si>
  <si>
    <t xml:space="preserve">Budget AOV (£)</t>
  </si>
  <si>
    <t xml:space="preserve">Actual AOV (£)</t>
  </si>
  <si>
    <t xml:space="preserve">Budget returns rate</t>
  </si>
  <si>
    <t xml:space="preserve">Actual returns rate</t>
  </si>
  <si>
    <t xml:space="preserve">Traffic effect (£)</t>
  </si>
  <si>
    <t xml:space="preserve">Conversion effect (£)</t>
  </si>
  <si>
    <t xml:space="preserve">Basket effect (£)</t>
  </si>
  <si>
    <t xml:space="preserve">Returns effect (£)</t>
  </si>
  <si>
    <t xml:space="preserve">Unexplained (£)</t>
  </si>
  <si>
    <t xml:space="preserve">Budget media (£)</t>
  </si>
  <si>
    <t xml:space="preserve">Actual media (£)</t>
  </si>
  <si>
    <t xml:space="preserve">Budget contribution after marketing (£)</t>
  </si>
  <si>
    <t xml:space="preserve">Actual contribution after marketing (£)</t>
  </si>
  <si>
    <t xml:space="preserve">Cause</t>
  </si>
  <si>
    <t xml:space="preserve">Corrective action</t>
  </si>
  <si>
    <t xml:space="preserve">Expected value of action (£)</t>
  </si>
  <si>
    <t xml:space="preserve">Year to date</t>
  </si>
  <si>
    <t xml:space="preserve">Weeks with actuals</t>
  </si>
  <si>
    <t xml:space="preserve">Budget to date</t>
  </si>
  <si>
    <t xml:space="preserve">Actual to date</t>
  </si>
  <si>
    <t xml:space="preserve">Variance to date</t>
  </si>
  <si>
    <t xml:space="preserve">of which traffic</t>
  </si>
  <si>
    <t xml:space="preserve">of which conversion</t>
  </si>
  <si>
    <t xml:space="preserve">of which basket</t>
  </si>
  <si>
    <t xml:space="preserve">of which returns</t>
  </si>
  <si>
    <t xml:space="preserve">Unexplained (should be close to zero)</t>
  </si>
  <si>
    <t xml:space="preserve">Full-year budget</t>
  </si>
  <si>
    <t xml:space="preserve">Run-rate reforecast</t>
  </si>
  <si>
    <t xml:space="preserve">The reforecast is a simple extrapolation: it scales the remaining budget by performance to date and does not understand seasonality or the drivers of a variance. Use it to start a conversation, not to end one.</t>
  </si>
  <si>
    <t xml:space="preserve">The bridge needs all five actuals for a week (net sales, sessions, conversion, AOV, returns rate). A large unexplained figure means the actuals do not tie to each other.</t>
  </si>
  <si>
    <t xml:space="preserve">Back test: would this method have forecast last year?</t>
  </si>
  <si>
    <t xml:space="preserve">Evidence note</t>
  </si>
  <si>
    <t xml:space="preserve">Builds Y-1 from Y-2, Y-3 and Y-4 using the same method as the budget, then compares it with what actually happened, alongside the common shortcut of a compound growth rate.</t>
  </si>
  <si>
    <t xml:space="preserve">Session growth you would have assumed for Y-1</t>
  </si>
  <si>
    <t xml:space="preserve">Example: the growth used in last year's signed-off budget</t>
  </si>
  <si>
    <t xml:space="preserve">Illustrative: the history in this template is fictional, so the result below proves the mechanics, not the method. Run it on your own four years before you trust either approach.</t>
  </si>
  <si>
    <t xml:space="preserve">Conversion change you would have assumed</t>
  </si>
  <si>
    <t xml:space="preserve">Example: no change assumed. Use what the budget actually said</t>
  </si>
  <si>
    <t xml:space="preserve">AOV change you would have assumed</t>
  </si>
  <si>
    <t xml:space="preserve">Session index (weighted)</t>
  </si>
  <si>
    <t xml:space="preserve">Forecast sessions</t>
  </si>
  <si>
    <t xml:space="preserve">Forecast conversion</t>
  </si>
  <si>
    <t xml:space="preserve">Forecast AOV (£)</t>
  </si>
  <si>
    <t xml:space="preserve">Forecast returns rate</t>
  </si>
  <si>
    <t xml:space="preserve">Method forecast: net sales (£)</t>
  </si>
  <si>
    <t xml:space="preserve">Actual net sales Y-1 (£)</t>
  </si>
  <si>
    <t xml:space="preserve">Method error</t>
  </si>
  <si>
    <t xml:space="preserve">CAGR forecast: net sales (£)</t>
  </si>
  <si>
    <t xml:space="preserve">CAGR error</t>
  </si>
  <si>
    <t xml:space="preserve">Week flagged in Y-1?</t>
  </si>
  <si>
    <t xml:space="preserve">Raw index</t>
  </si>
  <si>
    <t xml:space="preserve">Weighted rolling average (this model)</t>
  </si>
  <si>
    <t xml:space="preserve">Compound growth rate (CAGR)</t>
  </si>
  <si>
    <t xml:space="preserve">CAGR used (Y-4 to Y-2, annualised)</t>
  </si>
  <si>
    <t xml:space="preserve">Full-year error vs actual Y-1</t>
  </si>
  <si>
    <t xml:space="preserve">Average weekly error, all weeks (absolute)</t>
  </si>
  <si>
    <t xml:space="preserve">Average weekly error, unflagged weeks only</t>
  </si>
  <si>
    <t xml:space="preserve">Weeks where this method was closer</t>
  </si>
  <si>
    <t xml:space="preserve">Weekly accuracy matters more than the annual total: a budget that lands on the year but misses the shape of peak still misallocates stock, staff and media.</t>
  </si>
  <si>
    <t xml:space="preserve">A weighted rolling average lags a steady trend in conversion or AOV. If your rates have trended for years, set the changes you would have assumed in L3 and L4, exactly as the budget does on the Assumptions sheet. A compound growth rate does well on smooth history and badly on anomalies, moved events and changes of mix.</t>
  </si>
  <si>
    <t xml:space="preserve">Scenario engine: Base</t>
  </si>
  <si>
    <t xml:space="preserve">Hidden calculation sheet. Runs the full weekly build on this scenario's assumptions so all three scenarios can be compared at once.</t>
  </si>
  <si>
    <t xml:space="preserve">PS spend</t>
  </si>
  <si>
    <t xml:space="preserve">Social spend</t>
  </si>
  <si>
    <t xml:space="preserve">Display spend</t>
  </si>
  <si>
    <t xml:space="preserve">Non-paid sessions</t>
  </si>
  <si>
    <t xml:space="preserve">Affiliate sessions</t>
  </si>
  <si>
    <t xml:space="preserve">Media</t>
  </si>
  <si>
    <t xml:space="preserve">Scenario engine: Upside</t>
  </si>
  <si>
    <t xml:space="preserve">Scenario engine: Downside</t>
  </si>
  <si>
    <t xml:space="preserve">Scenario engine: Upside Trading</t>
  </si>
  <si>
    <t xml:space="preserve">Scenario engine: Downside Trading</t>
  </si>
</sst>
</file>

<file path=xl/styles.xml><?xml version="1.0" encoding="utf-8"?>
<styleSheet xmlns="http://schemas.openxmlformats.org/spreadsheetml/2006/main">
  <numFmts count="13">
    <numFmt numFmtId="164" formatCode="General"/>
    <numFmt numFmtId="165" formatCode="\£#,##0;&quot;(£&quot;#,##0\);\-"/>
    <numFmt numFmtId="166" formatCode="#,##0;\(#,##0\);\-"/>
    <numFmt numFmtId="167" formatCode="0.0%;\(0.0%\);\-"/>
    <numFmt numFmtId="168" formatCode="\£#,##0.00;&quot;(£&quot;#,##0.00\);\-"/>
    <numFmt numFmtId="169" formatCode="0.00%;\(0.00%\);\-"/>
    <numFmt numFmtId="170" formatCode="\+0.0%;\-0.0%;\-"/>
    <numFmt numFmtId="171" formatCode="dd\ mmm\ yyyy"/>
    <numFmt numFmtId="172" formatCode="0"/>
    <numFmt numFmtId="173" formatCode="0.00;\(0.00\);\-"/>
    <numFmt numFmtId="174" formatCode="dd\ mmm\ yy"/>
    <numFmt numFmtId="175" formatCode="0.00\x;\(0.00&quot;x)&quot;;\-"/>
    <numFmt numFmtId="176" formatCode="\+0.00\x;\-0.00\x;\-"/>
  </numFmts>
  <fonts count="30">
    <font>
      <sz val="11"/>
      <color theme="1"/>
      <name val="Calibri"/>
      <family val="2"/>
      <charset val="1"/>
    </font>
    <font>
      <sz val="10"/>
      <name val="Arial"/>
      <family val="0"/>
    </font>
    <font>
      <sz val="10"/>
      <name val="Arial"/>
      <family val="0"/>
    </font>
    <font>
      <sz val="10"/>
      <name val="Arial"/>
      <family val="0"/>
    </font>
    <font>
      <b val="true"/>
      <sz val="14"/>
      <color rgb="FF002147"/>
      <name val="Arial"/>
      <family val="0"/>
      <charset val="1"/>
    </font>
    <font>
      <i val="true"/>
      <sz val="9"/>
      <color rgb="FF4A4A4A"/>
      <name val="Arial"/>
      <family val="0"/>
      <charset val="1"/>
    </font>
    <font>
      <b val="true"/>
      <sz val="11"/>
      <color rgb="FF002147"/>
      <name val="Arial"/>
      <family val="0"/>
      <charset val="1"/>
    </font>
    <font>
      <sz val="10"/>
      <color rgb="FF222222"/>
      <name val="Arial"/>
      <family val="0"/>
      <charset val="1"/>
    </font>
    <font>
      <sz val="10"/>
      <color rgb="FF0000FF"/>
      <name val="Arial"/>
      <family val="0"/>
      <charset val="1"/>
    </font>
    <font>
      <sz val="10"/>
      <color rgb="FF008000"/>
      <name val="Arial"/>
      <family val="0"/>
      <charset val="1"/>
    </font>
    <font>
      <b val="true"/>
      <sz val="10"/>
      <color rgb="FF002147"/>
      <name val="Arial"/>
      <family val="0"/>
      <charset val="1"/>
    </font>
    <font>
      <i val="true"/>
      <sz val="10"/>
      <color rgb="FF002147"/>
      <name val="Arial"/>
      <family val="0"/>
      <charset val="1"/>
    </font>
    <font>
      <sz val="9"/>
      <color rgb="FF4A4A4A"/>
      <name val="Arial"/>
      <family val="0"/>
      <charset val="1"/>
    </font>
    <font>
      <sz val="8"/>
      <color rgb="FF4A4A4A"/>
      <name val="Arial"/>
      <family val="0"/>
      <charset val="1"/>
    </font>
    <font>
      <sz val="11"/>
      <color rgb="FF222222"/>
      <name val="Arial"/>
      <family val="0"/>
      <charset val="1"/>
    </font>
    <font>
      <sz val="11"/>
      <color rgb="FF008000"/>
      <name val="Arial"/>
      <family val="0"/>
      <charset val="1"/>
    </font>
    <font>
      <b val="true"/>
      <sz val="9"/>
      <color rgb="FFFDFCF9"/>
      <name val="Arial"/>
      <family val="0"/>
      <charset val="1"/>
    </font>
    <font>
      <sz val="11"/>
      <color rgb="FF000000"/>
      <name val="Arial"/>
      <family val="0"/>
      <charset val="1"/>
    </font>
    <font>
      <b val="true"/>
      <sz val="9"/>
      <color rgb="FF008000"/>
      <name val="Arial"/>
      <family val="0"/>
      <charset val="1"/>
    </font>
    <font>
      <sz val="9"/>
      <color rgb="FF0000FF"/>
      <name val="Arial"/>
      <family val="0"/>
      <charset val="1"/>
    </font>
    <font>
      <b val="true"/>
      <sz val="14"/>
      <color rgb="FFC69214"/>
      <name val="Arial"/>
      <family val="0"/>
      <charset val="1"/>
    </font>
    <font>
      <b val="true"/>
      <sz val="9"/>
      <color rgb="FF222222"/>
      <name val="Arial"/>
      <family val="0"/>
      <charset val="1"/>
    </font>
    <font>
      <b val="true"/>
      <sz val="9"/>
      <name val="Arial"/>
      <family val="0"/>
      <charset val="1"/>
    </font>
    <font>
      <b val="true"/>
      <sz val="9"/>
      <color rgb="FF000000"/>
      <name val="Arial"/>
      <family val="0"/>
      <charset val="1"/>
    </font>
    <font>
      <b val="true"/>
      <sz val="10"/>
      <name val="Arial"/>
      <family val="0"/>
      <charset val="1"/>
    </font>
    <font>
      <b val="true"/>
      <sz val="10"/>
      <color rgb="FF222222"/>
      <name val="Arial"/>
      <family val="0"/>
      <charset val="1"/>
    </font>
    <font>
      <b val="true"/>
      <sz val="10"/>
      <color rgb="FF000000"/>
      <name val="Arial"/>
      <family val="0"/>
      <charset val="1"/>
    </font>
    <font>
      <b val="true"/>
      <sz val="10"/>
      <color rgb="FF008000"/>
      <name val="Arial"/>
      <family val="0"/>
      <charset val="1"/>
    </font>
    <font>
      <b val="true"/>
      <sz val="9"/>
      <color rgb="FF002147"/>
      <name val="Arial"/>
      <family val="0"/>
      <charset val="1"/>
    </font>
    <font>
      <i val="true"/>
      <sz val="9"/>
      <color rgb="FFC69214"/>
      <name val="Arial"/>
      <family val="0"/>
      <charset val="1"/>
    </font>
  </fonts>
  <fills count="6">
    <fill>
      <patternFill patternType="none"/>
    </fill>
    <fill>
      <patternFill patternType="gray125"/>
    </fill>
    <fill>
      <patternFill patternType="solid">
        <fgColor rgb="FFFFF4D6"/>
        <bgColor rgb="FFF2F2F2"/>
      </patternFill>
    </fill>
    <fill>
      <patternFill patternType="solid">
        <fgColor rgb="FFE6E9EE"/>
        <bgColor rgb="FFF2F2F2"/>
      </patternFill>
    </fill>
    <fill>
      <patternFill patternType="solid">
        <fgColor rgb="FF002147"/>
        <bgColor rgb="FF222222"/>
      </patternFill>
    </fill>
    <fill>
      <patternFill patternType="solid">
        <fgColor rgb="FFF2F2F2"/>
        <bgColor rgb="FFE6E9EE"/>
      </patternFill>
    </fill>
  </fills>
  <borders count="2">
    <border diagonalUp="false" diagonalDown="false">
      <left/>
      <right/>
      <top/>
      <bottom/>
      <diagonal/>
    </border>
    <border diagonalUp="false" diagonalDown="false">
      <left/>
      <right/>
      <top style="thin">
        <color rgb="FFBFBFBF"/>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15" fillId="0" borderId="0" xfId="0" applyFont="true" applyBorder="true" applyAlignment="true" applyProtection="false">
      <alignment horizontal="general" vertical="top" textRotation="0" wrapText="tru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16" fillId="4" borderId="0" xfId="0" applyFont="true" applyBorder="false" applyAlignment="true" applyProtection="false">
      <alignment horizontal="center" vertical="center" textRotation="0" wrapText="true" indent="0" shrinkToFit="false"/>
      <protection locked="true" hidden="false"/>
    </xf>
    <xf numFmtId="165" fontId="15" fillId="0" borderId="0" xfId="0" applyFont="true" applyBorder="false" applyAlignment="false" applyProtection="false">
      <alignment horizontal="general" vertical="bottom" textRotation="0" wrapText="false" indent="0" shrinkToFit="false"/>
      <protection locked="true" hidden="false"/>
    </xf>
    <xf numFmtId="166" fontId="15" fillId="0" borderId="0" xfId="0" applyFont="true" applyBorder="false" applyAlignment="false" applyProtection="false">
      <alignment horizontal="general" vertical="bottom" textRotation="0" wrapText="false" indent="0" shrinkToFit="false"/>
      <protection locked="true" hidden="false"/>
    </xf>
    <xf numFmtId="167" fontId="17" fillId="0" borderId="0" xfId="0" applyFont="true" applyBorder="false" applyAlignment="false" applyProtection="false">
      <alignment horizontal="general" vertical="bottom" textRotation="0" wrapText="false" indent="0" shrinkToFit="false"/>
      <protection locked="true" hidden="false"/>
    </xf>
    <xf numFmtId="168" fontId="15" fillId="0"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5" fontId="18" fillId="0" borderId="0" xfId="0" applyFont="true" applyBorder="false" applyAlignment="false" applyProtection="false">
      <alignment horizontal="general" vertical="bottom" textRotation="0" wrapText="false" indent="0" shrinkToFit="false"/>
      <protection locked="true" hidden="false"/>
    </xf>
    <xf numFmtId="168" fontId="18" fillId="0" borderId="0" xfId="0" applyFont="true" applyBorder="false" applyAlignment="false" applyProtection="false">
      <alignment horizontal="general" vertical="bottom" textRotation="0" wrapText="false" indent="0" shrinkToFit="false"/>
      <protection locked="true" hidden="false"/>
    </xf>
    <xf numFmtId="164" fontId="19" fillId="2" borderId="0" xfId="0" applyFont="true" applyBorder="false" applyAlignment="false" applyProtection="true">
      <alignment horizontal="general" vertical="bottom" textRotation="0" wrapText="false" indent="0" shrinkToFit="false"/>
      <protection locked="false" hidden="false"/>
    </xf>
    <xf numFmtId="164" fontId="19" fillId="2" borderId="0" xfId="0" applyFont="true" applyBorder="true" applyAlignment="true" applyProtection="true">
      <alignment horizontal="general" vertical="top" textRotation="0" wrapText="true" indent="0" shrinkToFit="false"/>
      <protection locked="false" hidden="false"/>
    </xf>
    <xf numFmtId="169" fontId="15" fillId="0" borderId="0" xfId="0" applyFont="true" applyBorder="false" applyAlignment="false" applyProtection="false">
      <alignment horizontal="general" vertical="bottom" textRotation="0" wrapText="false" indent="0" shrinkToFit="false"/>
      <protection locked="true" hidden="false"/>
    </xf>
    <xf numFmtId="170" fontId="15" fillId="0" borderId="0" xfId="0" applyFont="true" applyBorder="false" applyAlignment="false" applyProtection="false">
      <alignment horizontal="general" vertical="bottom" textRotation="0" wrapText="false" indent="0" shrinkToFit="false"/>
      <protection locked="true" hidden="false"/>
    </xf>
    <xf numFmtId="167" fontId="15" fillId="0" borderId="0" xfId="0" applyFont="true" applyBorder="false" applyAlignment="false" applyProtection="false">
      <alignment horizontal="general" vertical="bottom" textRotation="0" wrapText="false" indent="0" shrinkToFit="false"/>
      <protection locked="true" hidden="false"/>
    </xf>
    <xf numFmtId="164" fontId="19" fillId="2" borderId="0" xfId="0" applyFont="true" applyBorder="true" applyAlignment="false" applyProtection="true">
      <alignment horizontal="general" vertical="bottom" textRotation="0" wrapText="false" indent="0" shrinkToFit="false"/>
      <protection locked="false" hidden="false"/>
    </xf>
    <xf numFmtId="171" fontId="0" fillId="0" borderId="0" xfId="0" applyFont="false" applyBorder="false" applyAlignment="false" applyProtection="true">
      <alignment horizontal="general" vertical="bottom" textRotation="0" wrapText="false" indent="0" shrinkToFit="false"/>
      <protection locked="fals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72" fontId="15" fillId="0" borderId="0" xfId="0" applyFont="true" applyBorder="false" applyAlignment="false" applyProtection="false">
      <alignment horizontal="general" vertical="bottom" textRotation="0" wrapText="false" indent="0" shrinkToFit="false"/>
      <protection locked="true" hidden="false"/>
    </xf>
    <xf numFmtId="173" fontId="15"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false" applyProtection="true">
      <alignment horizontal="general" vertical="bottom" textRotation="0" wrapText="false" indent="0" shrinkToFit="false"/>
      <protection locked="false" hidden="false"/>
    </xf>
    <xf numFmtId="167" fontId="14" fillId="0" borderId="0" xfId="0" applyFont="true" applyBorder="false" applyAlignment="false" applyProtection="false">
      <alignment horizontal="general" vertical="bottom" textRotation="0" wrapText="false" indent="0" shrinkToFit="false"/>
      <protection locked="true" hidden="false"/>
    </xf>
    <xf numFmtId="165" fontId="14" fillId="0" borderId="0" xfId="0" applyFont="true" applyBorder="false" applyAlignment="false" applyProtection="false">
      <alignment horizontal="general" vertical="bottom" textRotation="0" wrapText="false" indent="0" shrinkToFit="false"/>
      <protection locked="true" hidden="false"/>
    </xf>
    <xf numFmtId="173" fontId="14" fillId="0" borderId="0" xfId="0" applyFont="true" applyBorder="false" applyAlignment="false" applyProtection="false">
      <alignment horizontal="general" vertical="bottom" textRotation="0" wrapText="false" indent="0" shrinkToFit="false"/>
      <protection locked="true" hidden="false"/>
    </xf>
    <xf numFmtId="168" fontId="14" fillId="0" borderId="0" xfId="0" applyFont="true" applyBorder="false" applyAlignment="false" applyProtection="false">
      <alignment horizontal="general" vertical="bottom" textRotation="0" wrapText="false" indent="0" shrinkToFit="false"/>
      <protection locked="true" hidden="false"/>
    </xf>
    <xf numFmtId="171" fontId="19" fillId="2" borderId="0" xfId="0" applyFont="true" applyBorder="false" applyAlignment="false" applyProtection="true">
      <alignment horizontal="general" vertical="bottom" textRotation="0" wrapText="false" indent="0" shrinkToFit="false"/>
      <protection locked="false" hidden="false"/>
    </xf>
    <xf numFmtId="167" fontId="19" fillId="2" borderId="0" xfId="0" applyFont="true" applyBorder="false" applyAlignment="false" applyProtection="true">
      <alignment horizontal="general" vertical="bottom" textRotation="0" wrapText="false" indent="0" shrinkToFit="false"/>
      <protection locked="false" hidden="false"/>
    </xf>
    <xf numFmtId="172" fontId="17" fillId="0" borderId="0" xfId="0" applyFont="true" applyBorder="false" applyAlignment="false" applyProtection="false">
      <alignment horizontal="general" vertical="bottom" textRotation="0" wrapText="false" indent="0" shrinkToFit="false"/>
      <protection locked="true" hidden="false"/>
    </xf>
    <xf numFmtId="165" fontId="19" fillId="2" borderId="0" xfId="0" applyFont="true" applyBorder="false" applyAlignment="false" applyProtection="true">
      <alignment horizontal="general" vertical="bottom" textRotation="0" wrapText="false" indent="0" shrinkToFit="false"/>
      <protection locked="false" hidden="false"/>
    </xf>
    <xf numFmtId="173" fontId="19" fillId="2" borderId="0" xfId="0" applyFont="true" applyBorder="false" applyAlignment="false" applyProtection="true">
      <alignment horizontal="general" vertical="bottom" textRotation="0" wrapText="false" indent="0" shrinkToFit="false"/>
      <protection locked="false" hidden="false"/>
    </xf>
    <xf numFmtId="168" fontId="19" fillId="2" borderId="0" xfId="0" applyFont="true" applyBorder="false" applyAlignment="false" applyProtection="true">
      <alignment horizontal="general" vertical="bottom" textRotation="0" wrapText="false" indent="0" shrinkToFit="false"/>
      <protection locked="false" hidden="false"/>
    </xf>
    <xf numFmtId="169" fontId="19" fillId="2" borderId="0" xfId="0" applyFont="true" applyBorder="false" applyAlignment="false" applyProtection="true">
      <alignment horizontal="general" vertical="bottom" textRotation="0" wrapText="false" indent="0" shrinkToFit="false"/>
      <protection locked="false" hidden="false"/>
    </xf>
    <xf numFmtId="165" fontId="17" fillId="0" borderId="0" xfId="0" applyFont="true" applyBorder="false" applyAlignment="false" applyProtection="false">
      <alignment horizontal="general" vertical="bottom" textRotation="0" wrapText="false" indent="0" shrinkToFit="false"/>
      <protection locked="true" hidden="false"/>
    </xf>
    <xf numFmtId="174" fontId="15" fillId="0" borderId="0" xfId="0" applyFont="true" applyBorder="false" applyAlignment="false" applyProtection="false">
      <alignment horizontal="general" vertical="bottom" textRotation="0" wrapText="false" indent="0" shrinkToFit="false"/>
      <protection locked="true" hidden="false"/>
    </xf>
    <xf numFmtId="174" fontId="17" fillId="0" borderId="0" xfId="0" applyFont="true" applyBorder="false" applyAlignment="false" applyProtection="false">
      <alignment horizontal="general" vertical="bottom" textRotation="0" wrapText="fals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false" applyProtection="true">
      <alignment horizontal="general" vertical="bottom" textRotation="0" wrapText="false" indent="0" shrinkToFit="false"/>
      <protection locked="false" hidden="false"/>
    </xf>
    <xf numFmtId="166" fontId="19" fillId="0" borderId="0" xfId="0" applyFont="true" applyBorder="false" applyAlignment="false" applyProtection="true">
      <alignment horizontal="general" vertical="bottom" textRotation="0" wrapText="false" indent="0" shrinkToFit="false"/>
      <protection locked="false" hidden="false"/>
    </xf>
    <xf numFmtId="166" fontId="17" fillId="0" borderId="0" xfId="0" applyFont="true" applyBorder="false" applyAlignment="false" applyProtection="false">
      <alignment horizontal="general" vertical="bottom" textRotation="0" wrapText="false" indent="0" shrinkToFit="false"/>
      <protection locked="true" hidden="false"/>
    </xf>
    <xf numFmtId="165" fontId="19" fillId="0" borderId="0" xfId="0" applyFont="true" applyBorder="false" applyAlignment="false" applyProtection="true">
      <alignment horizontal="general" vertical="bottom" textRotation="0" wrapText="false" indent="0" shrinkToFit="false"/>
      <protection locked="false" hidden="false"/>
    </xf>
    <xf numFmtId="169" fontId="17" fillId="0" borderId="0" xfId="0" applyFont="true" applyBorder="false" applyAlignment="false" applyProtection="false">
      <alignment horizontal="general" vertical="bottom" textRotation="0" wrapText="false" indent="0" shrinkToFit="false"/>
      <protection locked="true" hidden="false"/>
    </xf>
    <xf numFmtId="168" fontId="17" fillId="0" borderId="0" xfId="0" applyFont="true" applyBorder="false" applyAlignment="false" applyProtection="false">
      <alignment horizontal="general" vertical="bottom" textRotation="0" wrapText="false" indent="0" shrinkToFit="false"/>
      <protection locked="true" hidden="false"/>
    </xf>
    <xf numFmtId="173" fontId="17" fillId="0" borderId="0" xfId="0" applyFont="true" applyBorder="false" applyAlignment="false" applyProtection="false">
      <alignment horizontal="general" vertical="bottom" textRotation="0" wrapText="false" indent="0" shrinkToFit="false"/>
      <protection locked="true" hidden="false"/>
    </xf>
    <xf numFmtId="164" fontId="21" fillId="5" borderId="0" xfId="0" applyFont="true" applyBorder="false" applyAlignment="false" applyProtection="false">
      <alignment horizontal="general" vertical="bottom" textRotation="0" wrapText="false" indent="0" shrinkToFit="false"/>
      <protection locked="true" hidden="false"/>
    </xf>
    <xf numFmtId="164" fontId="22" fillId="5" borderId="0" xfId="0" applyFont="true" applyBorder="false" applyAlignment="false" applyProtection="false">
      <alignment horizontal="general" vertical="bottom" textRotation="0" wrapText="false" indent="0" shrinkToFit="false"/>
      <protection locked="true" hidden="false"/>
    </xf>
    <xf numFmtId="166" fontId="23" fillId="5" borderId="0" xfId="0" applyFont="true" applyBorder="false" applyAlignment="false" applyProtection="false">
      <alignment horizontal="general" vertical="bottom" textRotation="0" wrapText="false" indent="0" shrinkToFit="false"/>
      <protection locked="true" hidden="false"/>
    </xf>
    <xf numFmtId="165" fontId="23" fillId="5" borderId="0" xfId="0" applyFont="true" applyBorder="false" applyAlignment="false" applyProtection="false">
      <alignment horizontal="general" vertical="bottom" textRotation="0" wrapText="false" indent="0" shrinkToFit="false"/>
      <protection locked="true" hidden="false"/>
    </xf>
    <xf numFmtId="169" fontId="23" fillId="5" borderId="0" xfId="0" applyFont="true" applyBorder="false" applyAlignment="false" applyProtection="false">
      <alignment horizontal="general" vertical="bottom" textRotation="0" wrapText="false" indent="0" shrinkToFit="false"/>
      <protection locked="true" hidden="false"/>
    </xf>
    <xf numFmtId="168" fontId="23" fillId="5" borderId="0" xfId="0" applyFont="true" applyBorder="false" applyAlignment="false" applyProtection="false">
      <alignment horizontal="general" vertical="bottom" textRotation="0" wrapText="false" indent="0" shrinkToFit="false"/>
      <protection locked="true" hidden="false"/>
    </xf>
    <xf numFmtId="173" fontId="23" fillId="5" borderId="0" xfId="0" applyFont="true" applyBorder="false" applyAlignment="false" applyProtection="false">
      <alignment horizontal="general" vertical="bottom" textRotation="0" wrapText="false" indent="0" shrinkToFit="false"/>
      <protection locked="true" hidden="false"/>
    </xf>
    <xf numFmtId="167" fontId="23" fillId="5" borderId="0" xfId="0" applyFont="true" applyBorder="false" applyAlignment="false" applyProtection="false">
      <alignment horizontal="general" vertical="bottom" textRotation="0" wrapText="false" indent="0" shrinkToFit="false"/>
      <protection locked="true" hidden="false"/>
    </xf>
    <xf numFmtId="169" fontId="22" fillId="5" borderId="0" xfId="0" applyFont="tru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true">
      <alignment horizontal="general" vertical="bottom" textRotation="0" wrapText="false" indent="0" shrinkToFit="false"/>
      <protection locked="false" hidden="false"/>
    </xf>
    <xf numFmtId="167" fontId="0" fillId="0" borderId="0" xfId="0" applyFont="false" applyBorder="false" applyAlignment="false" applyProtection="true">
      <alignment horizontal="general" vertical="bottom" textRotation="0" wrapText="false" indent="0" shrinkToFit="false"/>
      <protection locked="false" hidden="false"/>
    </xf>
    <xf numFmtId="164" fontId="24" fillId="5" borderId="0" xfId="0" applyFont="true" applyBorder="false" applyAlignment="false" applyProtection="false">
      <alignment horizontal="general" vertical="bottom" textRotation="0" wrapText="false" indent="0" shrinkToFit="false"/>
      <protection locked="true" hidden="false"/>
    </xf>
    <xf numFmtId="164" fontId="25" fillId="5" borderId="0" xfId="0" applyFont="true" applyBorder="false" applyAlignment="false" applyProtection="false">
      <alignment horizontal="general" vertical="bottom" textRotation="0" wrapText="false" indent="0" shrinkToFit="false"/>
      <protection locked="true" hidden="false"/>
    </xf>
    <xf numFmtId="165" fontId="26" fillId="5" borderId="0" xfId="0" applyFont="true" applyBorder="false" applyAlignment="false" applyProtection="false">
      <alignment horizontal="general" vertical="bottom" textRotation="0" wrapText="false" indent="0" shrinkToFit="false"/>
      <protection locked="true" hidden="false"/>
    </xf>
    <xf numFmtId="169" fontId="0" fillId="0" borderId="0" xfId="0" applyFont="false" applyBorder="false" applyAlignment="false" applyProtection="false">
      <alignment horizontal="general" vertical="bottom" textRotation="0" wrapText="false" indent="0" shrinkToFit="false"/>
      <protection locked="true" hidden="false"/>
    </xf>
    <xf numFmtId="165" fontId="22" fillId="5" borderId="0" xfId="0" applyFont="true" applyBorder="false" applyAlignment="false" applyProtection="false">
      <alignment horizontal="general" vertical="bottom" textRotation="0" wrapText="false" indent="0" shrinkToFit="false"/>
      <protection locked="true" hidden="false"/>
    </xf>
    <xf numFmtId="167" fontId="22" fillId="5" borderId="0" xfId="0" applyFont="true" applyBorder="false" applyAlignment="false" applyProtection="false">
      <alignment horizontal="general" vertical="bottom" textRotation="0" wrapText="false" indent="0" shrinkToFit="false"/>
      <protection locked="true" hidden="false"/>
    </xf>
    <xf numFmtId="170" fontId="17" fillId="0" borderId="0" xfId="0" applyFont="true" applyBorder="false" applyAlignment="false" applyProtection="false">
      <alignment horizontal="general" vertical="bottom" textRotation="0" wrapText="false" indent="0" shrinkToFit="false"/>
      <protection locked="true" hidden="false"/>
    </xf>
    <xf numFmtId="164" fontId="25" fillId="0" borderId="1" xfId="0" applyFont="true" applyBorder="true" applyAlignment="false" applyProtection="false">
      <alignment horizontal="general" vertical="bottom" textRotation="0" wrapText="false" indent="0" shrinkToFit="false"/>
      <protection locked="true" hidden="false"/>
    </xf>
    <xf numFmtId="165" fontId="27" fillId="0" borderId="1" xfId="0" applyFont="true" applyBorder="true" applyAlignment="false" applyProtection="false">
      <alignment horizontal="general" vertical="bottom" textRotation="0" wrapText="false" indent="0" shrinkToFit="false"/>
      <protection locked="true" hidden="false"/>
    </xf>
    <xf numFmtId="165" fontId="26" fillId="0" borderId="1" xfId="0" applyFont="true" applyBorder="true" applyAlignment="false" applyProtection="false">
      <alignment horizontal="general" vertical="bottom" textRotation="0" wrapText="false" indent="0" shrinkToFit="false"/>
      <protection locked="true" hidden="false"/>
    </xf>
    <xf numFmtId="167" fontId="26" fillId="0" borderId="1" xfId="0" applyFont="true" applyBorder="true" applyAlignment="false" applyProtection="false">
      <alignment horizontal="general" vertical="bottom" textRotation="0" wrapText="false" indent="0" shrinkToFit="false"/>
      <protection locked="true" hidden="false"/>
    </xf>
    <xf numFmtId="175" fontId="17" fillId="0" borderId="0" xfId="0" applyFont="true" applyBorder="false" applyAlignment="false" applyProtection="false">
      <alignment horizontal="general" vertical="bottom" textRotation="0" wrapText="false" indent="0" shrinkToFit="false"/>
      <protection locked="true" hidden="false"/>
    </xf>
    <xf numFmtId="176" fontId="17" fillId="0" borderId="0" xfId="0" applyFont="true" applyBorder="false" applyAlignment="false" applyProtection="false">
      <alignment horizontal="general" vertical="bottom" textRotation="0" wrapText="false" indent="0" shrinkToFit="false"/>
      <protection locked="true" hidden="false"/>
    </xf>
    <xf numFmtId="172" fontId="19" fillId="2" borderId="0" xfId="0" applyFont="true" applyBorder="false" applyAlignment="false" applyProtection="true">
      <alignment horizontal="general" vertical="bottom" textRotation="0" wrapText="false" indent="0" shrinkToFit="false"/>
      <protection locked="false" hidden="false"/>
    </xf>
    <xf numFmtId="166" fontId="19" fillId="2" borderId="0" xfId="0" applyFont="true" applyBorder="false" applyAlignment="false" applyProtection="true">
      <alignment horizontal="general" vertical="bottom" textRotation="0" wrapText="false" indent="0" shrinkToFit="false"/>
      <protection locked="fals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4" fontId="22" fillId="0" borderId="0" xfId="0" applyFont="tru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true">
      <alignment horizontal="general" vertical="bottom" textRotation="0" wrapText="false" indent="0" shrinkToFit="false"/>
      <protection locked="false" hidden="false"/>
    </xf>
    <xf numFmtId="169" fontId="0" fillId="0" borderId="0" xfId="0" applyFont="false" applyBorder="false" applyAlignment="false" applyProtection="true">
      <alignment horizontal="general" vertical="bottom" textRotation="0" wrapText="false" indent="0" shrinkToFit="false"/>
      <protection locked="false" hidden="false"/>
    </xf>
    <xf numFmtId="168" fontId="0" fillId="0" borderId="0" xfId="0" applyFont="false" applyBorder="false" applyAlignment="false" applyProtection="true">
      <alignment horizontal="general" vertical="bottom" textRotation="0" wrapText="false" indent="0" shrinkToFit="false"/>
      <protection locked="false" hidden="false"/>
    </xf>
    <xf numFmtId="164" fontId="28"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29" fillId="0" borderId="0" xfId="0" applyFont="true" applyBorder="false" applyAlignment="false" applyProtection="false">
      <alignment horizontal="general" vertical="bottom" textRotation="0" wrapText="false" indent="0" shrinkToFit="false"/>
      <protection locked="true" hidden="false"/>
    </xf>
    <xf numFmtId="168" fontId="22" fillId="5" borderId="0" xfId="0" applyFont="true" applyBorder="false" applyAlignment="false" applyProtection="false">
      <alignment horizontal="general" vertical="bottom" textRotation="0" wrapText="false" indent="0" shrinkToFit="false"/>
      <protection locked="true" hidden="false"/>
    </xf>
    <xf numFmtId="170" fontId="23" fillId="5"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b val="1"/>
        <color rgb="FF002147"/>
      </font>
      <fill>
        <patternFill>
          <bgColor rgb="FFE6E9EE"/>
        </patternFill>
      </fill>
    </dxf>
    <dxf>
      <font>
        <name val="Arial"/>
        <charset val="1"/>
        <family val="0"/>
        <b val="1"/>
        <color rgb="FF002147"/>
      </font>
      <fill>
        <patternFill>
          <bgColor rgb="FFF6E7C1"/>
        </patternFill>
      </fill>
    </dxf>
    <dxf>
      <font>
        <name val="Arial"/>
        <charset val="1"/>
        <family val="0"/>
        <b val="1"/>
        <color rgb="FFFFFFFF"/>
      </font>
      <fill>
        <patternFill>
          <bgColor rgb="FFB00020"/>
        </patternFill>
      </fill>
    </dxf>
  </dxfs>
  <colors>
    <indexedColors>
      <rgbColor rgb="FF000000"/>
      <rgbColor rgb="FFFFFFFF"/>
      <rgbColor rgb="FFFF0000"/>
      <rgbColor rgb="FF00FF00"/>
      <rgbColor rgb="FF0000FF"/>
      <rgbColor rgb="FFFFFF00"/>
      <rgbColor rgb="FFFF00FF"/>
      <rgbColor rgb="FF00FFFF"/>
      <rgbColor rgb="FFB00020"/>
      <rgbColor rgb="FF008000"/>
      <rgbColor rgb="FF000080"/>
      <rgbColor rgb="FF808000"/>
      <rgbColor rgb="FF800080"/>
      <rgbColor rgb="FF008080"/>
      <rgbColor rgb="FFBFBFBF"/>
      <rgbColor rgb="FF808080"/>
      <rgbColor rgb="FF9999FF"/>
      <rgbColor rgb="FF993366"/>
      <rgbColor rgb="FFFFF4D6"/>
      <rgbColor rgb="FFE6E9EE"/>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2F2F2"/>
      <rgbColor rgb="FFFDFCF9"/>
      <rgbColor rgb="FFF6E7C1"/>
      <rgbColor rgb="FF99CCFF"/>
      <rgbColor rgb="FFFF99CC"/>
      <rgbColor rgb="FFCC99FF"/>
      <rgbColor rgb="FFFFCC99"/>
      <rgbColor rgb="FF3366FF"/>
      <rgbColor rgb="FF33CCCC"/>
      <rgbColor rgb="FF99CC00"/>
      <rgbColor rgb="FFFFCC00"/>
      <rgbColor rgb="FFC69214"/>
      <rgbColor rgb="FFFF6600"/>
      <rgbColor rgb="FF666699"/>
      <rgbColor rgb="FF969696"/>
      <rgbColor rgb="FF002147"/>
      <rgbColor rgb="FF339966"/>
      <rgbColor rgb="FF003300"/>
      <rgbColor rgb="FF4A4A4A"/>
      <rgbColor rgb="FF993300"/>
      <rgbColor rgb="FF993366"/>
      <rgbColor rgb="FF333399"/>
      <rgbColor rgb="FF22222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worksheet" Target="worksheets/sheet17.xml"/><Relationship Id="rId20" Type="http://schemas.openxmlformats.org/officeDocument/2006/relationships/worksheet" Target="worksheets/sheet18.xml"/><Relationship Id="rId21" Type="http://schemas.openxmlformats.org/officeDocument/2006/relationships/worksheet" Target="worksheets/sheet19.xml"/><Relationship Id="rId22" Type="http://schemas.openxmlformats.org/officeDocument/2006/relationships/worksheet" Target="worksheets/sheet20.xml"/><Relationship Id="rId23" Type="http://schemas.openxmlformats.org/officeDocument/2006/relationships/worksheet" Target="worksheets/sheet21.xml"/><Relationship Id="rId24" Type="http://schemas.openxmlformats.org/officeDocument/2006/relationships/worksheet" Target="worksheets/sheet22.xml"/><Relationship Id="rId25" Type="http://schemas.openxmlformats.org/officeDocument/2006/relationships/worksheet" Target="worksheets/sheet23.xml"/><Relationship Id="rId26" Type="http://schemas.openxmlformats.org/officeDocument/2006/relationships/worksheet" Target="worksheets/sheet24.xml"/><Relationship Id="rId27" Type="http://schemas.openxmlformats.org/officeDocument/2006/relationships/worksheet" Target="worksheets/sheet25.xml"/><Relationship Id="rId28" Type="http://schemas.openxmlformats.org/officeDocument/2006/relationships/worksheet" Target="worksheets/sheet26.xml"/><Relationship Id="rId29" Type="http://schemas.openxmlformats.org/officeDocument/2006/relationships/worksheet" Target="worksheets/sheet27.xml"/><Relationship Id="rId3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6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0"/>
    <col collapsed="false" customWidth="true" hidden="false" outlineLevel="0" max="2" min="2" style="0" width="80"/>
  </cols>
  <sheetData>
    <row r="1" customFormat="false" ht="17.3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23.85" hidden="false" customHeight="false" outlineLevel="0" collapsed="false">
      <c r="A5" s="4" t="s">
        <v>3</v>
      </c>
    </row>
    <row r="6" customFormat="false" ht="23.85" hidden="false" customHeight="false" outlineLevel="0" collapsed="false">
      <c r="A6" s="4" t="s">
        <v>4</v>
      </c>
    </row>
    <row r="7" customFormat="false" ht="15" hidden="false" customHeight="false" outlineLevel="0" collapsed="false">
      <c r="A7" s="4" t="s">
        <v>5</v>
      </c>
    </row>
    <row r="9" customFormat="false" ht="15" hidden="false" customHeight="false" outlineLevel="0" collapsed="false">
      <c r="A9" s="3" t="s">
        <v>6</v>
      </c>
    </row>
    <row r="10" customFormat="false" ht="15" hidden="false" customHeight="false" outlineLevel="0" collapsed="false">
      <c r="A10" s="4" t="s">
        <v>7</v>
      </c>
    </row>
    <row r="11" customFormat="false" ht="23.85" hidden="false" customHeight="false" outlineLevel="0" collapsed="false">
      <c r="A11" s="4" t="s">
        <v>8</v>
      </c>
    </row>
    <row r="12" customFormat="false" ht="15" hidden="false" customHeight="false" outlineLevel="0" collapsed="false">
      <c r="A12" s="4" t="s">
        <v>9</v>
      </c>
    </row>
    <row r="13" customFormat="false" ht="23.85" hidden="false" customHeight="false" outlineLevel="0" collapsed="false">
      <c r="A13" s="4" t="s">
        <v>10</v>
      </c>
    </row>
    <row r="14" customFormat="false" ht="15" hidden="false" customHeight="false" outlineLevel="0" collapsed="false">
      <c r="A14" s="4" t="s">
        <v>11</v>
      </c>
    </row>
    <row r="15" customFormat="false" ht="15" hidden="false" customHeight="false" outlineLevel="0" collapsed="false">
      <c r="A15" s="4" t="s">
        <v>12</v>
      </c>
    </row>
    <row r="16" customFormat="false" ht="15" hidden="false" customHeight="false" outlineLevel="0" collapsed="false">
      <c r="A16" s="4" t="s">
        <v>13</v>
      </c>
    </row>
    <row r="18" customFormat="false" ht="15" hidden="false" customHeight="false" outlineLevel="0" collapsed="false">
      <c r="A18" s="3" t="s">
        <v>14</v>
      </c>
    </row>
    <row r="19" customFormat="false" ht="23.85" hidden="false" customHeight="false" outlineLevel="0" collapsed="false">
      <c r="A19" s="4" t="s">
        <v>15</v>
      </c>
    </row>
    <row r="20" customFormat="false" ht="23.85" hidden="false" customHeight="false" outlineLevel="0" collapsed="false">
      <c r="A20" s="4" t="s">
        <v>16</v>
      </c>
    </row>
    <row r="21" customFormat="false" ht="23.85" hidden="false" customHeight="false" outlineLevel="0" collapsed="false">
      <c r="A21" s="4" t="s">
        <v>17</v>
      </c>
    </row>
    <row r="22" customFormat="false" ht="23.85" hidden="false" customHeight="false" outlineLevel="0" collapsed="false">
      <c r="A22" s="4" t="s">
        <v>18</v>
      </c>
    </row>
    <row r="23" customFormat="false" ht="23.85" hidden="false" customHeight="false" outlineLevel="0" collapsed="false">
      <c r="A23" s="4" t="s">
        <v>19</v>
      </c>
    </row>
    <row r="24" customFormat="false" ht="23.85" hidden="false" customHeight="false" outlineLevel="0" collapsed="false">
      <c r="A24" s="4" t="s">
        <v>20</v>
      </c>
    </row>
    <row r="25" customFormat="false" ht="23.85" hidden="false" customHeight="false" outlineLevel="0" collapsed="false">
      <c r="A25" s="4" t="s">
        <v>21</v>
      </c>
    </row>
    <row r="27" customFormat="false" ht="15" hidden="false" customHeight="false" outlineLevel="0" collapsed="false">
      <c r="A27" s="3" t="s">
        <v>22</v>
      </c>
    </row>
    <row r="28" customFormat="false" ht="15" hidden="false" customHeight="false" outlineLevel="0" collapsed="false">
      <c r="A28" s="5" t="s">
        <v>23</v>
      </c>
    </row>
    <row r="29" customFormat="false" ht="15" hidden="false" customHeight="false" outlineLevel="0" collapsed="false">
      <c r="A29" s="6" t="s">
        <v>24</v>
      </c>
    </row>
    <row r="30" customFormat="false" ht="15" hidden="false" customHeight="false" outlineLevel="0" collapsed="false">
      <c r="A30" s="7" t="s">
        <v>25</v>
      </c>
    </row>
    <row r="31" customFormat="false" ht="23.85" hidden="false" customHeight="false" outlineLevel="0" collapsed="false">
      <c r="A31" s="4" t="s">
        <v>26</v>
      </c>
    </row>
    <row r="33" customFormat="false" ht="15" hidden="false" customHeight="false" outlineLevel="0" collapsed="false">
      <c r="A33" s="3" t="s">
        <v>27</v>
      </c>
    </row>
    <row r="34" customFormat="false" ht="23.85" hidden="false" customHeight="false" outlineLevel="0" collapsed="false">
      <c r="A34" s="4" t="s">
        <v>28</v>
      </c>
    </row>
    <row r="35" customFormat="false" ht="15" hidden="false" customHeight="false" outlineLevel="0" collapsed="false">
      <c r="A35" s="4" t="s">
        <v>29</v>
      </c>
    </row>
    <row r="36" customFormat="false" ht="15" hidden="false" customHeight="false" outlineLevel="0" collapsed="false">
      <c r="A36" s="4" t="s">
        <v>30</v>
      </c>
    </row>
    <row r="37" customFormat="false" ht="23.85" hidden="false" customHeight="false" outlineLevel="0" collapsed="false">
      <c r="A37" s="4" t="s">
        <v>31</v>
      </c>
    </row>
    <row r="38" customFormat="false" ht="15" hidden="false" customHeight="false" outlineLevel="0" collapsed="false">
      <c r="A38" s="4" t="s">
        <v>32</v>
      </c>
    </row>
    <row r="40" customFormat="false" ht="15" hidden="false" customHeight="false" outlineLevel="0" collapsed="false">
      <c r="A40" s="3" t="s">
        <v>33</v>
      </c>
    </row>
    <row r="41" customFormat="false" ht="15" hidden="false" customHeight="false" outlineLevel="0" collapsed="false">
      <c r="A41" s="8" t="s">
        <v>34</v>
      </c>
      <c r="B41" s="9" t="s">
        <v>35</v>
      </c>
    </row>
    <row r="42" customFormat="false" ht="15" hidden="false" customHeight="false" outlineLevel="0" collapsed="false">
      <c r="A42" s="8" t="s">
        <v>36</v>
      </c>
      <c r="B42" s="9" t="s">
        <v>37</v>
      </c>
    </row>
    <row r="43" customFormat="false" ht="15" hidden="false" customHeight="false" outlineLevel="0" collapsed="false">
      <c r="A43" s="8" t="s">
        <v>38</v>
      </c>
      <c r="B43" s="9" t="s">
        <v>39</v>
      </c>
    </row>
    <row r="44" customFormat="false" ht="15" hidden="false" customHeight="false" outlineLevel="0" collapsed="false">
      <c r="A44" s="8" t="s">
        <v>40</v>
      </c>
      <c r="B44" s="9" t="s">
        <v>41</v>
      </c>
    </row>
    <row r="45" customFormat="false" ht="15" hidden="false" customHeight="false" outlineLevel="0" collapsed="false">
      <c r="A45" s="8" t="s">
        <v>42</v>
      </c>
      <c r="B45" s="9" t="s">
        <v>43</v>
      </c>
    </row>
    <row r="46" customFormat="false" ht="15" hidden="false" customHeight="false" outlineLevel="0" collapsed="false">
      <c r="A46" s="8" t="s">
        <v>44</v>
      </c>
      <c r="B46" s="9" t="s">
        <v>45</v>
      </c>
    </row>
    <row r="47" customFormat="false" ht="15" hidden="false" customHeight="false" outlineLevel="0" collapsed="false">
      <c r="A47" s="8" t="s">
        <v>46</v>
      </c>
      <c r="B47" s="9" t="s">
        <v>47</v>
      </c>
    </row>
    <row r="48" customFormat="false" ht="15" hidden="false" customHeight="false" outlineLevel="0" collapsed="false">
      <c r="A48" s="8" t="s">
        <v>48</v>
      </c>
      <c r="B48" s="9" t="s">
        <v>49</v>
      </c>
    </row>
    <row r="49" customFormat="false" ht="15" hidden="false" customHeight="false" outlineLevel="0" collapsed="false">
      <c r="A49" s="8" t="s">
        <v>50</v>
      </c>
      <c r="B49" s="9" t="s">
        <v>51</v>
      </c>
    </row>
    <row r="50" customFormat="false" ht="15" hidden="false" customHeight="false" outlineLevel="0" collapsed="false">
      <c r="A50" s="8" t="s">
        <v>52</v>
      </c>
      <c r="B50" s="9" t="s">
        <v>53</v>
      </c>
    </row>
    <row r="51" customFormat="false" ht="15" hidden="false" customHeight="false" outlineLevel="0" collapsed="false">
      <c r="A51" s="8" t="s">
        <v>54</v>
      </c>
      <c r="B51" s="9" t="s">
        <v>55</v>
      </c>
    </row>
    <row r="52" customFormat="false" ht="15" hidden="false" customHeight="false" outlineLevel="0" collapsed="false">
      <c r="A52" s="8" t="s">
        <v>56</v>
      </c>
      <c r="B52" s="9" t="s">
        <v>57</v>
      </c>
    </row>
    <row r="53" customFormat="false" ht="15" hidden="false" customHeight="false" outlineLevel="0" collapsed="false">
      <c r="A53" s="8" t="s">
        <v>58</v>
      </c>
      <c r="B53" s="9" t="s">
        <v>59</v>
      </c>
    </row>
    <row r="54" customFormat="false" ht="15" hidden="false" customHeight="false" outlineLevel="0" collapsed="false">
      <c r="A54" s="8" t="s">
        <v>60</v>
      </c>
      <c r="B54" s="9" t="s">
        <v>61</v>
      </c>
    </row>
    <row r="55" customFormat="false" ht="15" hidden="false" customHeight="false" outlineLevel="0" collapsed="false">
      <c r="A55" s="8" t="s">
        <v>62</v>
      </c>
      <c r="B55" s="9" t="s">
        <v>63</v>
      </c>
    </row>
    <row r="56" customFormat="false" ht="15" hidden="false" customHeight="false" outlineLevel="0" collapsed="false">
      <c r="A56" s="8" t="s">
        <v>64</v>
      </c>
      <c r="B56" s="9" t="s">
        <v>65</v>
      </c>
    </row>
    <row r="57" customFormat="false" ht="15" hidden="false" customHeight="false" outlineLevel="0" collapsed="false">
      <c r="A57" s="8" t="s">
        <v>66</v>
      </c>
      <c r="B57" s="9" t="s">
        <v>67</v>
      </c>
    </row>
    <row r="58" customFormat="false" ht="15" hidden="false" customHeight="false" outlineLevel="0" collapsed="false">
      <c r="A58" s="8" t="s">
        <v>68</v>
      </c>
      <c r="B58" s="9" t="s">
        <v>69</v>
      </c>
    </row>
    <row r="60" customFormat="false" ht="15" hidden="false" customHeight="false" outlineLevel="0" collapsed="false">
      <c r="A60" s="10" t="s">
        <v>70</v>
      </c>
    </row>
    <row r="61" customFormat="false" ht="15" hidden="false" customHeight="false" outlineLevel="0" collapsed="false">
      <c r="A61" s="11" t="s">
        <v>71</v>
      </c>
    </row>
    <row r="63" customFormat="false" ht="15" hidden="false" customHeight="false" outlineLevel="0" collapsed="false">
      <c r="A63" s="12" t="s">
        <v>72</v>
      </c>
    </row>
  </sheetData>
  <sheetProtection sheet="true" formatColumns="false" formatRows="false"/>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9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2" min="2" style="0" width="16"/>
    <col collapsed="false" customWidth="true" hidden="false" outlineLevel="0" max="3" min="3" style="0" width="18"/>
    <col collapsed="false" customWidth="true" hidden="false" outlineLevel="0" max="4" min="4" style="0" width="16"/>
    <col collapsed="false" customWidth="true" hidden="false" outlineLevel="0" max="5" min="5" style="0" width="36"/>
    <col collapsed="false" customWidth="true" hidden="false" outlineLevel="0" max="6" min="6" style="0" width="12"/>
  </cols>
  <sheetData>
    <row r="1" customFormat="false" ht="17.35" hidden="false" customHeight="false" outlineLevel="0" collapsed="false">
      <c r="A1" s="1" t="s">
        <v>73</v>
      </c>
    </row>
    <row r="2" customFormat="false" ht="15" hidden="false" customHeight="false" outlineLevel="0" collapsed="false">
      <c r="A2" s="2" t="s">
        <v>74</v>
      </c>
    </row>
    <row r="4" customFormat="false" ht="15" hidden="false" customHeight="false" outlineLevel="0" collapsed="false">
      <c r="A4" s="13" t="s">
        <v>75</v>
      </c>
      <c r="B4" s="14" t="str">
        <f aca="false">Settings!B4</f>
        <v>Example Retailer (fictional)</v>
      </c>
    </row>
    <row r="5" customFormat="false" ht="15" hidden="false" customHeight="false" outlineLevel="0" collapsed="false">
      <c r="A5" s="13" t="s">
        <v>76</v>
      </c>
      <c r="B5" s="14" t="str">
        <f aca="false">Settings!B5</f>
        <v>FY2027</v>
      </c>
    </row>
    <row r="6" customFormat="false" ht="15" hidden="false" customHeight="false" outlineLevel="0" collapsed="false">
      <c r="A6" s="13" t="s">
        <v>77</v>
      </c>
      <c r="B6" s="14" t="str">
        <f aca="false">Settings!B14</f>
        <v>Base</v>
      </c>
    </row>
    <row r="7" customFormat="false" ht="15" hidden="false" customHeight="false" outlineLevel="0" collapsed="false">
      <c r="A7" s="13" t="s">
        <v>78</v>
      </c>
      <c r="B7" s="14" t="str">
        <f aca="false">Checks!$D$26</f>
        <v>WARN</v>
      </c>
      <c r="C7" s="14" t="str">
        <f aca="false">Checks!D27&amp;" failed, "&amp;Checks!D28&amp;" to review. Actions listed below."</f>
        <v>0 failed, 3 to review. Actions listed below.</v>
      </c>
    </row>
    <row r="9" customFormat="false" ht="15" hidden="false" customHeight="false" outlineLevel="0" collapsed="false">
      <c r="A9" s="15" t="s">
        <v>79</v>
      </c>
      <c r="B9" s="15"/>
      <c r="C9" s="15"/>
      <c r="D9" s="15"/>
      <c r="E9" s="15"/>
      <c r="F9" s="15"/>
    </row>
    <row r="10" customFormat="false" ht="30" hidden="false" customHeight="true" outlineLevel="0" collapsed="false">
      <c r="A10" s="16" t="str">
        <f aca="false">IF('P&amp;L'!N14&gt;=Settings!B16,"Bottom up, the plan delivers "&amp;TEXT('P&amp;L'!N14,"£#,##0")&amp;" of net sales, "&amp;TEXT('P&amp;L'!N14-Settings!B16,"£#,##0")&amp;" ahead of the board target of "&amp;TEXT(Settings!B16,"£#,##0")&amp;".","Bottom up, the plan delivers "&amp;TEXT('P&amp;L'!N14,"£#,##0")&amp;" of net sales against a board target of "&amp;TEXT(Settings!B16,"£#,##0")&amp;": a gap of "&amp;TEXT(Settings!B16-'P&amp;L'!N14,"£#,##0")&amp;", or "&amp;TEXT(Reconciliation!B9,"0.0%")&amp;" of the plan.")</f>
        <v>Bottom up, the plan delivers £22,234,811 of net sales against a board target of £23,500,000: a gap of £1,265,189, or 5.7% of the plan.</v>
      </c>
      <c r="B10" s="16"/>
      <c r="C10" s="16"/>
      <c r="D10" s="16"/>
      <c r="E10" s="16"/>
      <c r="F10" s="16"/>
    </row>
    <row r="11" customFormat="false" ht="30" hidden="false" customHeight="true" outlineLevel="0" collapsed="false">
      <c r="A11" s="17" t="str">
        <f aca="false">"Closing it with conversion alone needs a "&amp;TEXT(Reconciliation!D15,"0.0%")&amp;" uplift in every week. Closing it with returns alone needs the rate to fall "&amp;TEXT(-Reconciliation!D18*100,"0.0")&amp;" points."</f>
        <v>Closing it with conversion alone needs a 5.7% uplift in every week. Closing it with returns alone needs the rate to fall 4.2 points.</v>
      </c>
      <c r="B11" s="17"/>
      <c r="C11" s="17"/>
      <c r="D11" s="17"/>
      <c r="E11" s="17"/>
      <c r="F11" s="17"/>
    </row>
    <row r="12" customFormat="false" ht="30" hidden="false" customHeight="true" outlineLevel="0" collapsed="false">
      <c r="A12" s="17" t="str">
        <f aca="false">"Contribution after marketing is "&amp;TEXT('P&amp;L'!N34,"£#,##0")&amp;" ("&amp;TEXT('P&amp;L'!N35,"0.0%")&amp;" of net sales), on media of "&amp;TEXT('P&amp;L'!N33,"£#,##0")&amp;"."</f>
        <v>Contribution after marketing is £5,466,095 (24.6% of net sales), on media of £3,050,000.</v>
      </c>
      <c r="B12" s="17"/>
      <c r="C12" s="17"/>
      <c r="D12" s="17"/>
      <c r="E12" s="17"/>
      <c r="F12" s="17"/>
    </row>
    <row r="13" customFormat="false" ht="30" hidden="false" customHeight="true" outlineLevel="0" collapsed="false">
      <c r="A13" s="18" t="s">
        <v>80</v>
      </c>
      <c r="B13" s="18"/>
      <c r="C13" s="18"/>
      <c r="D13" s="18"/>
      <c r="E13" s="18"/>
      <c r="F13" s="18"/>
    </row>
    <row r="15" customFormat="false" ht="15" hidden="false" customHeight="false" outlineLevel="0" collapsed="false">
      <c r="A15" s="15" t="s">
        <v>81</v>
      </c>
      <c r="B15" s="15"/>
      <c r="C15" s="15"/>
      <c r="D15" s="15"/>
      <c r="E15" s="15"/>
      <c r="F15" s="15"/>
    </row>
    <row r="16" customFormat="false" ht="42" hidden="false" customHeight="true" outlineLevel="0" collapsed="false">
      <c r="A16" s="19" t="s">
        <v>82</v>
      </c>
      <c r="B16" s="19" t="s">
        <v>83</v>
      </c>
      <c r="C16" s="19" t="s">
        <v>84</v>
      </c>
      <c r="D16" s="19" t="s">
        <v>85</v>
      </c>
      <c r="E16" s="19" t="s">
        <v>86</v>
      </c>
      <c r="F16" s="19"/>
    </row>
    <row r="17" customFormat="false" ht="15" hidden="false" customHeight="false" outlineLevel="0" collapsed="false">
      <c r="A17" s="13" t="s">
        <v>87</v>
      </c>
      <c r="B17" s="20" t="n">
        <f aca="false">'Engine Base'!Q58</f>
        <v>22234811.322021</v>
      </c>
      <c r="C17" s="20" t="n">
        <f aca="false">'Engine Upside'!Q58</f>
        <v>25603905.1898172</v>
      </c>
      <c r="D17" s="20" t="n">
        <f aca="false">'Engine Downside'!Q58</f>
        <v>19044430.1824213</v>
      </c>
      <c r="E17" s="20" t="n">
        <f aca="false">'History Y-1'!AJ58</f>
        <v>21425109.97</v>
      </c>
    </row>
    <row r="18" customFormat="false" ht="15" hidden="false" customHeight="false" outlineLevel="0" collapsed="false">
      <c r="A18" s="13" t="s">
        <v>88</v>
      </c>
      <c r="B18" s="20" t="n">
        <f aca="false">'Engine Base'!Y58</f>
        <v>3050000</v>
      </c>
      <c r="C18" s="20" t="n">
        <f aca="false">'Engine Upside'!Y58</f>
        <v>3550000</v>
      </c>
      <c r="D18" s="20" t="n">
        <f aca="false">'Engine Downside'!Y58</f>
        <v>2700000</v>
      </c>
      <c r="E18" s="20" t="n">
        <f aca="false">'History Y-1'!P58+'History Y-1'!Q58+'History Y-1'!R58</f>
        <v>2891307.12</v>
      </c>
    </row>
    <row r="19" customFormat="false" ht="15" hidden="false" customHeight="false" outlineLevel="0" collapsed="false">
      <c r="A19" s="13" t="s">
        <v>89</v>
      </c>
      <c r="B19" s="20" t="n">
        <f aca="false">'Engine Base'!Z58</f>
        <v>5466094.62530364</v>
      </c>
      <c r="C19" s="20" t="n">
        <f aca="false">'Engine Upside'!Z58</f>
        <v>6812187.08274713</v>
      </c>
      <c r="D19" s="20" t="n">
        <f aca="false">'Engine Downside'!Z58</f>
        <v>3917222.46155901</v>
      </c>
    </row>
    <row r="20" customFormat="false" ht="15" hidden="false" customHeight="false" outlineLevel="0" collapsed="false">
      <c r="A20" s="13" t="s">
        <v>90</v>
      </c>
      <c r="B20" s="20" t="n">
        <f aca="false">'Engine Base'!AB58</f>
        <v>4148794.62530364</v>
      </c>
      <c r="C20" s="20" t="n">
        <f aca="false">'Engine Upside'!AB58</f>
        <v>5494887.08274713</v>
      </c>
      <c r="D20" s="20" t="n">
        <f aca="false">'Engine Downside'!AB58</f>
        <v>2599922.461559</v>
      </c>
    </row>
    <row r="21" customFormat="false" ht="15" hidden="false" customHeight="false" outlineLevel="0" collapsed="false">
      <c r="A21" s="13" t="s">
        <v>91</v>
      </c>
      <c r="B21" s="21" t="n">
        <f aca="false">'Engine Base'!AC58</f>
        <v>151175.716573213</v>
      </c>
      <c r="C21" s="21" t="n">
        <f aca="false">'Engine Upside'!AC58</f>
        <v>168436.210230628</v>
      </c>
      <c r="D21" s="21" t="n">
        <f aca="false">'Engine Downside'!AC58</f>
        <v>134809.908687411</v>
      </c>
      <c r="E21" s="21" t="n">
        <f aca="false">'History Y-1'!O58</f>
        <v>145175</v>
      </c>
    </row>
    <row r="22" customFormat="false" ht="15" hidden="false" customHeight="false" outlineLevel="0" collapsed="false">
      <c r="A22" s="13" t="s">
        <v>92</v>
      </c>
      <c r="B22" s="22" t="n">
        <f aca="false">IFERROR(B17/$E$17-1,0)</f>
        <v>0.0377921678420663</v>
      </c>
      <c r="C22" s="22" t="n">
        <f aca="false">IFERROR(C17/$E$17-1,0)</f>
        <v>0.195041949640792</v>
      </c>
      <c r="D22" s="22" t="n">
        <f aca="false">IFERROR(D17/$E$17-1,0)</f>
        <v>-0.111116339235232</v>
      </c>
    </row>
    <row r="23" customFormat="false" ht="15" hidden="false" customHeight="false" outlineLevel="0" collapsed="false">
      <c r="A23" s="13" t="s">
        <v>93</v>
      </c>
      <c r="B23" s="22" t="n">
        <f aca="false">IFERROR(B19/B17,0)</f>
        <v>0.245834990283462</v>
      </c>
      <c r="C23" s="22" t="n">
        <f aca="false">IFERROR(C19/C17,0)</f>
        <v>0.266060471332177</v>
      </c>
      <c r="D23" s="22" t="n">
        <f aca="false">IFERROR(D19/D17,0)</f>
        <v>0.205688614678256</v>
      </c>
    </row>
    <row r="24" customFormat="false" ht="15" hidden="false" customHeight="false" outlineLevel="0" collapsed="false">
      <c r="A24" s="13" t="s">
        <v>94</v>
      </c>
      <c r="B24" s="20" t="n">
        <f aca="false">Settings!$B$16-B17</f>
        <v>1265188.67797903</v>
      </c>
      <c r="C24" s="20" t="n">
        <f aca="false">Settings!$B$16-C17</f>
        <v>-2103905.18981717</v>
      </c>
      <c r="D24" s="20" t="n">
        <f aca="false">Settings!$B$16-D17</f>
        <v>4455569.81757867</v>
      </c>
    </row>
    <row r="26" customFormat="false" ht="15" hidden="false" customHeight="false" outlineLevel="0" collapsed="false">
      <c r="A26" s="15" t="s">
        <v>95</v>
      </c>
      <c r="B26" s="15"/>
      <c r="C26" s="15"/>
      <c r="D26" s="15"/>
      <c r="E26" s="15"/>
      <c r="F26" s="15"/>
    </row>
    <row r="27" customFormat="false" ht="42" hidden="false" customHeight="true" outlineLevel="0" collapsed="false">
      <c r="A27" s="19" t="s">
        <v>96</v>
      </c>
      <c r="B27" s="19" t="s">
        <v>97</v>
      </c>
      <c r="C27" s="19" t="s">
        <v>98</v>
      </c>
      <c r="D27" s="19" t="s">
        <v>99</v>
      </c>
      <c r="E27" s="19" t="s">
        <v>100</v>
      </c>
      <c r="F27" s="19"/>
    </row>
    <row r="28" customFormat="false" ht="15" hidden="false" customHeight="false" outlineLevel="0" collapsed="false">
      <c r="A28" s="14" t="str">
        <f aca="false">Scenarios!A74</f>
        <v>Upside: trading assumptions alone (Base media)</v>
      </c>
      <c r="B28" s="20" t="n">
        <f aca="false">Scenarios!B74</f>
        <v>2076578.25555537</v>
      </c>
      <c r="C28" s="20" t="n">
        <f aca="false">Scenarios!C74</f>
        <v>1313705.62875612</v>
      </c>
      <c r="D28" s="20" t="n">
        <f aca="false">Scenarios!D74</f>
        <v>0</v>
      </c>
      <c r="E28" s="23" t="n">
        <f aca="false">Scenarios!E74</f>
        <v>0</v>
      </c>
    </row>
    <row r="29" customFormat="false" ht="15" hidden="false" customHeight="false" outlineLevel="0" collapsed="false">
      <c r="A29" s="14" t="str">
        <f aca="false">Scenarios!A75</f>
        <v>Upside: media change (on Upside trading)</v>
      </c>
      <c r="B29" s="20" t="n">
        <f aca="false">Scenarios!B75</f>
        <v>1292515.61224083</v>
      </c>
      <c r="C29" s="20" t="n">
        <f aca="false">Scenarios!C75</f>
        <v>32386.8286873773</v>
      </c>
      <c r="D29" s="20" t="n">
        <f aca="false">Scenarios!D75</f>
        <v>500000</v>
      </c>
      <c r="E29" s="23" t="n">
        <f aca="false">Scenarios!E75</f>
        <v>0.0647736573747546</v>
      </c>
    </row>
    <row r="30" customFormat="false" ht="15" hidden="false" customHeight="false" outlineLevel="0" collapsed="false">
      <c r="A30" s="24" t="str">
        <f aca="false">Scenarios!A76</f>
        <v>Upside: total</v>
      </c>
      <c r="B30" s="25" t="n">
        <f aca="false">Scenarios!B76</f>
        <v>3369093.8677962</v>
      </c>
      <c r="C30" s="25" t="n">
        <f aca="false">Scenarios!C76</f>
        <v>1346092.4574435</v>
      </c>
      <c r="D30" s="25" t="n">
        <f aca="false">Scenarios!D76</f>
        <v>500000</v>
      </c>
      <c r="E30" s="26" t="n">
        <f aca="false">Scenarios!E76</f>
        <v>0</v>
      </c>
    </row>
    <row r="31" customFormat="false" ht="15" hidden="false" customHeight="false" outlineLevel="0" collapsed="false">
      <c r="A31" s="14" t="str">
        <f aca="false">Scenarios!A77</f>
        <v>Downside: trading assumptions alone (Base media)</v>
      </c>
      <c r="B31" s="20" t="n">
        <f aca="false">Scenarios!B77</f>
        <v>-2554205.34559922</v>
      </c>
      <c r="C31" s="20" t="n">
        <f aca="false">Scenarios!C77</f>
        <v>-1672192.05455827</v>
      </c>
      <c r="D31" s="20" t="n">
        <f aca="false">Scenarios!D77</f>
        <v>0</v>
      </c>
      <c r="E31" s="23" t="n">
        <f aca="false">Scenarios!E77</f>
        <v>0</v>
      </c>
    </row>
    <row r="32" customFormat="false" ht="15" hidden="false" customHeight="false" outlineLevel="0" collapsed="false">
      <c r="A32" s="14" t="str">
        <f aca="false">Scenarios!A78</f>
        <v>Downside: media change (on Downside trading)</v>
      </c>
      <c r="B32" s="20" t="n">
        <f aca="false">Scenarios!B78</f>
        <v>-636175.794000413</v>
      </c>
      <c r="C32" s="20" t="n">
        <f aca="false">Scenarios!C78</f>
        <v>123319.890813641</v>
      </c>
      <c r="D32" s="20" t="n">
        <f aca="false">Scenarios!D78</f>
        <v>-350000</v>
      </c>
      <c r="E32" s="23" t="n">
        <f aca="false">Scenarios!E78</f>
        <v>-0.352342545181831</v>
      </c>
    </row>
    <row r="33" customFormat="false" ht="15" hidden="false" customHeight="false" outlineLevel="0" collapsed="false">
      <c r="A33" s="24" t="str">
        <f aca="false">Scenarios!A79</f>
        <v>Downside: total</v>
      </c>
      <c r="B33" s="25" t="n">
        <f aca="false">Scenarios!B79</f>
        <v>-3190381.13959963</v>
      </c>
      <c r="C33" s="25" t="n">
        <f aca="false">Scenarios!C79</f>
        <v>-1548872.16374463</v>
      </c>
      <c r="D33" s="25" t="n">
        <f aca="false">Scenarios!D79</f>
        <v>-350000</v>
      </c>
      <c r="E33" s="26" t="n">
        <f aca="false">Scenarios!E79</f>
        <v>0</v>
      </c>
    </row>
    <row r="34" customFormat="false" ht="24" hidden="false" customHeight="true" outlineLevel="0" collapsed="false">
      <c r="A34" s="18" t="s">
        <v>101</v>
      </c>
      <c r="B34" s="18"/>
      <c r="C34" s="18"/>
      <c r="D34" s="18"/>
      <c r="E34" s="18"/>
      <c r="F34" s="18"/>
    </row>
    <row r="36" customFormat="false" ht="15" hidden="false" customHeight="false" outlineLevel="0" collapsed="false">
      <c r="A36" s="15" t="s">
        <v>102</v>
      </c>
      <c r="B36" s="15"/>
      <c r="C36" s="15"/>
      <c r="D36" s="15"/>
      <c r="E36" s="15"/>
      <c r="F36" s="15"/>
    </row>
    <row r="37" customFormat="false" ht="15" hidden="false" customHeight="false" outlineLevel="0" collapsed="false">
      <c r="A37" s="13" t="s">
        <v>103</v>
      </c>
      <c r="B37" s="27" t="s">
        <v>83</v>
      </c>
    </row>
    <row r="38" customFormat="false" ht="15" hidden="false" customHeight="false" outlineLevel="0" collapsed="false">
      <c r="A38" s="13" t="s">
        <v>87</v>
      </c>
      <c r="B38" s="20" t="n">
        <f aca="false">IF($B$37="Upside",'Engine Upside'!Q58,IF($B$37="Downside",'Engine Downside'!Q58,'Engine Base'!Q58))</f>
        <v>22234811.322021</v>
      </c>
    </row>
    <row r="39" customFormat="false" ht="15" hidden="false" customHeight="false" outlineLevel="0" collapsed="false">
      <c r="A39" s="13" t="s">
        <v>89</v>
      </c>
      <c r="B39" s="20" t="n">
        <f aca="false">IF($B$37="Upside",'Engine Upside'!Z58,IF($B$37="Downside",'Engine Downside'!Z58,'Engine Base'!Z58))</f>
        <v>5466094.62530364</v>
      </c>
    </row>
    <row r="40" customFormat="false" ht="15" hidden="false" customHeight="false" outlineLevel="0" collapsed="false">
      <c r="A40" s="13" t="s">
        <v>104</v>
      </c>
      <c r="B40" s="20" t="n">
        <f aca="false">IF($B$37="Upside",'Engine Upside'!Y58,IF($B$37="Downside",'Engine Downside'!Y58,'Engine Base'!Y58))-'Engine Base'!Y58</f>
        <v>0</v>
      </c>
    </row>
    <row r="41" customFormat="false" ht="15" hidden="false" customHeight="false" outlineLevel="0" collapsed="false">
      <c r="A41" s="13" t="s">
        <v>105</v>
      </c>
      <c r="B41" s="20" t="n">
        <f aca="false">IF($B$37="Upside",'Engine Upside'!Z58,IF($B$37="Downside",'Engine Downside'!Z58,'Engine Base'!Z58))-'Engine Base'!Z58</f>
        <v>0</v>
      </c>
    </row>
    <row r="42" customFormat="false" ht="15" hidden="false" customHeight="false" outlineLevel="0" collapsed="false">
      <c r="A42" s="13" t="s">
        <v>106</v>
      </c>
      <c r="B42" s="20" t="n">
        <f aca="false">IF($B$37="Upside",Scenarios!C74,IF($B$37="Downside",Scenarios!C77,0))</f>
        <v>0</v>
      </c>
    </row>
    <row r="43" customFormat="false" ht="15" hidden="false" customHeight="false" outlineLevel="0" collapsed="false">
      <c r="A43" s="13" t="s">
        <v>107</v>
      </c>
      <c r="B43" s="20" t="n">
        <f aca="false">IF($B$37="Upside",Scenarios!C75,IF($B$37="Downside",Scenarios!C78,0))</f>
        <v>0</v>
      </c>
    </row>
    <row r="44" customFormat="false" ht="15" hidden="false" customHeight="false" outlineLevel="0" collapsed="false">
      <c r="A44" s="13" t="s">
        <v>108</v>
      </c>
      <c r="B44" s="20" t="n">
        <f aca="false">Settings!$B$16-IF($B$37="Upside",'Engine Upside'!Q58,IF($B$37="Downside",'Engine Downside'!Q58,'Engine Base'!Q58))</f>
        <v>1265188.67797903</v>
      </c>
    </row>
    <row r="45" customFormat="false" ht="30" hidden="false" customHeight="true" outlineLevel="0" collapsed="false">
      <c r="A45" s="13" t="s">
        <v>109</v>
      </c>
      <c r="B45" s="28" t="s">
        <v>110</v>
      </c>
      <c r="C45" s="28"/>
      <c r="D45" s="28"/>
      <c r="E45" s="28"/>
      <c r="F45" s="28"/>
    </row>
    <row r="46" customFormat="false" ht="30" hidden="false" customHeight="true" outlineLevel="0" collapsed="false">
      <c r="A46" s="13" t="s">
        <v>111</v>
      </c>
      <c r="B46" s="17" t="str">
        <f aca="false">Scenarios!A65&amp;": "&amp;Scenarios!C65&amp;". Then: "&amp;Scenarios!D65</f>
        <v>Conversion rate: Below the downside assumption for 3 consecutive weeks. Then: Move media to the downside plan. Check availability and site performance before blaming traffic</v>
      </c>
      <c r="C46" s="17"/>
      <c r="D46" s="17"/>
      <c r="E46" s="17"/>
      <c r="F46" s="17"/>
    </row>
    <row r="47" customFormat="false" ht="30" hidden="false" customHeight="true" outlineLevel="0" collapsed="false">
      <c r="A47" s="13" t="s">
        <v>112</v>
      </c>
      <c r="B47" s="17" t="str">
        <f aca="false">Scenarios!A68&amp;": "&amp;Scenarios!C68&amp;". Then: "&amp;Scenarios!D68</f>
        <v>Net sales: 5% ahead at the end of Q1. Then: Release upside media budget, after checking stock cover on best sellers</v>
      </c>
      <c r="C47" s="17"/>
      <c r="D47" s="17"/>
      <c r="E47" s="17"/>
      <c r="F47" s="17"/>
    </row>
    <row r="49" customFormat="false" ht="15" hidden="false" customHeight="false" outlineLevel="0" collapsed="false">
      <c r="A49" s="15" t="s">
        <v>113</v>
      </c>
      <c r="B49" s="15"/>
      <c r="C49" s="15"/>
      <c r="D49" s="15"/>
      <c r="E49" s="15"/>
      <c r="F49" s="15"/>
    </row>
    <row r="50" customFormat="false" ht="42" hidden="false" customHeight="true" outlineLevel="0" collapsed="false">
      <c r="A50" s="19" t="s">
        <v>114</v>
      </c>
      <c r="B50" s="19" t="s">
        <v>115</v>
      </c>
      <c r="C50" s="19" t="s">
        <v>116</v>
      </c>
      <c r="D50" s="19" t="s">
        <v>117</v>
      </c>
      <c r="E50" s="19"/>
      <c r="F50" s="19"/>
    </row>
    <row r="51" customFormat="false" ht="15" hidden="false" customHeight="false" outlineLevel="0" collapsed="false">
      <c r="A51" s="14" t="str">
        <f aca="false">Reconciliation!A15</f>
        <v>Conversion rate</v>
      </c>
      <c r="B51" s="29" t="n">
        <f aca="false">Reconciliation!B15</f>
        <v>0.0229329881451549</v>
      </c>
      <c r="C51" s="29" t="n">
        <f aca="false">Reconciliation!C15</f>
        <v>0.0242379039608669</v>
      </c>
      <c r="D51" s="30" t="n">
        <f aca="false">Reconciliation!D15</f>
        <v>0.0569012554078217</v>
      </c>
    </row>
    <row r="52" customFormat="false" ht="15" hidden="false" customHeight="false" outlineLevel="0" collapsed="false">
      <c r="A52" s="14" t="str">
        <f aca="false">Reconciliation!A16</f>
        <v>AOV (£)</v>
      </c>
      <c r="B52" s="23" t="n">
        <f aca="false">Reconciliation!B16</f>
        <v>75.2344538977391</v>
      </c>
      <c r="C52" s="23" t="n">
        <f aca="false">Reconciliation!C16</f>
        <v>79.5153887744423</v>
      </c>
      <c r="D52" s="30" t="n">
        <f aca="false">Reconciliation!D16</f>
        <v>0.0569012554078214</v>
      </c>
    </row>
    <row r="53" customFormat="false" ht="15" hidden="false" customHeight="false" outlineLevel="0" collapsed="false">
      <c r="A53" s="14" t="str">
        <f aca="false">Reconciliation!A17</f>
        <v>Total sessions</v>
      </c>
      <c r="B53" s="21" t="n">
        <f aca="false">Reconciliation!B17</f>
        <v>17393742.8202846</v>
      </c>
      <c r="C53" s="21" t="n">
        <f aca="false">Reconciliation!C17</f>
        <v>18383468.6229996</v>
      </c>
      <c r="D53" s="30" t="n">
        <f aca="false">Reconciliation!D17</f>
        <v>0.0569012554078212</v>
      </c>
    </row>
    <row r="54" customFormat="false" ht="15" hidden="false" customHeight="false" outlineLevel="0" collapsed="false">
      <c r="A54" s="14" t="str">
        <f aca="false">Reconciliation!A18</f>
        <v>Returns rate</v>
      </c>
      <c r="B54" s="31" t="n">
        <f aca="false">Reconciliation!B18</f>
        <v>0.259094216949451</v>
      </c>
      <c r="C54" s="31" t="n">
        <f aca="false">Reconciliation!C18</f>
        <v>0.21693574775496</v>
      </c>
      <c r="D54" s="30" t="n">
        <f aca="false">Reconciliation!D18</f>
        <v>-0.0421584691944912</v>
      </c>
    </row>
    <row r="55" customFormat="false" ht="15" hidden="false" customHeight="false" outlineLevel="0" collapsed="false">
      <c r="A55" s="14" t="str">
        <f aca="false">Reconciliation!A19</f>
        <v>Media spend (indicative floor)</v>
      </c>
      <c r="B55" s="20" t="n">
        <f aca="false">Reconciliation!B19</f>
        <v>3050000</v>
      </c>
      <c r="C55" s="20" t="n">
        <f aca="false">Reconciliation!C19</f>
        <v>3457269.68497074</v>
      </c>
      <c r="D55" s="30" t="n">
        <f aca="false">Reconciliation!D19</f>
        <v>0.1335310442527</v>
      </c>
    </row>
    <row r="57" customFormat="false" ht="15" hidden="false" customHeight="false" outlineLevel="0" collapsed="false">
      <c r="A57" s="15" t="s">
        <v>118</v>
      </c>
      <c r="B57" s="15"/>
      <c r="C57" s="15"/>
      <c r="D57" s="15"/>
      <c r="E57" s="15"/>
      <c r="F57" s="15"/>
    </row>
    <row r="58" customFormat="false" ht="42" hidden="false" customHeight="true" outlineLevel="0" collapsed="false">
      <c r="A58" s="19" t="s">
        <v>114</v>
      </c>
      <c r="B58" s="19" t="s">
        <v>119</v>
      </c>
      <c r="C58" s="19" t="s">
        <v>98</v>
      </c>
      <c r="D58" s="19" t="s">
        <v>97</v>
      </c>
      <c r="E58" s="19" t="s">
        <v>120</v>
      </c>
      <c r="F58" s="19"/>
    </row>
    <row r="59" customFormat="false" ht="15" hidden="false" customHeight="false" outlineLevel="0" collapsed="false">
      <c r="A59" s="14" t="str">
        <f aca="false">Scenarios!A54</f>
        <v>Conversion rate</v>
      </c>
      <c r="B59" s="14" t="str">
        <f aca="false">Scenarios!B54</f>
        <v>+1% relative</v>
      </c>
      <c r="C59" s="20" t="n">
        <f aca="false">Scenarios!D54</f>
        <v>85160.9462530364</v>
      </c>
      <c r="D59" s="20" t="n">
        <f aca="false">Scenarios!C54</f>
        <v>222348.11322021</v>
      </c>
      <c r="E59" s="14" t="str">
        <f aca="false">Assumptions!I18</f>
        <v>Untested hypothesis</v>
      </c>
    </row>
    <row r="60" customFormat="false" ht="15" hidden="false" customHeight="false" outlineLevel="0" collapsed="false">
      <c r="A60" s="14" t="str">
        <f aca="false">Scenarios!A55</f>
        <v>AOV</v>
      </c>
      <c r="B60" s="14" t="str">
        <f aca="false">Scenarios!B55</f>
        <v>+1% relative</v>
      </c>
      <c r="C60" s="20" t="n">
        <f aca="false">Scenarios!D55</f>
        <v>112189.653750291</v>
      </c>
      <c r="D60" s="20" t="n">
        <f aca="false">Scenarios!C55</f>
        <v>222348.11322021</v>
      </c>
      <c r="E60" s="14" t="str">
        <f aca="false">Assumptions!I19</f>
        <v>Management judgement</v>
      </c>
    </row>
    <row r="61" customFormat="false" ht="15" hidden="false" customHeight="false" outlineLevel="0" collapsed="false">
      <c r="A61" s="14" t="str">
        <f aca="false">Scenarios!A56</f>
        <v>Non-paid sessions (organic, email, affiliates)</v>
      </c>
      <c r="B61" s="14" t="str">
        <f aca="false">Scenarios!B56</f>
        <v>+1%</v>
      </c>
      <c r="C61" s="20" t="n">
        <f aca="false">Scenarios!D56</f>
        <v>48871.5217178292</v>
      </c>
      <c r="D61" s="20" t="n">
        <f aca="false">Scenarios!C56</f>
        <v>127599.458698739</v>
      </c>
      <c r="E61" s="14" t="str">
        <f aca="false">Assumptions!I6</f>
        <v>Management judgement</v>
      </c>
    </row>
    <row r="62" customFormat="false" ht="15" hidden="false" customHeight="false" outlineLevel="0" collapsed="false">
      <c r="A62" s="14" t="str">
        <f aca="false">Scenarios!A57</f>
        <v>Returns rate</v>
      </c>
      <c r="B62" s="14" t="str">
        <f aca="false">Scenarios!B57</f>
        <v>+1 point</v>
      </c>
      <c r="C62" s="20" t="n">
        <f aca="false">Scenarios!D57</f>
        <v>-188088.497973777</v>
      </c>
      <c r="D62" s="20" t="n">
        <f aca="false">Scenarios!C57</f>
        <v>-300103.087743128</v>
      </c>
      <c r="E62" s="14" t="str">
        <f aca="false">Assumptions!I21</f>
        <v>Management judgement</v>
      </c>
    </row>
    <row r="63" customFormat="false" ht="15" hidden="false" customHeight="false" outlineLevel="0" collapsed="false">
      <c r="A63" s="14" t="str">
        <f aca="false">Scenarios!A58</f>
        <v>Discount depth</v>
      </c>
      <c r="B63" s="14" t="str">
        <f aca="false">Scenarios!B58</f>
        <v>+1 point</v>
      </c>
      <c r="C63" s="20" t="n">
        <f aca="false">Scenarios!D58</f>
        <v>-119812.490075279</v>
      </c>
      <c r="D63" s="20" t="n">
        <f aca="false">Scenarios!C58</f>
        <v>0</v>
      </c>
      <c r="E63" s="14" t="str">
        <f aca="false">Assumptions!I20</f>
        <v>Management judgement</v>
      </c>
    </row>
    <row r="64" customFormat="false" ht="15" hidden="false" customHeight="false" outlineLevel="0" collapsed="false">
      <c r="A64" s="14" t="str">
        <f aca="false">Scenarios!A59</f>
        <v>Media budget, all paid channels</v>
      </c>
      <c r="B64" s="14" t="str">
        <f aca="false">Scenarios!B59</f>
        <v>+10%</v>
      </c>
      <c r="C64" s="20" t="n">
        <f aca="false">Scenarios!D59</f>
        <v>-54057.3220846264</v>
      </c>
      <c r="D64" s="20" t="n">
        <f aca="false">Scenarios!C59</f>
        <v>655190.359147996</v>
      </c>
      <c r="E64" s="14" t="str">
        <f aca="false">Assumptions!I14</f>
        <v>Untested hypothesis</v>
      </c>
    </row>
    <row r="66" customFormat="false" ht="15" hidden="false" customHeight="false" outlineLevel="0" collapsed="false">
      <c r="A66" s="15" t="s">
        <v>121</v>
      </c>
      <c r="B66" s="15"/>
      <c r="C66" s="15"/>
      <c r="D66" s="15"/>
      <c r="E66" s="15"/>
      <c r="F66" s="15"/>
    </row>
    <row r="67" customFormat="false" ht="15" hidden="false" customHeight="false" outlineLevel="0" collapsed="false">
      <c r="A67" s="13" t="s">
        <v>122</v>
      </c>
      <c r="B67" s="14" t="n">
        <f aca="false">COUNTIF(Assumptions!I6:I38,"Historical evidence")</f>
        <v>14</v>
      </c>
    </row>
    <row r="68" customFormat="false" ht="15" hidden="false" customHeight="false" outlineLevel="0" collapsed="false">
      <c r="A68" s="13" t="s">
        <v>123</v>
      </c>
      <c r="B68" s="14" t="n">
        <f aca="false">COUNTIF(Assumptions!I6:I38,"External benchmark")</f>
        <v>1</v>
      </c>
    </row>
    <row r="69" customFormat="false" ht="15" hidden="false" customHeight="false" outlineLevel="0" collapsed="false">
      <c r="A69" s="13" t="s">
        <v>124</v>
      </c>
      <c r="B69" s="14" t="n">
        <f aca="false">COUNTIF(Assumptions!I6:I38,"Management judgement")</f>
        <v>10</v>
      </c>
    </row>
    <row r="70" customFormat="false" ht="15" hidden="false" customHeight="false" outlineLevel="0" collapsed="false">
      <c r="A70" s="13" t="s">
        <v>125</v>
      </c>
      <c r="B70" s="14" t="n">
        <f aca="false">COUNTIF(Assumptions!I6:I38,"Untested hypothesis")</f>
        <v>4</v>
      </c>
    </row>
    <row r="71" customFormat="false" ht="15" hidden="false" customHeight="false" outlineLevel="0" collapsed="false">
      <c r="A71" s="13" t="s">
        <v>126</v>
      </c>
      <c r="B71" s="14" t="n">
        <f aca="false">'Stock Feasibility'!E21</f>
        <v>4</v>
      </c>
      <c r="C71" s="14" t="str">
        <f aca="false">"First: "&amp;'Stock Feasibility'!E22</f>
        <v>First: P9</v>
      </c>
    </row>
    <row r="72" customFormat="false" ht="15" hidden="false" customHeight="false" outlineLevel="0" collapsed="false">
      <c r="A72" s="13" t="s">
        <v>127</v>
      </c>
      <c r="B72" s="20" t="n">
        <f aca="false">'Stock Feasibility'!N19</f>
        <v>1040015.47458999</v>
      </c>
    </row>
    <row r="73" customFormat="false" ht="15" hidden="false" customHeight="false" outlineLevel="0" collapsed="false">
      <c r="A73" s="13" t="s">
        <v>128</v>
      </c>
      <c r="B73" s="31" t="n">
        <f aca="false">'Back Test'!E65</f>
        <v>0.0881800038909716</v>
      </c>
      <c r="C73" s="13" t="s">
        <v>129</v>
      </c>
    </row>
    <row r="74" customFormat="false" ht="15" hidden="false" customHeight="false" outlineLevel="0" collapsed="false">
      <c r="A74" s="13" t="s">
        <v>130</v>
      </c>
      <c r="B74" s="31" t="n">
        <f aca="false">'Back Test'!F65</f>
        <v>0.0575450810941444</v>
      </c>
    </row>
    <row r="76" customFormat="false" ht="15" hidden="false" customHeight="false" outlineLevel="0" collapsed="false">
      <c r="A76" s="15" t="s">
        <v>131</v>
      </c>
      <c r="B76" s="15"/>
      <c r="C76" s="15"/>
      <c r="D76" s="15"/>
      <c r="E76" s="15"/>
      <c r="F76" s="15"/>
    </row>
    <row r="77" customFormat="false" ht="42" hidden="false" customHeight="true" outlineLevel="0" collapsed="false">
      <c r="A77" s="19" t="s">
        <v>132</v>
      </c>
      <c r="B77" s="19"/>
      <c r="C77" s="19"/>
      <c r="D77" s="19" t="s">
        <v>133</v>
      </c>
      <c r="E77" s="19" t="s">
        <v>134</v>
      </c>
      <c r="F77" s="19"/>
    </row>
    <row r="78" customFormat="false" ht="25.5" hidden="false" customHeight="true" outlineLevel="0" collapsed="false">
      <c r="A78" s="17" t="str">
        <f aca="false">IFERROR(INDEX(Checks!$B$5:$B$24,MATCH(1,Checks!$J$5:$J$24,0)),IF(1=1,"All checks pass",""))</f>
        <v>Easter and 53-week year confirmed by hand</v>
      </c>
      <c r="B78" s="17"/>
      <c r="C78" s="17"/>
      <c r="D78" s="14" t="str">
        <f aca="false">IFERROR(INDEX(Checks!$D$5:$D$24,MATCH(1,Checks!$J$5:$J$24,0)),"")</f>
        <v>WARN</v>
      </c>
      <c r="E78" s="17" t="str">
        <f aca="false">IFERROR(INDEX(Checks!$F$5:$F$24,MATCH(1,Checks!$J$5:$J$24,0)),"")</f>
        <v>Check where Easter falls and whether the year has 53 weeks, then choose Confirmed in cell D30.</v>
      </c>
      <c r="F78" s="17"/>
    </row>
    <row r="79" customFormat="false" ht="25.5" hidden="false" customHeight="true" outlineLevel="0" collapsed="false">
      <c r="A79" s="17" t="str">
        <f aca="false">IFERROR(INDEX(Checks!$B$5:$B$24,MATCH(2,Checks!$J$5:$J$24,0)),IF(2=1,"All checks pass",""))</f>
        <v>Stock feasibility: periods flagged Short or Tight</v>
      </c>
      <c r="B79" s="17"/>
      <c r="C79" s="17"/>
      <c r="D79" s="14" t="str">
        <f aca="false">IFERROR(INDEX(Checks!$D$5:$D$24,MATCH(2,Checks!$J$5:$J$24,0)),"")</f>
        <v>WARN</v>
      </c>
      <c r="E79" s="17" t="str">
        <f aca="false">IFERROR(INDEX(Checks!$F$5:$F$24,MATCH(2,Checks!$J$5:$J$24,0)),"")</f>
        <v>Add intake for the flagged periods on Stock Feasibility, or reduce the sales plan to what the stock supports.</v>
      </c>
      <c r="F79" s="17"/>
    </row>
    <row r="80" customFormat="false" ht="25.5" hidden="false" customHeight="true" outlineLevel="0" collapsed="false">
      <c r="A80" s="17" t="str">
        <f aca="false">IFERROR(INDEX(Checks!$B$5:$B$24,MATCH(3,Checks!$J$5:$J$24,0)),IF(3=1,"All checks pass",""))</f>
        <v>Untested hypotheses in the assumptions register</v>
      </c>
      <c r="B80" s="17"/>
      <c r="C80" s="17"/>
      <c r="D80" s="14" t="str">
        <f aca="false">IFERROR(INDEX(Checks!$D$5:$D$24,MATCH(3,Checks!$J$5:$J$24,0)),"")</f>
        <v>WARN</v>
      </c>
      <c r="E80" s="17" t="str">
        <f aca="false">IFERROR(INDEX(Checks!$F$5:$F$24,MATCH(3,Checks!$J$5:$J$24,0)),"")</f>
        <v>Name each untested assumption on the summary, and test the ones that drive a lever before funding them.</v>
      </c>
      <c r="F80" s="17"/>
    </row>
    <row r="81" customFormat="false" ht="25.5" hidden="false" customHeight="true" outlineLevel="0" collapsed="false">
      <c r="A81" s="17" t="str">
        <f aca="false">IFERROR(INDEX(Checks!$B$5:$B$24,MATCH(4,Checks!$J$5:$J$24,0)),IF(4=1,"All checks pass",""))</f>
        <v/>
      </c>
      <c r="B81" s="17"/>
      <c r="C81" s="17"/>
      <c r="D81" s="14" t="str">
        <f aca="false">IFERROR(INDEX(Checks!$D$5:$D$24,MATCH(4,Checks!$J$5:$J$24,0)),"")</f>
        <v/>
      </c>
      <c r="E81" s="17" t="str">
        <f aca="false">IFERROR(INDEX(Checks!$F$5:$F$24,MATCH(4,Checks!$J$5:$J$24,0)),"")</f>
        <v/>
      </c>
      <c r="F81" s="17"/>
    </row>
    <row r="82" customFormat="false" ht="25.5" hidden="false" customHeight="true" outlineLevel="0" collapsed="false">
      <c r="A82" s="17" t="str">
        <f aca="false">IFERROR(INDEX(Checks!$B$5:$B$24,MATCH(5,Checks!$J$5:$J$24,0)),IF(5=1,"All checks pass",""))</f>
        <v/>
      </c>
      <c r="B82" s="17"/>
      <c r="C82" s="17"/>
      <c r="D82" s="14" t="str">
        <f aca="false">IFERROR(INDEX(Checks!$D$5:$D$24,MATCH(5,Checks!$J$5:$J$24,0)),"")</f>
        <v/>
      </c>
      <c r="E82" s="17" t="str">
        <f aca="false">IFERROR(INDEX(Checks!$F$5:$F$24,MATCH(5,Checks!$J$5:$J$24,0)),"")</f>
        <v/>
      </c>
      <c r="F82" s="17"/>
    </row>
    <row r="83" customFormat="false" ht="25.5" hidden="false" customHeight="true" outlineLevel="0" collapsed="false">
      <c r="A83" s="17" t="str">
        <f aca="false">IFERROR(INDEX(Checks!$B$5:$B$24,MATCH(6,Checks!$J$5:$J$24,0)),IF(6=1,"All checks pass",""))</f>
        <v/>
      </c>
      <c r="B83" s="17"/>
      <c r="C83" s="17"/>
      <c r="D83" s="14" t="str">
        <f aca="false">IFERROR(INDEX(Checks!$D$5:$D$24,MATCH(6,Checks!$J$5:$J$24,0)),"")</f>
        <v/>
      </c>
      <c r="E83" s="17" t="str">
        <f aca="false">IFERROR(INDEX(Checks!$F$5:$F$24,MATCH(6,Checks!$J$5:$J$24,0)),"")</f>
        <v/>
      </c>
      <c r="F83" s="17"/>
    </row>
    <row r="85" customFormat="false" ht="15" hidden="false" customHeight="false" outlineLevel="0" collapsed="false">
      <c r="A85" s="15" t="s">
        <v>135</v>
      </c>
      <c r="B85" s="15"/>
      <c r="C85" s="15"/>
      <c r="D85" s="15"/>
      <c r="E85" s="15"/>
      <c r="F85" s="15"/>
    </row>
    <row r="86" customFormat="false" ht="42" hidden="false" customHeight="true" outlineLevel="0" collapsed="false">
      <c r="A86" s="19" t="s">
        <v>136</v>
      </c>
      <c r="B86" s="19"/>
      <c r="C86" s="19"/>
      <c r="D86" s="19" t="s">
        <v>137</v>
      </c>
      <c r="E86" s="19" t="s">
        <v>138</v>
      </c>
      <c r="F86" s="19"/>
    </row>
    <row r="87" customFormat="false" ht="15" hidden="false" customHeight="false" outlineLevel="0" collapsed="false">
      <c r="A87" s="32" t="s">
        <v>139</v>
      </c>
      <c r="B87" s="32"/>
      <c r="C87" s="32"/>
      <c r="D87" s="27" t="s">
        <v>140</v>
      </c>
      <c r="E87" s="32" t="s">
        <v>141</v>
      </c>
      <c r="F87" s="32"/>
    </row>
    <row r="88" customFormat="false" ht="15" hidden="false" customHeight="false" outlineLevel="0" collapsed="false">
      <c r="A88" s="32" t="s">
        <v>142</v>
      </c>
      <c r="B88" s="32"/>
      <c r="C88" s="32"/>
      <c r="D88" s="27" t="s">
        <v>143</v>
      </c>
      <c r="E88" s="32" t="s">
        <v>144</v>
      </c>
      <c r="F88" s="32"/>
    </row>
    <row r="89" customFormat="false" ht="15" hidden="false" customHeight="false" outlineLevel="0" collapsed="false">
      <c r="A89" s="32" t="s">
        <v>145</v>
      </c>
      <c r="B89" s="32"/>
      <c r="C89" s="32"/>
      <c r="D89" s="27" t="s">
        <v>146</v>
      </c>
      <c r="E89" s="32" t="s">
        <v>147</v>
      </c>
      <c r="F89" s="32"/>
    </row>
    <row r="91" customFormat="false" ht="15" hidden="false" customHeight="false" outlineLevel="0" collapsed="false">
      <c r="A91" s="15" t="s">
        <v>148</v>
      </c>
      <c r="B91" s="15"/>
      <c r="C91" s="15"/>
      <c r="D91" s="15"/>
      <c r="E91" s="15"/>
      <c r="F91" s="15"/>
    </row>
    <row r="92" customFormat="false" ht="42" hidden="false" customHeight="true" outlineLevel="0" collapsed="false">
      <c r="A92" s="19" t="s">
        <v>149</v>
      </c>
      <c r="B92" s="19"/>
      <c r="C92" s="19"/>
      <c r="D92" s="19" t="s">
        <v>137</v>
      </c>
      <c r="E92" s="19" t="s">
        <v>150</v>
      </c>
      <c r="F92" s="19"/>
    </row>
    <row r="93" customFormat="false" ht="15" hidden="false" customHeight="false" outlineLevel="0" collapsed="false">
      <c r="A93" s="32" t="s">
        <v>151</v>
      </c>
      <c r="B93" s="32"/>
      <c r="C93" s="32"/>
      <c r="D93" s="27" t="s">
        <v>152</v>
      </c>
      <c r="E93" s="33"/>
    </row>
    <row r="94" customFormat="false" ht="15" hidden="false" customHeight="false" outlineLevel="0" collapsed="false">
      <c r="A94" s="32" t="s">
        <v>153</v>
      </c>
      <c r="B94" s="32"/>
      <c r="C94" s="32"/>
      <c r="D94" s="27" t="s">
        <v>154</v>
      </c>
      <c r="E94" s="33"/>
    </row>
    <row r="95" customFormat="false" ht="15" hidden="false" customHeight="false" outlineLevel="0" collapsed="false">
      <c r="A95" s="32" t="s">
        <v>155</v>
      </c>
      <c r="B95" s="32"/>
      <c r="C95" s="32"/>
      <c r="D95" s="27" t="s">
        <v>156</v>
      </c>
      <c r="E95" s="33"/>
    </row>
    <row r="97" customFormat="false" ht="15" hidden="false" customHeight="false" outlineLevel="0" collapsed="false">
      <c r="A97" s="13" t="s">
        <v>157</v>
      </c>
    </row>
  </sheetData>
  <sheetProtection sheet="true" formatColumns="false" formatRows="false"/>
  <mergeCells count="29">
    <mergeCell ref="A10:F10"/>
    <mergeCell ref="A11:F11"/>
    <mergeCell ref="A12:F12"/>
    <mergeCell ref="A13:F13"/>
    <mergeCell ref="A34:F34"/>
    <mergeCell ref="B45:F45"/>
    <mergeCell ref="B46:F46"/>
    <mergeCell ref="B47:F47"/>
    <mergeCell ref="A78:C78"/>
    <mergeCell ref="E78:F78"/>
    <mergeCell ref="A79:C79"/>
    <mergeCell ref="E79:F79"/>
    <mergeCell ref="A80:C80"/>
    <mergeCell ref="E80:F80"/>
    <mergeCell ref="A81:C81"/>
    <mergeCell ref="E81:F81"/>
    <mergeCell ref="A82:C82"/>
    <mergeCell ref="E82:F82"/>
    <mergeCell ref="A83:C83"/>
    <mergeCell ref="E83:F83"/>
    <mergeCell ref="A87:C87"/>
    <mergeCell ref="E87:F87"/>
    <mergeCell ref="A88:C88"/>
    <mergeCell ref="E88:F88"/>
    <mergeCell ref="A89:C89"/>
    <mergeCell ref="E89:F89"/>
    <mergeCell ref="A93:C93"/>
    <mergeCell ref="A94:C94"/>
    <mergeCell ref="A95:C95"/>
  </mergeCells>
  <conditionalFormatting sqref="B7">
    <cfRule type="cellIs" priority="2" operator="equal" aboveAverage="0" equalAverage="0" bottom="0" percent="0" rank="0" text="" dxfId="0">
      <formula>"PASS"</formula>
    </cfRule>
    <cfRule type="cellIs" priority="3" operator="equal" aboveAverage="0" equalAverage="0" bottom="0" percent="0" rank="0" text="" dxfId="1">
      <formula>"WARN"</formula>
    </cfRule>
    <cfRule type="cellIs" priority="4" operator="equal" aboveAverage="0" equalAverage="0" bottom="0" percent="0" rank="0" text="" dxfId="2">
      <formula>"FAIL"</formula>
    </cfRule>
  </conditionalFormatting>
  <conditionalFormatting sqref="E59:E64">
    <cfRule type="cellIs" priority="5" operator="equal" aboveAverage="0" equalAverage="0" bottom="0" percent="0" rank="0" text="" dxfId="1">
      <formula>"Untested hypothesis"</formula>
    </cfRule>
  </conditionalFormatting>
  <conditionalFormatting sqref="D78:D83">
    <cfRule type="cellIs" priority="6" operator="equal" aboveAverage="0" equalAverage="0" bottom="0" percent="0" rank="0" text="" dxfId="0">
      <formula>"PASS"</formula>
    </cfRule>
    <cfRule type="cellIs" priority="7" operator="equal" aboveAverage="0" equalAverage="0" bottom="0" percent="0" rank="0" text="" dxfId="1">
      <formula>"WARN"</formula>
    </cfRule>
    <cfRule type="cellIs" priority="8" operator="equal" aboveAverage="0" equalAverage="0" bottom="0" percent="0" rank="0" text="" dxfId="2">
      <formula>"FAIL"</formula>
    </cfRule>
  </conditionalFormatting>
  <dataValidations count="1">
    <dataValidation allowBlank="false" errorStyle="stop" operator="between" showDropDown="false" showErrorMessage="false" showInputMessage="false" sqref="B37" type="list">
      <formula1>"Base,Upside,Downside"</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6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62"/>
    <col collapsed="false" customWidth="true" hidden="false" outlineLevel="0" max="3" min="3" style="0" width="16"/>
    <col collapsed="false" customWidth="true" hidden="false" outlineLevel="0" max="4" min="4" style="0" width="12"/>
    <col collapsed="false" customWidth="true" hidden="false" outlineLevel="0" max="6" min="5" style="0" width="70"/>
    <col collapsed="false" customWidth="true" hidden="false" outlineLevel="0" max="7" min="7" style="0" width="12"/>
    <col collapsed="false" customWidth="true" hidden="false" outlineLevel="0" max="8" min="8" style="0" width="9"/>
    <col collapsed="false" customWidth="true" hidden="false" outlineLevel="0" max="9" min="9" style="0" width="22"/>
    <col collapsed="false" customWidth="true" hidden="true" outlineLevel="0" max="10" min="10" style="0" width="13"/>
  </cols>
  <sheetData>
    <row r="1" customFormat="false" ht="17.35" hidden="false" customHeight="false" outlineLevel="0" collapsed="false">
      <c r="A1" s="1" t="s">
        <v>78</v>
      </c>
    </row>
    <row r="2" customFormat="false" ht="15" hidden="false" customHeight="false" outlineLevel="0" collapsed="false">
      <c r="A2" s="2" t="s">
        <v>158</v>
      </c>
    </row>
    <row r="4" customFormat="false" ht="42" hidden="false" customHeight="true" outlineLevel="0" collapsed="false">
      <c r="A4" s="19" t="s">
        <v>159</v>
      </c>
      <c r="B4" s="19" t="s">
        <v>132</v>
      </c>
      <c r="C4" s="19" t="s">
        <v>160</v>
      </c>
      <c r="D4" s="19" t="s">
        <v>133</v>
      </c>
      <c r="E4" s="19" t="s">
        <v>161</v>
      </c>
      <c r="F4" s="19" t="s">
        <v>134</v>
      </c>
    </row>
    <row r="5" customFormat="false" ht="15" hidden="false" customHeight="false" outlineLevel="0" collapsed="false">
      <c r="A5" s="13" t="n">
        <v>1</v>
      </c>
      <c r="B5" s="13" t="s">
        <v>162</v>
      </c>
      <c r="C5" s="31" t="n">
        <f aca="false">Settings!B13</f>
        <v>1</v>
      </c>
      <c r="D5" s="34" t="str">
        <f aca="false">IF(ABS(C5-1)&lt;0.0001,"PASS","FAIL")</f>
        <v>PASS</v>
      </c>
      <c r="E5" s="13" t="s">
        <v>163</v>
      </c>
      <c r="F5" s="13" t="s">
        <v>164</v>
      </c>
      <c r="J5" s="34" t="str">
        <f aca="false">IF(D5&lt;&gt;"PASS",COUNTIF(D$5:D5,"WARN")+COUNTIF(D$5:D5,"FAIL"),"")</f>
        <v/>
      </c>
    </row>
    <row r="6" customFormat="false" ht="15" hidden="false" customHeight="false" outlineLevel="0" collapsed="false">
      <c r="A6" s="13" t="n">
        <v>2</v>
      </c>
      <c r="B6" s="13" t="s">
        <v>165</v>
      </c>
      <c r="C6" s="14" t="str">
        <f aca="false">Settings!B14</f>
        <v>Base</v>
      </c>
      <c r="D6" s="34" t="str">
        <f aca="false">IF(OR(C6="Base",C6="Upside",C6="Downside"),"PASS","FAIL")</f>
        <v>PASS</v>
      </c>
      <c r="E6" s="13" t="s">
        <v>166</v>
      </c>
      <c r="F6" s="13" t="s">
        <v>167</v>
      </c>
      <c r="J6" s="34" t="str">
        <f aca="false">IF(D6&lt;&gt;"PASS",COUNTIF(D$5:D6,"WARN")+COUNTIF(D$5:D6,"FAIL"),"")</f>
        <v/>
      </c>
    </row>
    <row r="7" customFormat="false" ht="15" hidden="false" customHeight="false" outlineLevel="0" collapsed="false">
      <c r="A7" s="13" t="n">
        <v>3</v>
      </c>
      <c r="B7" s="13" t="s">
        <v>168</v>
      </c>
      <c r="C7" s="20" t="n">
        <f aca="false">Settings!B16</f>
        <v>23500000</v>
      </c>
      <c r="D7" s="34" t="str">
        <f aca="false">IF(C7&gt;0,"PASS","FAIL")</f>
        <v>PASS</v>
      </c>
      <c r="E7" s="13" t="s">
        <v>169</v>
      </c>
      <c r="F7" s="13" t="s">
        <v>170</v>
      </c>
      <c r="J7" s="34" t="str">
        <f aca="false">IF(D7&lt;&gt;"PASS",COUNTIF(D$5:D7,"WARN")+COUNTIF(D$5:D7,"FAIL"),"")</f>
        <v/>
      </c>
    </row>
    <row r="8" customFormat="false" ht="15" hidden="false" customHeight="false" outlineLevel="0" collapsed="false">
      <c r="A8" s="13" t="n">
        <v>4</v>
      </c>
      <c r="B8" s="13" t="s">
        <v>171</v>
      </c>
      <c r="C8" s="35" t="n">
        <f aca="false">COUNTBLANK('History Y-1'!C6:H57)+COUNTBLANK('History Y-1'!J6:R57)+COUNTBLANK('History Y-2'!C6:H57)+COUNTBLANK('History Y-2'!J6:R57)+COUNTBLANK('History Y-3'!C6:H57)+COUNTBLANK('History Y-3'!J6:R57)</f>
        <v>0</v>
      </c>
      <c r="D8" s="34" t="str">
        <f aca="false">IF(C8=0,"PASS","FAIL")</f>
        <v>PASS</v>
      </c>
      <c r="E8" s="13" t="s">
        <v>172</v>
      </c>
      <c r="F8" s="13" t="s">
        <v>173</v>
      </c>
      <c r="J8" s="34" t="str">
        <f aca="false">IF(D8&lt;&gt;"PASS",COUNTIF(D$5:D8,"WARN")+COUNTIF(D$5:D8,"FAIL"),"")</f>
        <v/>
      </c>
    </row>
    <row r="9" customFormat="false" ht="15" hidden="false" customHeight="false" outlineLevel="0" collapsed="false">
      <c r="A9" s="13" t="n">
        <v>5</v>
      </c>
      <c r="B9" s="13" t="s">
        <v>174</v>
      </c>
      <c r="C9" s="35" t="n">
        <f aca="false">SUMPRODUCT(('History Y-1'!S6:S57="Y")*('History Y-2'!S6:S57="Y")*('History Y-3'!S6:S57="Y"))</f>
        <v>0</v>
      </c>
      <c r="D9" s="34" t="str">
        <f aca="false">IF(C9=0,"PASS","WARN")</f>
        <v>PASS</v>
      </c>
      <c r="E9" s="13" t="s">
        <v>175</v>
      </c>
      <c r="F9" s="13" t="s">
        <v>176</v>
      </c>
      <c r="J9" s="34" t="str">
        <f aca="false">IF(D9&lt;&gt;"PASS",COUNTIF(D$5:D9,"WARN")+COUNTIF(D$5:D9,"FAIL"),"")</f>
        <v/>
      </c>
    </row>
    <row r="10" customFormat="false" ht="15" hidden="false" customHeight="false" outlineLevel="0" collapsed="false">
      <c r="A10" s="13" t="n">
        <v>6</v>
      </c>
      <c r="B10" s="13" t="s">
        <v>177</v>
      </c>
      <c r="C10" s="36" t="n">
        <f aca="false">ABS(Baseline!Q58-1)+ABS(Baseline!R58-1)+ABS(Baseline!S58-1)+ABS(Baseline!T58-1)+ABS(Baseline!U58-1)+ABS(Baseline!V58-1)</f>
        <v>0</v>
      </c>
      <c r="D10" s="34" t="str">
        <f aca="false">IF(C10&lt;0.000001,"PASS","FAIL")</f>
        <v>PASS</v>
      </c>
      <c r="E10" s="13" t="s">
        <v>178</v>
      </c>
      <c r="F10" s="13" t="s">
        <v>179</v>
      </c>
      <c r="J10" s="34" t="str">
        <f aca="false">IF(D10&lt;&gt;"PASS",COUNTIF(D$5:D10,"WARN")+COUNTIF(D$5:D10,"FAIL"),"")</f>
        <v/>
      </c>
    </row>
    <row r="11" customFormat="false" ht="15" hidden="false" customHeight="false" outlineLevel="0" collapsed="false">
      <c r="A11" s="13" t="n">
        <v>7</v>
      </c>
      <c r="B11" s="13" t="s">
        <v>180</v>
      </c>
      <c r="C11" s="35" t="n">
        <f aca="false">COUNTIF(Checks!H34:H62,"Breach")</f>
        <v>0</v>
      </c>
      <c r="D11" s="34" t="str">
        <f aca="false">IF(C11=0,"PASS","FAIL")</f>
        <v>PASS</v>
      </c>
      <c r="E11" s="13" t="s">
        <v>181</v>
      </c>
      <c r="F11" s="13" t="s">
        <v>182</v>
      </c>
      <c r="J11" s="34" t="str">
        <f aca="false">IF(D11&lt;&gt;"PASS",COUNTIF(D$5:D11,"WARN")+COUNTIF(D$5:D11,"FAIL"),"")</f>
        <v/>
      </c>
    </row>
    <row r="12" customFormat="false" ht="15" hidden="false" customHeight="false" outlineLevel="0" collapsed="false">
      <c r="A12" s="13" t="n">
        <v>8</v>
      </c>
      <c r="B12" s="13" t="s">
        <v>183</v>
      </c>
      <c r="C12" s="31" t="n">
        <f aca="false">MAX('Engine Base'!O6:O57,'Engine Upside'!O6:O57,'Engine Downside'!O6:O57)</f>
        <v>0.301575752943282</v>
      </c>
      <c r="D12" s="14" t="str">
        <f aca="false">IF(AND(C12&lt;0.8,MIN('Engine Base'!O6:O57,'Engine Upside'!O6:O57,'Engine Downside'!O6:O57)&gt;=0),"PASS","FAIL")</f>
        <v>PASS</v>
      </c>
      <c r="E12" s="13" t="s">
        <v>184</v>
      </c>
      <c r="F12" s="13" t="s">
        <v>185</v>
      </c>
      <c r="J12" s="34" t="str">
        <f aca="false">IF(D12&lt;&gt;"PASS",COUNTIF(D$5:D12,"WARN")+COUNTIF(D$5:D12,"FAIL"),"")</f>
        <v/>
      </c>
    </row>
    <row r="13" customFormat="false" ht="15" hidden="false" customHeight="false" outlineLevel="0" collapsed="false">
      <c r="A13" s="13" t="n">
        <v>9</v>
      </c>
      <c r="B13" s="13" t="s">
        <v>186</v>
      </c>
      <c r="C13" s="31" t="n">
        <f aca="false">MAX('Engine Base'!N6:N57,'Engine Upside'!N6:N57,'Engine Downside'!N6:N57)</f>
        <v>0.34955226829625</v>
      </c>
      <c r="D13" s="34" t="str">
        <f aca="false">IF(C13&lt;0.7,"PASS","FAIL")</f>
        <v>PASS</v>
      </c>
      <c r="E13" s="13" t="s">
        <v>187</v>
      </c>
      <c r="F13" s="13" t="s">
        <v>188</v>
      </c>
      <c r="J13" s="34" t="str">
        <f aca="false">IF(D13&lt;&gt;"PASS",COUNTIF(D$5:D13,"WARN")+COUNTIF(D$5:D13,"FAIL"),"")</f>
        <v/>
      </c>
    </row>
    <row r="14" customFormat="false" ht="15" hidden="false" customHeight="false" outlineLevel="0" collapsed="false">
      <c r="A14" s="13" t="n">
        <v>10</v>
      </c>
      <c r="B14" s="13" t="s">
        <v>189</v>
      </c>
      <c r="C14" s="20" t="n">
        <f aca="false">MIN(MIN('Engine Base'!C6:C57,'Engine Upside'!C6:C57,'Engine Downside'!C6:C57),MIN('Engine Base'!E6:E57,'Engine Upside'!E6:E57,'Engine Downside'!E6:E57),MIN('Engine Base'!G6:G57,'Engine Upside'!G6:G57,'Engine Downside'!G6:G57))</f>
        <v>2313.31241026666</v>
      </c>
      <c r="D14" s="34" t="str">
        <f aca="false">IF(C14&gt;=0,"PASS","FAIL")</f>
        <v>PASS</v>
      </c>
      <c r="E14" s="13" t="s">
        <v>190</v>
      </c>
      <c r="F14" s="13" t="s">
        <v>191</v>
      </c>
      <c r="J14" s="34" t="str">
        <f aca="false">IF(D14&lt;&gt;"PASS",COUNTIF(D$5:D14,"WARN")+COUNTIF(D$5:D14,"FAIL"),"")</f>
        <v/>
      </c>
    </row>
    <row r="15" customFormat="false" ht="15" hidden="false" customHeight="false" outlineLevel="0" collapsed="false">
      <c r="A15" s="13" t="n">
        <v>11</v>
      </c>
      <c r="B15" s="13" t="s">
        <v>192</v>
      </c>
      <c r="C15" s="20" t="n">
        <f aca="false">ABS('Media Plan'!E61)+ABS('Media Plan'!E62)+ABS('Media Plan'!E63)</f>
        <v>0</v>
      </c>
      <c r="D15" s="34" t="str">
        <f aca="false">IF(C15&lt;1,"PASS","WARN")</f>
        <v>PASS</v>
      </c>
      <c r="E15" s="13" t="s">
        <v>193</v>
      </c>
      <c r="F15" s="13" t="s">
        <v>194</v>
      </c>
      <c r="J15" s="34" t="str">
        <f aca="false">IF(D15&lt;&gt;"PASS",COUNTIF(D$5:D15,"WARN")+COUNTIF(D$5:D15,"FAIL"),"")</f>
        <v/>
      </c>
    </row>
    <row r="16" customFormat="false" ht="15" hidden="false" customHeight="false" outlineLevel="0" collapsed="false">
      <c r="A16" s="13" t="n">
        <v>12</v>
      </c>
      <c r="B16" s="13" t="s">
        <v>195</v>
      </c>
      <c r="C16" s="20" t="n">
        <f aca="false">ABS('Sales Build'!U58-'P&amp;L'!N14)</f>
        <v>0</v>
      </c>
      <c r="D16" s="34" t="str">
        <f aca="false">IF(C16&lt;1,"PASS","FAIL")</f>
        <v>PASS</v>
      </c>
      <c r="E16" s="13" t="s">
        <v>196</v>
      </c>
      <c r="F16" s="13" t="s">
        <v>197</v>
      </c>
      <c r="J16" s="34" t="str">
        <f aca="false">IF(D16&lt;&gt;"PASS",COUNTIF(D$5:D16,"WARN")+COUNTIF(D$5:D16,"FAIL"),"")</f>
        <v/>
      </c>
    </row>
    <row r="17" customFormat="false" ht="15" hidden="false" customHeight="false" outlineLevel="0" collapsed="false">
      <c r="A17" s="13" t="n">
        <v>13</v>
      </c>
      <c r="B17" s="13" t="s">
        <v>198</v>
      </c>
      <c r="C17" s="20" t="n">
        <f aca="false">ABS(Costs!U58-'P&amp;L'!N34)+ABS(Costs!C58-'Sales Build'!U58)</f>
        <v>0</v>
      </c>
      <c r="D17" s="34" t="str">
        <f aca="false">IF(C17&lt;1,"PASS","FAIL")</f>
        <v>PASS</v>
      </c>
      <c r="E17" s="13" t="s">
        <v>199</v>
      </c>
      <c r="F17" s="13" t="s">
        <v>200</v>
      </c>
      <c r="J17" s="34" t="str">
        <f aca="false">IF(D17&lt;&gt;"PASS",COUNTIF(D$5:D17,"WARN")+COUNTIF(D$5:D17,"FAIL"),"")</f>
        <v/>
      </c>
    </row>
    <row r="18" customFormat="false" ht="15" hidden="false" customHeight="false" outlineLevel="0" collapsed="false">
      <c r="A18" s="13" t="n">
        <v>14</v>
      </c>
      <c r="B18" s="13" t="s">
        <v>201</v>
      </c>
      <c r="C18" s="20" t="n">
        <f aca="false">ABS(CHOOSE(Settings!$B$15,'Engine Base'!Q58,'Engine Upside'!Q58,'Engine Downside'!Q58)-'P&amp;L'!N14)+ABS(CHOOSE(Settings!$B$15,'Engine Base'!Z58,'Engine Upside'!Z58,'Engine Downside'!Z58)-'P&amp;L'!N34)</f>
        <v>0</v>
      </c>
      <c r="D18" s="34" t="str">
        <f aca="false">IF(C18&lt;1,"PASS","FAIL")</f>
        <v>PASS</v>
      </c>
      <c r="E18" s="13" t="s">
        <v>202</v>
      </c>
      <c r="F18" s="13" t="s">
        <v>203</v>
      </c>
      <c r="J18" s="34" t="str">
        <f aca="false">IF(D18&lt;&gt;"PASS",COUNTIF(D$5:D18,"WARN")+COUNTIF(D$5:D18,"FAIL"),"")</f>
        <v/>
      </c>
    </row>
    <row r="19" customFormat="false" ht="15" hidden="false" customHeight="false" outlineLevel="0" collapsed="false">
      <c r="A19" s="13" t="n">
        <v>15</v>
      </c>
      <c r="B19" s="13" t="s">
        <v>204</v>
      </c>
      <c r="C19" s="14" t="str">
        <f aca="false">IF(AND('Engine Upside'!Q58&gt;='Engine Base'!Q58,'Engine Base'!Q58&gt;='Engine Downside'!Q58),"In order","Out of order")</f>
        <v>In order</v>
      </c>
      <c r="D19" s="34" t="str">
        <f aca="false">IF(C19="In order","PASS","WARN")</f>
        <v>PASS</v>
      </c>
      <c r="E19" s="13" t="s">
        <v>205</v>
      </c>
      <c r="F19" s="13" t="s">
        <v>206</v>
      </c>
      <c r="J19" s="34" t="str">
        <f aca="false">IF(D19&lt;&gt;"PASS",COUNTIF(D$5:D19,"WARN")+COUNTIF(D$5:D19,"FAIL"),"")</f>
        <v/>
      </c>
    </row>
    <row r="20" customFormat="false" ht="15" hidden="false" customHeight="false" outlineLevel="0" collapsed="false">
      <c r="A20" s="13" t="n">
        <v>16</v>
      </c>
      <c r="B20" s="13" t="s">
        <v>207</v>
      </c>
      <c r="C20" s="35" t="n">
        <f aca="false">IFERROR(INT((DATE(YEAR(Settings!$B$6),11,1)+MOD(5-WEEKDAY(DATE(YEAR(Settings!$B$6),11,1),2),7)+21-Settings!$B$6)/7)+1-MATCH("Black Friday",Calendar!$F$6:$F$57,0),99)</f>
        <v>0</v>
      </c>
      <c r="D20" s="34" t="str">
        <f aca="false">IF(C20=0,"PASS","WARN")</f>
        <v>PASS</v>
      </c>
      <c r="E20" s="13" t="s">
        <v>208</v>
      </c>
      <c r="F20" s="13" t="s">
        <v>209</v>
      </c>
      <c r="J20" s="34" t="str">
        <f aca="false">IF(D20&lt;&gt;"PASS",COUNTIF(D$5:D20,"WARN")+COUNTIF(D$5:D20,"FAIL"),"")</f>
        <v/>
      </c>
    </row>
    <row r="21" customFormat="false" ht="15" hidden="false" customHeight="false" outlineLevel="0" collapsed="false">
      <c r="A21" s="13" t="n">
        <v>17</v>
      </c>
      <c r="B21" s="13" t="s">
        <v>210</v>
      </c>
      <c r="C21" s="14" t="str">
        <f aca="false">IF(Checks!D30="","Not confirmed",Checks!D30)</f>
        <v>Not confirmed</v>
      </c>
      <c r="D21" s="34" t="str">
        <f aca="false">IF(C21="Confirmed","PASS","WARN")</f>
        <v>WARN</v>
      </c>
      <c r="E21" s="13" t="s">
        <v>211</v>
      </c>
      <c r="F21" s="13" t="s">
        <v>212</v>
      </c>
      <c r="J21" s="34" t="n">
        <f aca="false">IF(D21&lt;&gt;"PASS",COUNTIF(D$5:D21,"WARN")+COUNTIF(D$5:D21,"FAIL"),"")</f>
        <v>1</v>
      </c>
    </row>
    <row r="22" customFormat="false" ht="15" hidden="false" customHeight="false" outlineLevel="0" collapsed="false">
      <c r="A22" s="13" t="n">
        <v>18</v>
      </c>
      <c r="B22" s="13" t="s">
        <v>213</v>
      </c>
      <c r="C22" s="35" t="n">
        <f aca="false">'Stock Feasibility'!E21</f>
        <v>4</v>
      </c>
      <c r="D22" s="14" t="str">
        <f aca="false">IF(COUNTIF('Stock Feasibility'!M7:M18,"Short")&gt;0,"FAIL",IF(C22=0,"PASS","WARN"))</f>
        <v>WARN</v>
      </c>
      <c r="E22" s="13" t="s">
        <v>214</v>
      </c>
      <c r="F22" s="13" t="s">
        <v>215</v>
      </c>
      <c r="J22" s="34" t="n">
        <f aca="false">IF(D22&lt;&gt;"PASS",COUNTIF(D$5:D22,"WARN")+COUNTIF(D$5:D22,"FAIL"),"")</f>
        <v>2</v>
      </c>
    </row>
    <row r="23" customFormat="false" ht="15" hidden="false" customHeight="false" outlineLevel="0" collapsed="false">
      <c r="A23" s="13" t="n">
        <v>19</v>
      </c>
      <c r="B23" s="13" t="s">
        <v>216</v>
      </c>
      <c r="C23" s="35" t="n">
        <f aca="false">COUNTIF(Assumptions!I6:I38,"Untested hypothesis")</f>
        <v>4</v>
      </c>
      <c r="D23" s="34" t="str">
        <f aca="false">IF(C23=0,"PASS","WARN")</f>
        <v>WARN</v>
      </c>
      <c r="E23" s="13" t="s">
        <v>217</v>
      </c>
      <c r="F23" s="13" t="s">
        <v>218</v>
      </c>
      <c r="J23" s="34" t="n">
        <f aca="false">IF(D23&lt;&gt;"PASS",COUNTIF(D$5:D23,"WARN")+COUNTIF(D$5:D23,"FAIL"),"")</f>
        <v>3</v>
      </c>
    </row>
    <row r="24" customFormat="false" ht="15" hidden="false" customHeight="false" outlineLevel="0" collapsed="false">
      <c r="A24" s="13" t="n">
        <v>20</v>
      </c>
      <c r="B24" s="13" t="s">
        <v>219</v>
      </c>
      <c r="C24" s="20" t="str">
        <f aca="false">IF(COUNT('Budget v Actual'!D6:D57)=0,"No actuals yet",ABS('Budget v Actual'!E69))</f>
        <v>No actuals yet</v>
      </c>
      <c r="D24" s="14" t="str">
        <f aca="false">IF(C24="No actuals yet","PASS",IF(C24&lt;0.01*MAX(1,ABS('Budget v Actual'!E63)),"PASS","WARN"))</f>
        <v>PASS</v>
      </c>
      <c r="E24" s="13" t="s">
        <v>220</v>
      </c>
      <c r="F24" s="13" t="s">
        <v>221</v>
      </c>
      <c r="J24" s="34" t="str">
        <f aca="false">IF(D24&lt;&gt;"PASS",COUNTIF(D$5:D24,"WARN")+COUNTIF(D$5:D24,"FAIL"),"")</f>
        <v/>
      </c>
    </row>
    <row r="26" customFormat="false" ht="15" hidden="false" customHeight="false" outlineLevel="0" collapsed="false">
      <c r="B26" s="3" t="s">
        <v>222</v>
      </c>
      <c r="D26" s="34" t="str">
        <f aca="false">IF(COUNTIF(D5:D24,"FAIL")&gt;0,"FAIL",IF(COUNTIF(D5:D24,"WARN")&gt;0,"WARN","PASS"))</f>
        <v>WARN</v>
      </c>
    </row>
    <row r="27" customFormat="false" ht="15" hidden="false" customHeight="false" outlineLevel="0" collapsed="false">
      <c r="B27" s="13" t="s">
        <v>223</v>
      </c>
      <c r="D27" s="34" t="n">
        <f aca="false">COUNTIF(D5:D24,"FAIL")</f>
        <v>0</v>
      </c>
    </row>
    <row r="28" customFormat="false" ht="15" hidden="false" customHeight="false" outlineLevel="0" collapsed="false">
      <c r="B28" s="13" t="s">
        <v>224</v>
      </c>
      <c r="D28" s="34" t="n">
        <f aca="false">COUNTIF(D5:D24,"WARN")</f>
        <v>3</v>
      </c>
    </row>
    <row r="30" customFormat="false" ht="15" hidden="false" customHeight="false" outlineLevel="0" collapsed="false">
      <c r="B30" s="13" t="s">
        <v>225</v>
      </c>
      <c r="D30" s="37"/>
    </row>
    <row r="32" customFormat="false" ht="15" hidden="false" customHeight="false" outlineLevel="0" collapsed="false">
      <c r="A32" s="15" t="s">
        <v>226</v>
      </c>
      <c r="B32" s="15"/>
      <c r="C32" s="15"/>
      <c r="D32" s="15"/>
      <c r="E32" s="15"/>
      <c r="F32" s="15"/>
      <c r="G32" s="15"/>
      <c r="H32" s="15"/>
      <c r="I32" s="15"/>
    </row>
    <row r="33" customFormat="false" ht="42" hidden="false" customHeight="true" outlineLevel="0" collapsed="false">
      <c r="A33" s="19" t="s">
        <v>227</v>
      </c>
      <c r="B33" s="19" t="s">
        <v>228</v>
      </c>
      <c r="C33" s="19" t="s">
        <v>229</v>
      </c>
      <c r="D33" s="19" t="s">
        <v>230</v>
      </c>
      <c r="E33" s="19" t="s">
        <v>83</v>
      </c>
      <c r="F33" s="19" t="s">
        <v>84</v>
      </c>
      <c r="G33" s="19" t="s">
        <v>85</v>
      </c>
      <c r="H33" s="19" t="s">
        <v>231</v>
      </c>
      <c r="I33" s="19" t="s">
        <v>232</v>
      </c>
    </row>
    <row r="34" customFormat="false" ht="15" hidden="false" customHeight="false" outlineLevel="0" collapsed="false">
      <c r="A34" s="13" t="s">
        <v>233</v>
      </c>
      <c r="B34" s="14" t="str">
        <f aca="false">Assumptions!B6</f>
        <v>Organic and direct sessions growth vs Y-1</v>
      </c>
      <c r="C34" s="38" t="n">
        <v>-0.5</v>
      </c>
      <c r="D34" s="38" t="n">
        <v>1</v>
      </c>
      <c r="E34" s="31" t="n">
        <f aca="false">Assumptions!D6</f>
        <v>0.04</v>
      </c>
      <c r="F34" s="31" t="n">
        <f aca="false">Assumptions!E6</f>
        <v>0.07</v>
      </c>
      <c r="G34" s="31" t="n">
        <f aca="false">Assumptions!F6</f>
        <v>0</v>
      </c>
      <c r="H34" s="34" t="str">
        <f aca="false">IF(OR(MIN(E34:G34)&lt;C34,MAX(E34:G34)&gt;D34),"Breach","OK")</f>
        <v>OK</v>
      </c>
      <c r="I34" s="34" t="str">
        <f aca="false">TRIM(IF(OR(E34&lt;C34,E34&gt;D34),"Base ","")&amp;IF(OR(F34&lt;C34,F34&gt;D34),"Upside ","")&amp;IF(OR(G34&lt;C34,G34&gt;D34),"Downside",""))</f>
        <v/>
      </c>
    </row>
    <row r="35" customFormat="false" ht="15" hidden="false" customHeight="false" outlineLevel="0" collapsed="false">
      <c r="A35" s="13" t="s">
        <v>234</v>
      </c>
      <c r="B35" s="14" t="str">
        <f aca="false">Assumptions!B7</f>
        <v>Email and CRM sessions growth vs Y-1</v>
      </c>
      <c r="C35" s="38" t="n">
        <v>-0.5</v>
      </c>
      <c r="D35" s="38" t="n">
        <v>1</v>
      </c>
      <c r="E35" s="31" t="n">
        <f aca="false">Assumptions!D7</f>
        <v>0.03</v>
      </c>
      <c r="F35" s="31" t="n">
        <f aca="false">Assumptions!E7</f>
        <v>0.06</v>
      </c>
      <c r="G35" s="31" t="n">
        <f aca="false">Assumptions!F7</f>
        <v>-0.02</v>
      </c>
      <c r="H35" s="34" t="str">
        <f aca="false">IF(OR(MIN(E35:G35)&lt;C35,MAX(E35:G35)&gt;D35),"Breach","OK")</f>
        <v>OK</v>
      </c>
      <c r="I35" s="34" t="str">
        <f aca="false">TRIM(IF(OR(E35&lt;C35,E35&gt;D35),"Base ","")&amp;IF(OR(F35&lt;C35,F35&gt;D35),"Upside ","")&amp;IF(OR(G35&lt;C35,G35&gt;D35),"Downside",""))</f>
        <v/>
      </c>
    </row>
    <row r="36" customFormat="false" ht="15" hidden="false" customHeight="false" outlineLevel="0" collapsed="false">
      <c r="A36" s="13" t="s">
        <v>235</v>
      </c>
      <c r="B36" s="14" t="str">
        <f aca="false">Assumptions!B8</f>
        <v>Affiliate sessions growth vs Y-1</v>
      </c>
      <c r="C36" s="38" t="n">
        <v>-0.5</v>
      </c>
      <c r="D36" s="38" t="n">
        <v>1</v>
      </c>
      <c r="E36" s="31" t="n">
        <f aca="false">Assumptions!D8</f>
        <v>0</v>
      </c>
      <c r="F36" s="31" t="n">
        <f aca="false">Assumptions!E8</f>
        <v>0.03</v>
      </c>
      <c r="G36" s="31" t="n">
        <f aca="false">Assumptions!F8</f>
        <v>-0.05</v>
      </c>
      <c r="H36" s="34" t="str">
        <f aca="false">IF(OR(MIN(E36:G36)&lt;C36,MAX(E36:G36)&gt;D36),"Breach","OK")</f>
        <v>OK</v>
      </c>
      <c r="I36" s="34" t="str">
        <f aca="false">TRIM(IF(OR(E36&lt;C36,E36&gt;D36),"Base ","")&amp;IF(OR(F36&lt;C36,F36&gt;D36),"Upside ","")&amp;IF(OR(G36&lt;C36,G36&gt;D36),"Downside",""))</f>
        <v/>
      </c>
    </row>
    <row r="37" customFormat="false" ht="15" hidden="false" customHeight="false" outlineLevel="0" collapsed="false">
      <c r="A37" s="13" t="s">
        <v>236</v>
      </c>
      <c r="B37" s="14" t="str">
        <f aca="false">Assumptions!B10</f>
        <v>Paid search annual budget</v>
      </c>
      <c r="C37" s="39" t="n">
        <v>0</v>
      </c>
      <c r="D37" s="39" t="n">
        <v>1000000000</v>
      </c>
      <c r="E37" s="20" t="n">
        <f aca="false">Assumptions!D10</f>
        <v>1900000</v>
      </c>
      <c r="F37" s="20" t="n">
        <f aca="false">Assumptions!E10</f>
        <v>2200000</v>
      </c>
      <c r="G37" s="20" t="n">
        <f aca="false">Assumptions!F10</f>
        <v>1700000</v>
      </c>
      <c r="H37" s="34" t="str">
        <f aca="false">IF(OR(MIN(E37:G37)&lt;C37,MAX(E37:G37)&gt;D37),"Breach","OK")</f>
        <v>OK</v>
      </c>
      <c r="I37" s="34" t="str">
        <f aca="false">TRIM(IF(OR(E37&lt;C37,E37&gt;D37),"Base ","")&amp;IF(OR(F37&lt;C37,F37&gt;D37),"Upside ","")&amp;IF(OR(G37&lt;C37,G37&gt;D37),"Downside",""))</f>
        <v/>
      </c>
    </row>
    <row r="38" customFormat="false" ht="15" hidden="false" customHeight="false" outlineLevel="0" collapsed="false">
      <c r="A38" s="13" t="s">
        <v>237</v>
      </c>
      <c r="B38" s="14" t="str">
        <f aca="false">Assumptions!B11</f>
        <v>Paid social annual budget</v>
      </c>
      <c r="C38" s="39" t="n">
        <v>0</v>
      </c>
      <c r="D38" s="39" t="n">
        <v>1000000000</v>
      </c>
      <c r="E38" s="20" t="n">
        <f aca="false">Assumptions!D11</f>
        <v>950000</v>
      </c>
      <c r="F38" s="20" t="n">
        <f aca="false">Assumptions!E11</f>
        <v>1100000</v>
      </c>
      <c r="G38" s="20" t="n">
        <f aca="false">Assumptions!F11</f>
        <v>850000</v>
      </c>
      <c r="H38" s="34" t="str">
        <f aca="false">IF(OR(MIN(E38:G38)&lt;C38,MAX(E38:G38)&gt;D38),"Breach","OK")</f>
        <v>OK</v>
      </c>
      <c r="I38" s="34" t="str">
        <f aca="false">TRIM(IF(OR(E38&lt;C38,E38&gt;D38),"Base ","")&amp;IF(OR(F38&lt;C38,F38&gt;D38),"Upside ","")&amp;IF(OR(G38&lt;C38,G38&gt;D38),"Downside",""))</f>
        <v/>
      </c>
    </row>
    <row r="39" customFormat="false" ht="15" hidden="false" customHeight="false" outlineLevel="0" collapsed="false">
      <c r="A39" s="13" t="s">
        <v>238</v>
      </c>
      <c r="B39" s="14" t="str">
        <f aca="false">Assumptions!B12</f>
        <v>Display and video annual budget</v>
      </c>
      <c r="C39" s="39" t="n">
        <v>0</v>
      </c>
      <c r="D39" s="39" t="n">
        <v>1000000000</v>
      </c>
      <c r="E39" s="20" t="n">
        <f aca="false">Assumptions!D12</f>
        <v>200000</v>
      </c>
      <c r="F39" s="20" t="n">
        <f aca="false">Assumptions!E12</f>
        <v>250000</v>
      </c>
      <c r="G39" s="20" t="n">
        <f aca="false">Assumptions!F12</f>
        <v>150000</v>
      </c>
      <c r="H39" s="34" t="str">
        <f aca="false">IF(OR(MIN(E39:G39)&lt;C39,MAX(E39:G39)&gt;D39),"Breach","OK")</f>
        <v>OK</v>
      </c>
      <c r="I39" s="34" t="str">
        <f aca="false">TRIM(IF(OR(E39&lt;C39,E39&gt;D39),"Base ","")&amp;IF(OR(F39&lt;C39,F39&gt;D39),"Upside ","")&amp;IF(OR(G39&lt;C39,G39&gt;D39),"Downside",""))</f>
        <v/>
      </c>
    </row>
    <row r="40" customFormat="false" ht="15" hidden="false" customHeight="false" outlineLevel="0" collapsed="false">
      <c r="A40" s="13" t="s">
        <v>239</v>
      </c>
      <c r="B40" s="14" t="str">
        <f aca="false">Assumptions!B13</f>
        <v>Media cost per session inflation vs baseline</v>
      </c>
      <c r="C40" s="38" t="n">
        <v>-0.5</v>
      </c>
      <c r="D40" s="38" t="n">
        <v>1</v>
      </c>
      <c r="E40" s="31" t="n">
        <f aca="false">Assumptions!D13</f>
        <v>0.05</v>
      </c>
      <c r="F40" s="31" t="n">
        <f aca="false">Assumptions!E13</f>
        <v>0.03</v>
      </c>
      <c r="G40" s="31" t="n">
        <f aca="false">Assumptions!F13</f>
        <v>0.08</v>
      </c>
      <c r="H40" s="34" t="str">
        <f aca="false">IF(OR(MIN(E40:G40)&lt;C40,MAX(E40:G40)&gt;D40),"Breach","OK")</f>
        <v>OK</v>
      </c>
      <c r="I40" s="34" t="str">
        <f aca="false">TRIM(IF(OR(E40&lt;C40,E40&gt;D40),"Base ","")&amp;IF(OR(F40&lt;C40,F40&gt;D40),"Upside ","")&amp;IF(OR(G40&lt;C40,G40&gt;D40),"Downside",""))</f>
        <v/>
      </c>
    </row>
    <row r="41" customFormat="false" ht="15" hidden="false" customHeight="false" outlineLevel="0" collapsed="false">
      <c r="A41" s="13" t="s">
        <v>240</v>
      </c>
      <c r="B41" s="14" t="str">
        <f aca="false">Assumptions!B14</f>
        <v>Diminishing returns exponent: paid search</v>
      </c>
      <c r="C41" s="40" t="n">
        <v>0</v>
      </c>
      <c r="D41" s="40" t="n">
        <v>1</v>
      </c>
      <c r="E41" s="36" t="n">
        <f aca="false">Assumptions!D14</f>
        <v>0.35</v>
      </c>
      <c r="F41" s="36" t="n">
        <f aca="false">Assumptions!E14</f>
        <v>0.3</v>
      </c>
      <c r="G41" s="36" t="n">
        <f aca="false">Assumptions!F14</f>
        <v>0.45</v>
      </c>
      <c r="H41" s="34" t="str">
        <f aca="false">IF(OR(MIN(E41:G41)&lt;C41,MAX(E41:G41)&gt;D41),"Breach","OK")</f>
        <v>OK</v>
      </c>
      <c r="I41" s="34" t="str">
        <f aca="false">TRIM(IF(OR(E41&lt;C41,E41&gt;D41),"Base ","")&amp;IF(OR(F41&lt;C41,F41&gt;D41),"Upside ","")&amp;IF(OR(G41&lt;C41,G41&gt;D41),"Downside",""))</f>
        <v/>
      </c>
    </row>
    <row r="42" customFormat="false" ht="15" hidden="false" customHeight="false" outlineLevel="0" collapsed="false">
      <c r="A42" s="13" t="s">
        <v>241</v>
      </c>
      <c r="B42" s="14" t="str">
        <f aca="false">Assumptions!B15</f>
        <v>Diminishing returns exponent: paid social</v>
      </c>
      <c r="C42" s="40" t="n">
        <v>0</v>
      </c>
      <c r="D42" s="40" t="n">
        <v>1</v>
      </c>
      <c r="E42" s="36" t="n">
        <f aca="false">Assumptions!D15</f>
        <v>0.25</v>
      </c>
      <c r="F42" s="36" t="n">
        <f aca="false">Assumptions!E15</f>
        <v>0.2</v>
      </c>
      <c r="G42" s="36" t="n">
        <f aca="false">Assumptions!F15</f>
        <v>0.35</v>
      </c>
      <c r="H42" s="34" t="str">
        <f aca="false">IF(OR(MIN(E42:G42)&lt;C42,MAX(E42:G42)&gt;D42),"Breach","OK")</f>
        <v>OK</v>
      </c>
      <c r="I42" s="34" t="str">
        <f aca="false">TRIM(IF(OR(E42&lt;C42,E42&gt;D42),"Base ","")&amp;IF(OR(F42&lt;C42,F42&gt;D42),"Upside ","")&amp;IF(OR(G42&lt;C42,G42&gt;D42),"Downside",""))</f>
        <v/>
      </c>
    </row>
    <row r="43" customFormat="false" ht="15" hidden="false" customHeight="false" outlineLevel="0" collapsed="false">
      <c r="A43" s="13" t="s">
        <v>242</v>
      </c>
      <c r="B43" s="14" t="str">
        <f aca="false">Assumptions!B16</f>
        <v>Diminishing returns exponent: display and video</v>
      </c>
      <c r="C43" s="40" t="n">
        <v>0</v>
      </c>
      <c r="D43" s="40" t="n">
        <v>1</v>
      </c>
      <c r="E43" s="36" t="n">
        <f aca="false">Assumptions!D16</f>
        <v>0.2</v>
      </c>
      <c r="F43" s="36" t="n">
        <f aca="false">Assumptions!E16</f>
        <v>0.15</v>
      </c>
      <c r="G43" s="36" t="n">
        <f aca="false">Assumptions!F16</f>
        <v>0.3</v>
      </c>
      <c r="H43" s="34" t="str">
        <f aca="false">IF(OR(MIN(E43:G43)&lt;C43,MAX(E43:G43)&gt;D43),"Breach","OK")</f>
        <v>OK</v>
      </c>
      <c r="I43" s="34" t="str">
        <f aca="false">TRIM(IF(OR(E43&lt;C43,E43&gt;D43),"Base ","")&amp;IF(OR(F43&lt;C43,F43&gt;D43),"Upside ","")&amp;IF(OR(G43&lt;C43,G43&gt;D43),"Downside",""))</f>
        <v/>
      </c>
    </row>
    <row r="44" customFormat="false" ht="15" hidden="false" customHeight="false" outlineLevel="0" collapsed="false">
      <c r="A44" s="13" t="s">
        <v>243</v>
      </c>
      <c r="B44" s="14" t="str">
        <f aca="false">Assumptions!B18</f>
        <v>Conversion rate change vs baseline (relative)</v>
      </c>
      <c r="C44" s="38" t="n">
        <v>-0.5</v>
      </c>
      <c r="D44" s="38" t="n">
        <v>1</v>
      </c>
      <c r="E44" s="31" t="n">
        <f aca="false">Assumptions!D18</f>
        <v>0</v>
      </c>
      <c r="F44" s="31" t="n">
        <f aca="false">Assumptions!E18</f>
        <v>0.03</v>
      </c>
      <c r="G44" s="31" t="n">
        <f aca="false">Assumptions!F18</f>
        <v>-0.04</v>
      </c>
      <c r="H44" s="34" t="str">
        <f aca="false">IF(OR(MIN(E44:G44)&lt;C44,MAX(E44:G44)&gt;D44),"Breach","OK")</f>
        <v>OK</v>
      </c>
      <c r="I44" s="34" t="str">
        <f aca="false">TRIM(IF(OR(E44&lt;C44,E44&gt;D44),"Base ","")&amp;IF(OR(F44&lt;C44,F44&gt;D44),"Upside ","")&amp;IF(OR(G44&lt;C44,G44&gt;D44),"Downside",""))</f>
        <v/>
      </c>
    </row>
    <row r="45" customFormat="false" ht="15" hidden="false" customHeight="false" outlineLevel="0" collapsed="false">
      <c r="A45" s="13" t="s">
        <v>244</v>
      </c>
      <c r="B45" s="14" t="str">
        <f aca="false">Assumptions!B19</f>
        <v>AOV change vs baseline (relative)</v>
      </c>
      <c r="C45" s="38" t="n">
        <v>-0.5</v>
      </c>
      <c r="D45" s="38" t="n">
        <v>1</v>
      </c>
      <c r="E45" s="31" t="n">
        <f aca="false">Assumptions!D19</f>
        <v>0.02</v>
      </c>
      <c r="F45" s="31" t="n">
        <f aca="false">Assumptions!E19</f>
        <v>0.04</v>
      </c>
      <c r="G45" s="31" t="n">
        <f aca="false">Assumptions!F19</f>
        <v>0</v>
      </c>
      <c r="H45" s="34" t="str">
        <f aca="false">IF(OR(MIN(E45:G45)&lt;C45,MAX(E45:G45)&gt;D45),"Breach","OK")</f>
        <v>OK</v>
      </c>
      <c r="I45" s="34" t="str">
        <f aca="false">TRIM(IF(OR(E45&lt;C45,E45&gt;D45),"Base ","")&amp;IF(OR(F45&lt;C45,F45&gt;D45),"Upside ","")&amp;IF(OR(G45&lt;C45,G45&gt;D45),"Downside",""))</f>
        <v/>
      </c>
    </row>
    <row r="46" customFormat="false" ht="15" hidden="false" customHeight="false" outlineLevel="0" collapsed="false">
      <c r="A46" s="13" t="s">
        <v>245</v>
      </c>
      <c r="B46" s="14" t="str">
        <f aca="false">Assumptions!B20</f>
        <v>Discount depth change vs baseline (points)</v>
      </c>
      <c r="C46" s="38" t="n">
        <v>-0.3</v>
      </c>
      <c r="D46" s="38" t="n">
        <v>0.3</v>
      </c>
      <c r="E46" s="31" t="n">
        <f aca="false">Assumptions!D20</f>
        <v>0</v>
      </c>
      <c r="F46" s="31" t="n">
        <f aca="false">Assumptions!E20</f>
        <v>-0.01</v>
      </c>
      <c r="G46" s="31" t="n">
        <f aca="false">Assumptions!F20</f>
        <v>0.02</v>
      </c>
      <c r="H46" s="34" t="str">
        <f aca="false">IF(OR(MIN(E46:G46)&lt;C46,MAX(E46:G46)&gt;D46),"Breach","OK")</f>
        <v>OK</v>
      </c>
      <c r="I46" s="34" t="str">
        <f aca="false">TRIM(IF(OR(E46&lt;C46,E46&gt;D46),"Base ","")&amp;IF(OR(F46&lt;C46,F46&gt;D46),"Upside ","")&amp;IF(OR(G46&lt;C46,G46&gt;D46),"Downside",""))</f>
        <v/>
      </c>
    </row>
    <row r="47" customFormat="false" ht="15" hidden="false" customHeight="false" outlineLevel="0" collapsed="false">
      <c r="A47" s="13" t="s">
        <v>246</v>
      </c>
      <c r="B47" s="14" t="str">
        <f aca="false">Assumptions!B21</f>
        <v>Returns rate change vs baseline (points)</v>
      </c>
      <c r="C47" s="38" t="n">
        <v>-0.2</v>
      </c>
      <c r="D47" s="38" t="n">
        <v>0.2</v>
      </c>
      <c r="E47" s="31" t="n">
        <f aca="false">Assumptions!D21</f>
        <v>0</v>
      </c>
      <c r="F47" s="31" t="n">
        <f aca="false">Assumptions!E21</f>
        <v>-0.01</v>
      </c>
      <c r="G47" s="31" t="n">
        <f aca="false">Assumptions!F21</f>
        <v>0.015</v>
      </c>
      <c r="H47" s="34" t="str">
        <f aca="false">IF(OR(MIN(E47:G47)&lt;C47,MAX(E47:G47)&gt;D47),"Breach","OK")</f>
        <v>OK</v>
      </c>
      <c r="I47" s="34" t="str">
        <f aca="false">TRIM(IF(OR(E47&lt;C47,E47&gt;D47),"Base ","")&amp;IF(OR(F47&lt;C47,F47&gt;D47),"Upside ","")&amp;IF(OR(G47&lt;C47,G47&gt;D47),"Downside",""))</f>
        <v/>
      </c>
    </row>
    <row r="48" customFormat="false" ht="15" hidden="false" customHeight="false" outlineLevel="0" collapsed="false">
      <c r="A48" s="13" t="s">
        <v>247</v>
      </c>
      <c r="B48" s="14" t="str">
        <f aca="false">Assumptions!B23</f>
        <v>Intake margin (on full-price value, ex VAT)</v>
      </c>
      <c r="C48" s="38" t="n">
        <v>0</v>
      </c>
      <c r="D48" s="38" t="n">
        <v>0.9</v>
      </c>
      <c r="E48" s="31" t="n">
        <f aca="false">Assumptions!D23</f>
        <v>0.62</v>
      </c>
      <c r="F48" s="31" t="n">
        <f aca="false">Assumptions!E23</f>
        <v>0.62</v>
      </c>
      <c r="G48" s="31" t="n">
        <f aca="false">Assumptions!F23</f>
        <v>0.62</v>
      </c>
      <c r="H48" s="34" t="str">
        <f aca="false">IF(OR(MIN(E48:G48)&lt;C48,MAX(E48:G48)&gt;D48),"Breach","OK")</f>
        <v>OK</v>
      </c>
      <c r="I48" s="34" t="str">
        <f aca="false">TRIM(IF(OR(E48&lt;C48,E48&gt;D48),"Base ","")&amp;IF(OR(F48&lt;C48,F48&gt;D48),"Upside ","")&amp;IF(OR(G48&lt;C48,G48&gt;D48),"Downside",""))</f>
        <v/>
      </c>
    </row>
    <row r="49" customFormat="false" ht="15" hidden="false" customHeight="false" outlineLevel="0" collapsed="false">
      <c r="A49" s="13" t="s">
        <v>248</v>
      </c>
      <c r="B49" s="14" t="str">
        <f aca="false">Assumptions!B24</f>
        <v>Returns not resaleable (share of returns value)</v>
      </c>
      <c r="C49" s="38" t="n">
        <v>0</v>
      </c>
      <c r="D49" s="38" t="n">
        <v>1</v>
      </c>
      <c r="E49" s="31" t="n">
        <f aca="false">Assumptions!D24</f>
        <v>0.05</v>
      </c>
      <c r="F49" s="31" t="n">
        <f aca="false">Assumptions!E24</f>
        <v>0.04</v>
      </c>
      <c r="G49" s="31" t="n">
        <f aca="false">Assumptions!F24</f>
        <v>0.07</v>
      </c>
      <c r="H49" s="34" t="str">
        <f aca="false">IF(OR(MIN(E49:G49)&lt;C49,MAX(E49:G49)&gt;D49),"Breach","OK")</f>
        <v>OK</v>
      </c>
      <c r="I49" s="34" t="str">
        <f aca="false">TRIM(IF(OR(E49&lt;C49,E49&gt;D49),"Base ","")&amp;IF(OR(F49&lt;C49,F49&gt;D49),"Upside ","")&amp;IF(OR(G49&lt;C49,G49&gt;D49),"Downside",""))</f>
        <v/>
      </c>
    </row>
    <row r="50" customFormat="false" ht="15" hidden="false" customHeight="false" outlineLevel="0" collapsed="false">
      <c r="A50" s="13" t="s">
        <v>249</v>
      </c>
      <c r="B50" s="14" t="str">
        <f aca="false">Assumptions!B25</f>
        <v>Carriage in (% of cost of goods)</v>
      </c>
      <c r="C50" s="38" t="n">
        <v>0</v>
      </c>
      <c r="D50" s="38" t="n">
        <v>0.5</v>
      </c>
      <c r="E50" s="31" t="n">
        <f aca="false">Assumptions!D25</f>
        <v>0.03</v>
      </c>
      <c r="F50" s="31" t="n">
        <f aca="false">Assumptions!E25</f>
        <v>0.03</v>
      </c>
      <c r="G50" s="31" t="n">
        <f aca="false">Assumptions!F25</f>
        <v>0.03</v>
      </c>
      <c r="H50" s="34" t="str">
        <f aca="false">IF(OR(MIN(E50:G50)&lt;C50,MAX(E50:G50)&gt;D50),"Breach","OK")</f>
        <v>OK</v>
      </c>
      <c r="I50" s="34" t="str">
        <f aca="false">TRIM(IF(OR(E50&lt;C50,E50&gt;D50),"Base ","")&amp;IF(OR(F50&lt;C50,F50&gt;D50),"Upside ","")&amp;IF(OR(G50&lt;C50,G50&gt;D50),"Downside",""))</f>
        <v/>
      </c>
    </row>
    <row r="51" customFormat="false" ht="15" hidden="false" customHeight="false" outlineLevel="0" collapsed="false">
      <c r="A51" s="13" t="s">
        <v>250</v>
      </c>
      <c r="B51" s="14" t="str">
        <f aca="false">Assumptions!B27</f>
        <v>Carriage out per order</v>
      </c>
      <c r="C51" s="41" t="n">
        <v>0</v>
      </c>
      <c r="D51" s="41" t="n">
        <v>100</v>
      </c>
      <c r="E51" s="23" t="n">
        <f aca="false">Assumptions!D27</f>
        <v>4.2</v>
      </c>
      <c r="F51" s="23" t="n">
        <f aca="false">Assumptions!E27</f>
        <v>4.1</v>
      </c>
      <c r="G51" s="23" t="n">
        <f aca="false">Assumptions!F27</f>
        <v>4.4</v>
      </c>
      <c r="H51" s="34" t="str">
        <f aca="false">IF(OR(MIN(E51:G51)&lt;C51,MAX(E51:G51)&gt;D51),"Breach","OK")</f>
        <v>OK</v>
      </c>
      <c r="I51" s="34" t="str">
        <f aca="false">TRIM(IF(OR(E51&lt;C51,E51&gt;D51),"Base ","")&amp;IF(OR(F51&lt;C51,F51&gt;D51),"Upside ","")&amp;IF(OR(G51&lt;C51,G51&gt;D51),"Downside",""))</f>
        <v/>
      </c>
    </row>
    <row r="52" customFormat="false" ht="15" hidden="false" customHeight="false" outlineLevel="0" collapsed="false">
      <c r="A52" s="13" t="s">
        <v>251</v>
      </c>
      <c r="B52" s="14" t="str">
        <f aca="false">Assumptions!B28</f>
        <v>Delivery income recovered per order</v>
      </c>
      <c r="C52" s="41" t="n">
        <v>0</v>
      </c>
      <c r="D52" s="41" t="n">
        <v>100</v>
      </c>
      <c r="E52" s="23" t="n">
        <f aca="false">Assumptions!D28</f>
        <v>1.1</v>
      </c>
      <c r="F52" s="23" t="n">
        <f aca="false">Assumptions!E28</f>
        <v>1.2</v>
      </c>
      <c r="G52" s="23" t="n">
        <f aca="false">Assumptions!F28</f>
        <v>1</v>
      </c>
      <c r="H52" s="34" t="str">
        <f aca="false">IF(OR(MIN(E52:G52)&lt;C52,MAX(E52:G52)&gt;D52),"Breach","OK")</f>
        <v>OK</v>
      </c>
      <c r="I52" s="34" t="str">
        <f aca="false">TRIM(IF(OR(E52&lt;C52,E52&gt;D52),"Base ","")&amp;IF(OR(F52&lt;C52,F52&gt;D52),"Upside ","")&amp;IF(OR(G52&lt;C52,G52&gt;D52),"Downside",""))</f>
        <v/>
      </c>
    </row>
    <row r="53" customFormat="false" ht="15" hidden="false" customHeight="false" outlineLevel="0" collapsed="false">
      <c r="A53" s="13" t="s">
        <v>252</v>
      </c>
      <c r="B53" s="14" t="str">
        <f aca="false">Assumptions!B29</f>
        <v>Packaging per order</v>
      </c>
      <c r="C53" s="41" t="n">
        <v>0</v>
      </c>
      <c r="D53" s="41" t="n">
        <v>100</v>
      </c>
      <c r="E53" s="23" t="n">
        <f aca="false">Assumptions!D29</f>
        <v>0.45</v>
      </c>
      <c r="F53" s="23" t="n">
        <f aca="false">Assumptions!E29</f>
        <v>0.45</v>
      </c>
      <c r="G53" s="23" t="n">
        <f aca="false">Assumptions!F29</f>
        <v>0.48</v>
      </c>
      <c r="H53" s="34" t="str">
        <f aca="false">IF(OR(MIN(E53:G53)&lt;C53,MAX(E53:G53)&gt;D53),"Breach","OK")</f>
        <v>OK</v>
      </c>
      <c r="I53" s="34" t="str">
        <f aca="false">TRIM(IF(OR(E53&lt;C53,E53&gt;D53),"Base ","")&amp;IF(OR(F53&lt;C53,F53&gt;D53),"Upside ","")&amp;IF(OR(G53&lt;C53,G53&gt;D53),"Downside",""))</f>
        <v/>
      </c>
    </row>
    <row r="54" customFormat="false" ht="15" hidden="false" customHeight="false" outlineLevel="0" collapsed="false">
      <c r="A54" s="13" t="s">
        <v>253</v>
      </c>
      <c r="B54" s="14" t="str">
        <f aca="false">Assumptions!B30</f>
        <v>Pick and pack per unit</v>
      </c>
      <c r="C54" s="41" t="n">
        <v>0</v>
      </c>
      <c r="D54" s="41" t="n">
        <v>100</v>
      </c>
      <c r="E54" s="23" t="n">
        <f aca="false">Assumptions!D30</f>
        <v>0.85</v>
      </c>
      <c r="F54" s="23" t="n">
        <f aca="false">Assumptions!E30</f>
        <v>0.82</v>
      </c>
      <c r="G54" s="23" t="n">
        <f aca="false">Assumptions!F30</f>
        <v>0.9</v>
      </c>
      <c r="H54" s="34" t="str">
        <f aca="false">IF(OR(MIN(E54:G54)&lt;C54,MAX(E54:G54)&gt;D54),"Breach","OK")</f>
        <v>OK</v>
      </c>
      <c r="I54" s="34" t="str">
        <f aca="false">TRIM(IF(OR(E54&lt;C54,E54&gt;D54),"Base ","")&amp;IF(OR(F54&lt;C54,F54&gt;D54),"Upside ","")&amp;IF(OR(G54&lt;C54,G54&gt;D54),"Downside",""))</f>
        <v/>
      </c>
    </row>
    <row r="55" customFormat="false" ht="15" hidden="false" customHeight="false" outlineLevel="0" collapsed="false">
      <c r="A55" s="13" t="s">
        <v>254</v>
      </c>
      <c r="B55" s="14" t="str">
        <f aca="false">Assumptions!B31</f>
        <v>Returns postage per returned order</v>
      </c>
      <c r="C55" s="41" t="n">
        <v>0</v>
      </c>
      <c r="D55" s="41" t="n">
        <v>100</v>
      </c>
      <c r="E55" s="23" t="n">
        <f aca="false">Assumptions!D31</f>
        <v>3.2</v>
      </c>
      <c r="F55" s="23" t="n">
        <f aca="false">Assumptions!E31</f>
        <v>3.1</v>
      </c>
      <c r="G55" s="23" t="n">
        <f aca="false">Assumptions!F31</f>
        <v>3.4</v>
      </c>
      <c r="H55" s="34" t="str">
        <f aca="false">IF(OR(MIN(E55:G55)&lt;C55,MAX(E55:G55)&gt;D55),"Breach","OK")</f>
        <v>OK</v>
      </c>
      <c r="I55" s="34" t="str">
        <f aca="false">TRIM(IF(OR(E55&lt;C55,E55&gt;D55),"Base ","")&amp;IF(OR(F55&lt;C55,F55&gt;D55),"Upside ","")&amp;IF(OR(G55&lt;C55,G55&gt;D55),"Downside",""))</f>
        <v/>
      </c>
    </row>
    <row r="56" customFormat="false" ht="15" hidden="false" customHeight="false" outlineLevel="0" collapsed="false">
      <c r="A56" s="13" t="s">
        <v>255</v>
      </c>
      <c r="B56" s="14" t="str">
        <f aca="false">Assumptions!B32</f>
        <v>Returns processing per returned order</v>
      </c>
      <c r="C56" s="41" t="n">
        <v>0</v>
      </c>
      <c r="D56" s="41" t="n">
        <v>100</v>
      </c>
      <c r="E56" s="23" t="n">
        <f aca="false">Assumptions!D32</f>
        <v>1.4</v>
      </c>
      <c r="F56" s="23" t="n">
        <f aca="false">Assumptions!E32</f>
        <v>1.35</v>
      </c>
      <c r="G56" s="23" t="n">
        <f aca="false">Assumptions!F32</f>
        <v>1.5</v>
      </c>
      <c r="H56" s="34" t="str">
        <f aca="false">IF(OR(MIN(E56:G56)&lt;C56,MAX(E56:G56)&gt;D56),"Breach","OK")</f>
        <v>OK</v>
      </c>
      <c r="I56" s="34" t="str">
        <f aca="false">TRIM(IF(OR(E56&lt;C56,E56&gt;D56),"Base ","")&amp;IF(OR(F56&lt;C56,F56&gt;D56),"Upside ","")&amp;IF(OR(G56&lt;C56,G56&gt;D56),"Downside",""))</f>
        <v/>
      </c>
    </row>
    <row r="57" customFormat="false" ht="15" hidden="false" customHeight="false" outlineLevel="0" collapsed="false">
      <c r="A57" s="13" t="s">
        <v>256</v>
      </c>
      <c r="B57" s="14" t="str">
        <f aca="false">Assumptions!B33</f>
        <v>Payment fees (% of gross demand)</v>
      </c>
      <c r="C57" s="38" t="n">
        <v>0</v>
      </c>
      <c r="D57" s="38" t="n">
        <v>0.1</v>
      </c>
      <c r="E57" s="31" t="n">
        <f aca="false">Assumptions!D33</f>
        <v>0.016</v>
      </c>
      <c r="F57" s="31" t="n">
        <f aca="false">Assumptions!E33</f>
        <v>0.015</v>
      </c>
      <c r="G57" s="31" t="n">
        <f aca="false">Assumptions!F33</f>
        <v>0.017</v>
      </c>
      <c r="H57" s="34" t="str">
        <f aca="false">IF(OR(MIN(E57:G57)&lt;C57,MAX(E57:G57)&gt;D57),"Breach","OK")</f>
        <v>OK</v>
      </c>
      <c r="I57" s="34" t="str">
        <f aca="false">TRIM(IF(OR(E57&lt;C57,E57&gt;D57),"Base ","")&amp;IF(OR(F57&lt;C57,F57&gt;D57),"Upside ","")&amp;IF(OR(G57&lt;C57,G57&gt;D57),"Downside",""))</f>
        <v/>
      </c>
    </row>
    <row r="58" customFormat="false" ht="15" hidden="false" customHeight="false" outlineLevel="0" collapsed="false">
      <c r="A58" s="13" t="s">
        <v>257</v>
      </c>
      <c r="B58" s="14" t="str">
        <f aca="false">Assumptions!B34</f>
        <v>Affiliate commission rate</v>
      </c>
      <c r="C58" s="38" t="n">
        <v>0</v>
      </c>
      <c r="D58" s="38" t="n">
        <v>0.5</v>
      </c>
      <c r="E58" s="31" t="n">
        <f aca="false">Assumptions!D34</f>
        <v>0.08</v>
      </c>
      <c r="F58" s="31" t="n">
        <f aca="false">Assumptions!E34</f>
        <v>0.08</v>
      </c>
      <c r="G58" s="31" t="n">
        <f aca="false">Assumptions!F34</f>
        <v>0.08</v>
      </c>
      <c r="H58" s="34" t="str">
        <f aca="false">IF(OR(MIN(E58:G58)&lt;C58,MAX(E58:G58)&gt;D58),"Breach","OK")</f>
        <v>OK</v>
      </c>
      <c r="I58" s="34" t="str">
        <f aca="false">TRIM(IF(OR(E58&lt;C58,E58&gt;D58),"Base ","")&amp;IF(OR(F58&lt;C58,F58&gt;D58),"Upside ","")&amp;IF(OR(G58&lt;C58,G58&gt;D58),"Downside",""))</f>
        <v/>
      </c>
    </row>
    <row r="59" customFormat="false" ht="15" hidden="false" customHeight="false" outlineLevel="0" collapsed="false">
      <c r="A59" s="13" t="s">
        <v>258</v>
      </c>
      <c r="B59" s="14" t="str">
        <f aca="false">Assumptions!B35</f>
        <v>Commissionable share of affiliate-attributed demand</v>
      </c>
      <c r="C59" s="38" t="n">
        <v>0</v>
      </c>
      <c r="D59" s="38" t="n">
        <v>1</v>
      </c>
      <c r="E59" s="31" t="n">
        <f aca="false">Assumptions!D35</f>
        <v>1</v>
      </c>
      <c r="F59" s="31" t="n">
        <f aca="false">Assumptions!E35</f>
        <v>0.9</v>
      </c>
      <c r="G59" s="31" t="n">
        <f aca="false">Assumptions!F35</f>
        <v>1</v>
      </c>
      <c r="H59" s="34" t="str">
        <f aca="false">IF(OR(MIN(E59:G59)&lt;C59,MAX(E59:G59)&gt;D59),"Breach","OK")</f>
        <v>OK</v>
      </c>
      <c r="I59" s="34" t="str">
        <f aca="false">TRIM(IF(OR(E59&lt;C59,E59&gt;D59),"Base ","")&amp;IF(OR(F59&lt;C59,F59&gt;D59),"Upside ","")&amp;IF(OR(G59&lt;C59,G59&gt;D59),"Downside",""))</f>
        <v/>
      </c>
    </row>
    <row r="60" customFormat="false" ht="15" hidden="false" customHeight="false" outlineLevel="0" collapsed="false">
      <c r="A60" s="13" t="s">
        <v>259</v>
      </c>
      <c r="B60" s="14" t="str">
        <f aca="false">Assumptions!B36</f>
        <v>Customer service contacts per order</v>
      </c>
      <c r="C60" s="40" t="n">
        <v>0</v>
      </c>
      <c r="D60" s="40" t="n">
        <v>3</v>
      </c>
      <c r="E60" s="36" t="n">
        <f aca="false">Assumptions!D36</f>
        <v>0.12</v>
      </c>
      <c r="F60" s="36" t="n">
        <f aca="false">Assumptions!E36</f>
        <v>0.1</v>
      </c>
      <c r="G60" s="36" t="n">
        <f aca="false">Assumptions!F36</f>
        <v>0.14</v>
      </c>
      <c r="H60" s="34" t="str">
        <f aca="false">IF(OR(MIN(E60:G60)&lt;C60,MAX(E60:G60)&gt;D60),"Breach","OK")</f>
        <v>OK</v>
      </c>
      <c r="I60" s="34" t="str">
        <f aca="false">TRIM(IF(OR(E60&lt;C60,E60&gt;D60),"Base ","")&amp;IF(OR(F60&lt;C60,F60&gt;D60),"Upside ","")&amp;IF(OR(G60&lt;C60,G60&gt;D60),"Downside",""))</f>
        <v/>
      </c>
    </row>
    <row r="61" customFormat="false" ht="15" hidden="false" customHeight="false" outlineLevel="0" collapsed="false">
      <c r="A61" s="13" t="s">
        <v>260</v>
      </c>
      <c r="B61" s="14" t="str">
        <f aca="false">Assumptions!B37</f>
        <v>Cost per customer service contact</v>
      </c>
      <c r="C61" s="41" t="n">
        <v>0</v>
      </c>
      <c r="D61" s="41" t="n">
        <v>100</v>
      </c>
      <c r="E61" s="23" t="n">
        <f aca="false">Assumptions!D37</f>
        <v>3.5</v>
      </c>
      <c r="F61" s="23" t="n">
        <f aca="false">Assumptions!E37</f>
        <v>3.4</v>
      </c>
      <c r="G61" s="23" t="n">
        <f aca="false">Assumptions!F37</f>
        <v>3.6</v>
      </c>
      <c r="H61" s="34" t="str">
        <f aca="false">IF(OR(MIN(E61:G61)&lt;C61,MAX(E61:G61)&gt;D61),"Breach","OK")</f>
        <v>OK</v>
      </c>
      <c r="I61" s="34" t="str">
        <f aca="false">TRIM(IF(OR(E61&lt;C61,E61&gt;D61),"Base ","")&amp;IF(OR(F61&lt;C61,F61&gt;D61),"Upside ","")&amp;IF(OR(G61&lt;C61,G61&gt;D61),"Downside",""))</f>
        <v/>
      </c>
    </row>
    <row r="62" customFormat="false" ht="15" hidden="false" customHeight="false" outlineLevel="0" collapsed="false">
      <c r="A62" s="13" t="s">
        <v>261</v>
      </c>
      <c r="B62" s="14" t="str">
        <f aca="false">Assumptions!B38</f>
        <v>Fraud and chargebacks (% of gross demand)</v>
      </c>
      <c r="C62" s="38" t="n">
        <v>0</v>
      </c>
      <c r="D62" s="38" t="n">
        <v>0.1</v>
      </c>
      <c r="E62" s="31" t="n">
        <f aca="false">Assumptions!D38</f>
        <v>0.0015</v>
      </c>
      <c r="F62" s="31" t="n">
        <f aca="false">Assumptions!E38</f>
        <v>0.0012</v>
      </c>
      <c r="G62" s="31" t="n">
        <f aca="false">Assumptions!F38</f>
        <v>0.002</v>
      </c>
      <c r="H62" s="34" t="str">
        <f aca="false">IF(OR(MIN(E62:G62)&lt;C62,MAX(E62:G62)&gt;D62),"Breach","OK")</f>
        <v>OK</v>
      </c>
      <c r="I62" s="34" t="str">
        <f aca="false">TRIM(IF(OR(E62&lt;C62,E62&gt;D62),"Base ","")&amp;IF(OR(F62&lt;C62,F62&gt;D62),"Upside ","")&amp;IF(OR(G62&lt;C62,G62&gt;D62),"Downside",""))</f>
        <v/>
      </c>
    </row>
  </sheetData>
  <sheetProtection sheet="true" formatColumns="false" formatRows="false"/>
  <conditionalFormatting sqref="D5:D26">
    <cfRule type="cellIs" priority="2" operator="equal" aboveAverage="0" equalAverage="0" bottom="0" percent="0" rank="0" text="" dxfId="0">
      <formula>"PASS"</formula>
    </cfRule>
    <cfRule type="cellIs" priority="3" operator="equal" aboveAverage="0" equalAverage="0" bottom="0" percent="0" rank="0" text="" dxfId="1">
      <formula>"WARN"</formula>
    </cfRule>
    <cfRule type="cellIs" priority="4" operator="equal" aboveAverage="0" equalAverage="0" bottom="0" percent="0" rank="0" text="" dxfId="2">
      <formula>"FAIL"</formula>
    </cfRule>
  </conditionalFormatting>
  <conditionalFormatting sqref="H34:H62">
    <cfRule type="cellIs" priority="5" operator="equal" aboveAverage="0" equalAverage="0" bottom="0" percent="0" rank="0" text="" dxfId="2">
      <formula>"Breach"</formula>
    </cfRule>
  </conditionalFormatting>
  <dataValidations count="1">
    <dataValidation allowBlank="true" errorStyle="stop" operator="between" showDropDown="false" showErrorMessage="false" showInputMessage="false" sqref="D30" type="list">
      <formula1>"Confirmed"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28"/>
    <col collapsed="false" customWidth="true" hidden="false" outlineLevel="0" max="3" min="3" style="0" width="100"/>
  </cols>
  <sheetData>
    <row r="1" customFormat="false" ht="17.35" hidden="false" customHeight="false" outlineLevel="0" collapsed="false">
      <c r="A1" s="1" t="s">
        <v>38</v>
      </c>
    </row>
    <row r="2" customFormat="false" ht="15" hidden="false" customHeight="false" outlineLevel="0" collapsed="false">
      <c r="A2" s="2" t="s">
        <v>262</v>
      </c>
    </row>
    <row r="3" customFormat="false" ht="42" hidden="false" customHeight="true" outlineLevel="0" collapsed="false">
      <c r="A3" s="19" t="s">
        <v>263</v>
      </c>
      <c r="B3" s="19" t="s">
        <v>160</v>
      </c>
      <c r="C3" s="19" t="s">
        <v>264</v>
      </c>
    </row>
    <row r="4" customFormat="false" ht="15" hidden="false" customHeight="false" outlineLevel="0" collapsed="false">
      <c r="A4" s="13" t="s">
        <v>75</v>
      </c>
      <c r="B4" s="27" t="s">
        <v>265</v>
      </c>
      <c r="C4" s="13" t="s">
        <v>266</v>
      </c>
    </row>
    <row r="5" customFormat="false" ht="15" hidden="false" customHeight="false" outlineLevel="0" collapsed="false">
      <c r="A5" s="13" t="s">
        <v>267</v>
      </c>
      <c r="B5" s="27" t="s">
        <v>268</v>
      </c>
      <c r="C5" s="13" t="s">
        <v>269</v>
      </c>
    </row>
    <row r="6" customFormat="false" ht="15" hidden="false" customHeight="false" outlineLevel="0" collapsed="false">
      <c r="A6" s="13" t="s">
        <v>270</v>
      </c>
      <c r="B6" s="42" t="n">
        <v>46419</v>
      </c>
      <c r="C6" s="13" t="s">
        <v>271</v>
      </c>
    </row>
    <row r="7" customFormat="false" ht="15" hidden="false" customHeight="false" outlineLevel="0" collapsed="false">
      <c r="A7" s="13" t="s">
        <v>272</v>
      </c>
      <c r="B7" s="27" t="s">
        <v>273</v>
      </c>
      <c r="C7" s="13" t="s">
        <v>274</v>
      </c>
    </row>
    <row r="8" customFormat="false" ht="15" hidden="false" customHeight="false" outlineLevel="0" collapsed="false">
      <c r="A8" s="13" t="s">
        <v>275</v>
      </c>
      <c r="B8" s="27" t="s">
        <v>276</v>
      </c>
      <c r="C8" s="13"/>
    </row>
    <row r="9" customFormat="false" ht="15" hidden="false" customHeight="false" outlineLevel="0" collapsed="false">
      <c r="A9" s="13" t="s">
        <v>277</v>
      </c>
      <c r="B9" s="27" t="s">
        <v>278</v>
      </c>
      <c r="C9" s="13"/>
    </row>
    <row r="10" customFormat="false" ht="15" hidden="false" customHeight="false" outlineLevel="0" collapsed="false">
      <c r="A10" s="13" t="s">
        <v>279</v>
      </c>
      <c r="B10" s="43" t="n">
        <v>0.5</v>
      </c>
      <c r="C10" s="13" t="s">
        <v>280</v>
      </c>
    </row>
    <row r="11" customFormat="false" ht="15" hidden="false" customHeight="false" outlineLevel="0" collapsed="false">
      <c r="A11" s="13" t="s">
        <v>281</v>
      </c>
      <c r="B11" s="43" t="n">
        <v>0.3</v>
      </c>
      <c r="C11" s="13"/>
    </row>
    <row r="12" customFormat="false" ht="15" hidden="false" customHeight="false" outlineLevel="0" collapsed="false">
      <c r="A12" s="13" t="s">
        <v>282</v>
      </c>
      <c r="B12" s="43" t="n">
        <v>0.2</v>
      </c>
      <c r="C12" s="13"/>
    </row>
    <row r="13" customFormat="false" ht="15" hidden="false" customHeight="false" outlineLevel="0" collapsed="false">
      <c r="A13" s="13" t="s">
        <v>283</v>
      </c>
      <c r="B13" s="22" t="n">
        <f aca="false">SUM(B10:B12)</f>
        <v>1</v>
      </c>
      <c r="C13" s="13" t="s">
        <v>284</v>
      </c>
    </row>
    <row r="14" customFormat="false" ht="15" hidden="false" customHeight="false" outlineLevel="0" collapsed="false">
      <c r="A14" s="13" t="s">
        <v>77</v>
      </c>
      <c r="B14" s="27" t="s">
        <v>83</v>
      </c>
      <c r="C14" s="13" t="s">
        <v>285</v>
      </c>
    </row>
    <row r="15" customFormat="false" ht="15" hidden="false" customHeight="false" outlineLevel="0" collapsed="false">
      <c r="A15" s="13" t="s">
        <v>286</v>
      </c>
      <c r="B15" s="44" t="n">
        <f aca="false">IF(B14="Upside",2,IF(B14="Downside",3,1))</f>
        <v>1</v>
      </c>
      <c r="C15" s="13" t="s">
        <v>287</v>
      </c>
    </row>
    <row r="16" customFormat="false" ht="15" hidden="false" customHeight="false" outlineLevel="0" collapsed="false">
      <c r="A16" s="13" t="s">
        <v>288</v>
      </c>
      <c r="B16" s="45" t="n">
        <v>23500000</v>
      </c>
      <c r="C16" s="13" t="s">
        <v>289</v>
      </c>
    </row>
    <row r="17" customFormat="false" ht="15" hidden="false" customHeight="false" outlineLevel="0" collapsed="false">
      <c r="A17" s="13" t="s">
        <v>290</v>
      </c>
      <c r="B17" s="13" t="s">
        <v>291</v>
      </c>
      <c r="C17" s="13"/>
    </row>
    <row r="18" customFormat="false" ht="15" hidden="false" customHeight="false" outlineLevel="0" collapsed="false">
      <c r="A18" s="13" t="s">
        <v>292</v>
      </c>
      <c r="B18" s="27" t="s">
        <v>293</v>
      </c>
      <c r="C18" s="13" t="s">
        <v>294</v>
      </c>
    </row>
    <row r="21" customFormat="false" ht="15" hidden="false" customHeight="false" outlineLevel="0" collapsed="false">
      <c r="A21" s="15" t="s">
        <v>295</v>
      </c>
      <c r="B21" s="15"/>
      <c r="C21" s="15"/>
    </row>
    <row r="22" customFormat="false" ht="15" hidden="false" customHeight="false" outlineLevel="0" collapsed="false">
      <c r="A22" s="13" t="s">
        <v>296</v>
      </c>
      <c r="B22" s="27" t="s">
        <v>297</v>
      </c>
    </row>
    <row r="23" customFormat="false" ht="15" hidden="false" customHeight="false" outlineLevel="0" collapsed="false">
      <c r="A23" s="13" t="s">
        <v>298</v>
      </c>
      <c r="B23" s="42" t="n">
        <v>46322</v>
      </c>
    </row>
    <row r="24" customFormat="false" ht="15" hidden="false" customHeight="false" outlineLevel="0" collapsed="false">
      <c r="A24" s="13" t="s">
        <v>299</v>
      </c>
      <c r="B24" s="27"/>
    </row>
    <row r="25" customFormat="false" ht="15" hidden="false" customHeight="false" outlineLevel="0" collapsed="false">
      <c r="A25" s="13" t="s">
        <v>300</v>
      </c>
      <c r="B25" s="27"/>
    </row>
    <row r="26" customFormat="false" ht="15" hidden="false" customHeight="false" outlineLevel="0" collapsed="false">
      <c r="A26" s="13" t="s">
        <v>301</v>
      </c>
      <c r="B26" s="27" t="s">
        <v>302</v>
      </c>
    </row>
  </sheetData>
  <sheetProtection sheet="true" formatColumns="false" formatRows="false"/>
  <conditionalFormatting sqref="B13">
    <cfRule type="expression" priority="2" aboveAverage="0" equalAverage="0" bottom="0" percent="0" rank="0" text="" dxfId="2">
      <formula>ABS($B$13-1)&gt;0.0001</formula>
    </cfRule>
  </conditionalFormatting>
  <dataValidations count="2">
    <dataValidation allowBlank="false" error="Choose Base, Upside or Downside." errorStyle="stop" errorTitle="Scenario" operator="between" showDropDown="false" showErrorMessage="true" showInputMessage="false" sqref="B14" type="list">
      <formula1>"Base,Upside,Downside"</formula1>
      <formula2>0</formula2>
    </dataValidation>
    <dataValidation allowBlank="false" error="Enter a weight between 0% and 100%." errorStyle="stop" errorTitle="Weight" operator="between" showDropDown="false" showErrorMessage="true" showInputMessage="false" sqref="B10:B12" type="decimal">
      <formula1>0</formula1>
      <formula2>1</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48"/>
    <col collapsed="false" customWidth="true" hidden="false" outlineLevel="0" max="3" min="3" style="0" width="6"/>
    <col collapsed="false" customWidth="true" hidden="false" outlineLevel="0" max="7" min="4" style="0" width="12"/>
    <col collapsed="false" customWidth="true" hidden="false" outlineLevel="0" max="8" min="8" style="0" width="66"/>
    <col collapsed="false" customWidth="true" hidden="false" outlineLevel="0" max="9" min="9" style="0" width="22"/>
    <col collapsed="false" customWidth="true" hidden="false" outlineLevel="0" max="10" min="10" style="0" width="38"/>
    <col collapsed="false" customWidth="true" hidden="false" outlineLevel="0" max="11" min="11" style="0" width="12"/>
    <col collapsed="false" customWidth="true" hidden="false" outlineLevel="0" max="12" min="12" style="0" width="24"/>
    <col collapsed="false" customWidth="true" hidden="false" outlineLevel="0" max="13" min="13" style="0" width="12"/>
  </cols>
  <sheetData>
    <row r="1" customFormat="false" ht="17.35" hidden="false" customHeight="false" outlineLevel="0" collapsed="false">
      <c r="A1" s="1" t="s">
        <v>303</v>
      </c>
    </row>
    <row r="2" customFormat="false" ht="15" hidden="false" customHeight="false" outlineLevel="0" collapsed="false">
      <c r="A2" s="2" t="s">
        <v>304</v>
      </c>
    </row>
    <row r="4" customFormat="false" ht="42" hidden="false" customHeight="true" outlineLevel="0" collapsed="false">
      <c r="A4" s="19" t="s">
        <v>227</v>
      </c>
      <c r="B4" s="19" t="s">
        <v>228</v>
      </c>
      <c r="C4" s="19" t="s">
        <v>305</v>
      </c>
      <c r="D4" s="19" t="s">
        <v>83</v>
      </c>
      <c r="E4" s="19" t="s">
        <v>84</v>
      </c>
      <c r="F4" s="19" t="s">
        <v>85</v>
      </c>
      <c r="G4" s="19" t="s">
        <v>306</v>
      </c>
      <c r="H4" s="19" t="s">
        <v>307</v>
      </c>
      <c r="I4" s="19" t="s">
        <v>308</v>
      </c>
      <c r="J4" s="19" t="s">
        <v>309</v>
      </c>
      <c r="K4" s="19" t="s">
        <v>310</v>
      </c>
      <c r="L4" s="19" t="s">
        <v>137</v>
      </c>
      <c r="M4" s="19" t="s">
        <v>311</v>
      </c>
    </row>
    <row r="5" customFormat="false" ht="15" hidden="false" customHeight="false" outlineLevel="0" collapsed="false">
      <c r="A5" s="15" t="s">
        <v>312</v>
      </c>
      <c r="B5" s="15"/>
      <c r="C5" s="15"/>
      <c r="D5" s="15"/>
      <c r="E5" s="15"/>
      <c r="F5" s="15"/>
      <c r="G5" s="15"/>
      <c r="H5" s="15"/>
      <c r="I5" s="15"/>
      <c r="J5" s="15"/>
      <c r="K5" s="15"/>
      <c r="L5" s="15"/>
      <c r="M5" s="15"/>
    </row>
    <row r="6" customFormat="false" ht="15" hidden="false" customHeight="false" outlineLevel="0" collapsed="false">
      <c r="A6" s="13" t="s">
        <v>233</v>
      </c>
      <c r="B6" s="13" t="s">
        <v>313</v>
      </c>
      <c r="C6" s="13" t="s">
        <v>314</v>
      </c>
      <c r="D6" s="43" t="n">
        <v>0.04</v>
      </c>
      <c r="E6" s="43" t="n">
        <v>0.07</v>
      </c>
      <c r="F6" s="43" t="n">
        <v>0</v>
      </c>
      <c r="G6" s="31" t="n">
        <f aca="false">CHOOSE(Settings!$B$15,D6,E6,F6)</f>
        <v>0.04</v>
      </c>
      <c r="H6" s="13" t="s">
        <v>315</v>
      </c>
      <c r="I6" s="27" t="s">
        <v>316</v>
      </c>
      <c r="J6" s="27" t="s">
        <v>317</v>
      </c>
      <c r="K6" s="27" t="s">
        <v>318</v>
      </c>
      <c r="L6" s="27" t="s">
        <v>140</v>
      </c>
      <c r="M6" s="27" t="s">
        <v>319</v>
      </c>
    </row>
    <row r="7" customFormat="false" ht="15" hidden="false" customHeight="false" outlineLevel="0" collapsed="false">
      <c r="A7" s="13" t="s">
        <v>234</v>
      </c>
      <c r="B7" s="13" t="s">
        <v>320</v>
      </c>
      <c r="C7" s="13" t="s">
        <v>314</v>
      </c>
      <c r="D7" s="43" t="n">
        <v>0.03</v>
      </c>
      <c r="E7" s="43" t="n">
        <v>0.06</v>
      </c>
      <c r="F7" s="43" t="n">
        <v>-0.02</v>
      </c>
      <c r="G7" s="31" t="n">
        <f aca="false">CHOOSE(Settings!$B$15,D7,E7,F7)</f>
        <v>0.03</v>
      </c>
      <c r="H7" s="13" t="s">
        <v>321</v>
      </c>
      <c r="I7" s="27" t="s">
        <v>316</v>
      </c>
      <c r="J7" s="27" t="s">
        <v>317</v>
      </c>
      <c r="K7" s="27" t="s">
        <v>318</v>
      </c>
      <c r="L7" s="27" t="s">
        <v>322</v>
      </c>
      <c r="M7" s="27" t="s">
        <v>319</v>
      </c>
    </row>
    <row r="8" customFormat="false" ht="15" hidden="false" customHeight="false" outlineLevel="0" collapsed="false">
      <c r="A8" s="13" t="s">
        <v>235</v>
      </c>
      <c r="B8" s="13" t="s">
        <v>323</v>
      </c>
      <c r="C8" s="13" t="s">
        <v>314</v>
      </c>
      <c r="D8" s="43" t="n">
        <v>0</v>
      </c>
      <c r="E8" s="43" t="n">
        <v>0.03</v>
      </c>
      <c r="F8" s="43" t="n">
        <v>-0.05</v>
      </c>
      <c r="G8" s="31" t="n">
        <f aca="false">CHOOSE(Settings!$B$15,D8,E8,F8)</f>
        <v>0</v>
      </c>
      <c r="H8" s="13" t="s">
        <v>324</v>
      </c>
      <c r="I8" s="27" t="s">
        <v>316</v>
      </c>
      <c r="J8" s="27" t="s">
        <v>317</v>
      </c>
      <c r="K8" s="27" t="s">
        <v>318</v>
      </c>
      <c r="L8" s="27" t="s">
        <v>146</v>
      </c>
      <c r="M8" s="27" t="s">
        <v>319</v>
      </c>
    </row>
    <row r="9" customFormat="false" ht="15" hidden="false" customHeight="false" outlineLevel="0" collapsed="false">
      <c r="A9" s="15" t="s">
        <v>325</v>
      </c>
      <c r="B9" s="15"/>
      <c r="C9" s="15"/>
      <c r="D9" s="15"/>
      <c r="E9" s="15"/>
      <c r="F9" s="15"/>
      <c r="G9" s="15"/>
      <c r="H9" s="15"/>
      <c r="I9" s="15"/>
      <c r="J9" s="15"/>
      <c r="K9" s="15"/>
      <c r="L9" s="15"/>
      <c r="M9" s="15"/>
    </row>
    <row r="10" customFormat="false" ht="15" hidden="false" customHeight="false" outlineLevel="0" collapsed="false">
      <c r="A10" s="13" t="s">
        <v>236</v>
      </c>
      <c r="B10" s="13" t="s">
        <v>326</v>
      </c>
      <c r="C10" s="13" t="s">
        <v>327</v>
      </c>
      <c r="D10" s="45" t="n">
        <v>1900000</v>
      </c>
      <c r="E10" s="45" t="n">
        <v>2200000</v>
      </c>
      <c r="F10" s="45" t="n">
        <v>1700000</v>
      </c>
      <c r="G10" s="20" t="n">
        <f aca="false">CHOOSE(Settings!$B$15,D10,E10,F10)</f>
        <v>1900000</v>
      </c>
      <c r="H10" s="13" t="s">
        <v>328</v>
      </c>
      <c r="I10" s="27" t="s">
        <v>316</v>
      </c>
      <c r="J10" s="27" t="s">
        <v>317</v>
      </c>
      <c r="K10" s="27" t="s">
        <v>318</v>
      </c>
      <c r="L10" s="27" t="s">
        <v>146</v>
      </c>
      <c r="M10" s="27" t="s">
        <v>319</v>
      </c>
    </row>
    <row r="11" customFormat="false" ht="15" hidden="false" customHeight="false" outlineLevel="0" collapsed="false">
      <c r="A11" s="13" t="s">
        <v>237</v>
      </c>
      <c r="B11" s="13" t="s">
        <v>329</v>
      </c>
      <c r="C11" s="13" t="s">
        <v>327</v>
      </c>
      <c r="D11" s="45" t="n">
        <v>950000</v>
      </c>
      <c r="E11" s="45" t="n">
        <v>1100000</v>
      </c>
      <c r="F11" s="45" t="n">
        <v>850000</v>
      </c>
      <c r="G11" s="20" t="n">
        <f aca="false">CHOOSE(Settings!$B$15,D11,E11,F11)</f>
        <v>950000</v>
      </c>
      <c r="H11" s="13" t="s">
        <v>330</v>
      </c>
      <c r="I11" s="27" t="s">
        <v>316</v>
      </c>
      <c r="J11" s="27" t="s">
        <v>317</v>
      </c>
      <c r="K11" s="27" t="s">
        <v>318</v>
      </c>
      <c r="L11" s="27" t="s">
        <v>146</v>
      </c>
      <c r="M11" s="27" t="s">
        <v>319</v>
      </c>
    </row>
    <row r="12" customFormat="false" ht="15" hidden="false" customHeight="false" outlineLevel="0" collapsed="false">
      <c r="A12" s="13" t="s">
        <v>238</v>
      </c>
      <c r="B12" s="13" t="s">
        <v>331</v>
      </c>
      <c r="C12" s="13" t="s">
        <v>327</v>
      </c>
      <c r="D12" s="45" t="n">
        <v>200000</v>
      </c>
      <c r="E12" s="45" t="n">
        <v>250000</v>
      </c>
      <c r="F12" s="45" t="n">
        <v>150000</v>
      </c>
      <c r="G12" s="20" t="n">
        <f aca="false">CHOOSE(Settings!$B$15,D12,E12,F12)</f>
        <v>200000</v>
      </c>
      <c r="H12" s="13" t="s">
        <v>330</v>
      </c>
      <c r="I12" s="27" t="s">
        <v>316</v>
      </c>
      <c r="J12" s="27" t="s">
        <v>317</v>
      </c>
      <c r="K12" s="27" t="s">
        <v>318</v>
      </c>
      <c r="L12" s="27" t="s">
        <v>146</v>
      </c>
      <c r="M12" s="27" t="s">
        <v>319</v>
      </c>
    </row>
    <row r="13" customFormat="false" ht="15" hidden="false" customHeight="false" outlineLevel="0" collapsed="false">
      <c r="A13" s="13" t="s">
        <v>239</v>
      </c>
      <c r="B13" s="13" t="s">
        <v>332</v>
      </c>
      <c r="C13" s="13" t="s">
        <v>314</v>
      </c>
      <c r="D13" s="43" t="n">
        <v>0.05</v>
      </c>
      <c r="E13" s="43" t="n">
        <v>0.03</v>
      </c>
      <c r="F13" s="43" t="n">
        <v>0.08</v>
      </c>
      <c r="G13" s="31" t="n">
        <f aca="false">CHOOSE(Settings!$B$15,D13,E13,F13)</f>
        <v>0.05</v>
      </c>
      <c r="H13" s="13" t="s">
        <v>333</v>
      </c>
      <c r="I13" s="27" t="s">
        <v>334</v>
      </c>
      <c r="J13" s="27" t="s">
        <v>317</v>
      </c>
      <c r="K13" s="27" t="s">
        <v>318</v>
      </c>
      <c r="L13" s="27" t="s">
        <v>146</v>
      </c>
      <c r="M13" s="27" t="s">
        <v>319</v>
      </c>
    </row>
    <row r="14" customFormat="false" ht="15" hidden="false" customHeight="false" outlineLevel="0" collapsed="false">
      <c r="A14" s="13" t="s">
        <v>240</v>
      </c>
      <c r="B14" s="13" t="s">
        <v>335</v>
      </c>
      <c r="C14" s="13" t="s">
        <v>336</v>
      </c>
      <c r="D14" s="46" t="n">
        <v>0.35</v>
      </c>
      <c r="E14" s="46" t="n">
        <v>0.3</v>
      </c>
      <c r="F14" s="46" t="n">
        <v>0.45</v>
      </c>
      <c r="G14" s="36" t="n">
        <f aca="false">CHOOSE(Settings!$B$15,D14,E14,F14)</f>
        <v>0.35</v>
      </c>
      <c r="H14" s="13" t="s">
        <v>337</v>
      </c>
      <c r="I14" s="27" t="s">
        <v>338</v>
      </c>
      <c r="J14" s="27" t="s">
        <v>317</v>
      </c>
      <c r="K14" s="27" t="s">
        <v>318</v>
      </c>
      <c r="L14" s="27" t="s">
        <v>146</v>
      </c>
      <c r="M14" s="27" t="s">
        <v>319</v>
      </c>
    </row>
    <row r="15" customFormat="false" ht="15" hidden="false" customHeight="false" outlineLevel="0" collapsed="false">
      <c r="A15" s="13" t="s">
        <v>241</v>
      </c>
      <c r="B15" s="13" t="s">
        <v>339</v>
      </c>
      <c r="C15" s="13" t="s">
        <v>336</v>
      </c>
      <c r="D15" s="46" t="n">
        <v>0.25</v>
      </c>
      <c r="E15" s="46" t="n">
        <v>0.2</v>
      </c>
      <c r="F15" s="46" t="n">
        <v>0.35</v>
      </c>
      <c r="G15" s="36" t="n">
        <f aca="false">CHOOSE(Settings!$B$15,D15,E15,F15)</f>
        <v>0.25</v>
      </c>
      <c r="H15" s="13" t="s">
        <v>340</v>
      </c>
      <c r="I15" s="27" t="s">
        <v>338</v>
      </c>
      <c r="J15" s="27" t="s">
        <v>317</v>
      </c>
      <c r="K15" s="27" t="s">
        <v>318</v>
      </c>
      <c r="L15" s="27" t="s">
        <v>146</v>
      </c>
      <c r="M15" s="27" t="s">
        <v>319</v>
      </c>
    </row>
    <row r="16" customFormat="false" ht="15" hidden="false" customHeight="false" outlineLevel="0" collapsed="false">
      <c r="A16" s="13" t="s">
        <v>242</v>
      </c>
      <c r="B16" s="13" t="s">
        <v>341</v>
      </c>
      <c r="C16" s="13" t="s">
        <v>336</v>
      </c>
      <c r="D16" s="46" t="n">
        <v>0.2</v>
      </c>
      <c r="E16" s="46" t="n">
        <v>0.15</v>
      </c>
      <c r="F16" s="46" t="n">
        <v>0.3</v>
      </c>
      <c r="G16" s="36" t="n">
        <f aca="false">CHOOSE(Settings!$B$15,D16,E16,F16)</f>
        <v>0.2</v>
      </c>
      <c r="H16" s="13" t="s">
        <v>330</v>
      </c>
      <c r="I16" s="27" t="s">
        <v>338</v>
      </c>
      <c r="J16" s="27" t="s">
        <v>317</v>
      </c>
      <c r="K16" s="27" t="s">
        <v>318</v>
      </c>
      <c r="L16" s="27" t="s">
        <v>146</v>
      </c>
      <c r="M16" s="27" t="s">
        <v>319</v>
      </c>
    </row>
    <row r="17" customFormat="false" ht="15" hidden="false" customHeight="false" outlineLevel="0" collapsed="false">
      <c r="A17" s="15" t="s">
        <v>342</v>
      </c>
      <c r="B17" s="15"/>
      <c r="C17" s="15"/>
      <c r="D17" s="15"/>
      <c r="E17" s="15"/>
      <c r="F17" s="15"/>
      <c r="G17" s="15"/>
      <c r="H17" s="15"/>
      <c r="I17" s="15"/>
      <c r="J17" s="15"/>
      <c r="K17" s="15"/>
      <c r="L17" s="15"/>
      <c r="M17" s="15"/>
    </row>
    <row r="18" customFormat="false" ht="15" hidden="false" customHeight="false" outlineLevel="0" collapsed="false">
      <c r="A18" s="13" t="s">
        <v>243</v>
      </c>
      <c r="B18" s="13" t="s">
        <v>343</v>
      </c>
      <c r="C18" s="13" t="s">
        <v>314</v>
      </c>
      <c r="D18" s="43" t="n">
        <v>0</v>
      </c>
      <c r="E18" s="43" t="n">
        <v>0.03</v>
      </c>
      <c r="F18" s="43" t="n">
        <v>-0.04</v>
      </c>
      <c r="G18" s="31" t="n">
        <f aca="false">CHOOSE(Settings!$B$15,D18,E18,F18)</f>
        <v>0</v>
      </c>
      <c r="H18" s="13" t="s">
        <v>344</v>
      </c>
      <c r="I18" s="27" t="s">
        <v>338</v>
      </c>
      <c r="J18" s="27" t="s">
        <v>317</v>
      </c>
      <c r="K18" s="27" t="s">
        <v>318</v>
      </c>
      <c r="L18" s="27" t="s">
        <v>140</v>
      </c>
      <c r="M18" s="27" t="s">
        <v>319</v>
      </c>
    </row>
    <row r="19" customFormat="false" ht="15" hidden="false" customHeight="false" outlineLevel="0" collapsed="false">
      <c r="A19" s="13" t="s">
        <v>244</v>
      </c>
      <c r="B19" s="13" t="s">
        <v>345</v>
      </c>
      <c r="C19" s="13" t="s">
        <v>314</v>
      </c>
      <c r="D19" s="43" t="n">
        <v>0.02</v>
      </c>
      <c r="E19" s="43" t="n">
        <v>0.04</v>
      </c>
      <c r="F19" s="43" t="n">
        <v>0</v>
      </c>
      <c r="G19" s="31" t="n">
        <f aca="false">CHOOSE(Settings!$B$15,D19,E19,F19)</f>
        <v>0.02</v>
      </c>
      <c r="H19" s="13" t="s">
        <v>346</v>
      </c>
      <c r="I19" s="27" t="s">
        <v>316</v>
      </c>
      <c r="J19" s="27" t="s">
        <v>317</v>
      </c>
      <c r="K19" s="27" t="s">
        <v>318</v>
      </c>
      <c r="L19" s="27" t="s">
        <v>143</v>
      </c>
      <c r="M19" s="27" t="s">
        <v>319</v>
      </c>
    </row>
    <row r="20" customFormat="false" ht="15" hidden="false" customHeight="false" outlineLevel="0" collapsed="false">
      <c r="A20" s="13" t="s">
        <v>245</v>
      </c>
      <c r="B20" s="13" t="s">
        <v>347</v>
      </c>
      <c r="C20" s="13" t="s">
        <v>348</v>
      </c>
      <c r="D20" s="43" t="n">
        <v>0</v>
      </c>
      <c r="E20" s="43" t="n">
        <v>-0.01</v>
      </c>
      <c r="F20" s="43" t="n">
        <v>0.02</v>
      </c>
      <c r="G20" s="31" t="n">
        <f aca="false">CHOOSE(Settings!$B$15,D20,E20,F20)</f>
        <v>0</v>
      </c>
      <c r="H20" s="13" t="s">
        <v>349</v>
      </c>
      <c r="I20" s="27" t="s">
        <v>316</v>
      </c>
      <c r="J20" s="27" t="s">
        <v>317</v>
      </c>
      <c r="K20" s="27" t="s">
        <v>318</v>
      </c>
      <c r="L20" s="27" t="s">
        <v>143</v>
      </c>
      <c r="M20" s="27" t="s">
        <v>319</v>
      </c>
    </row>
    <row r="21" customFormat="false" ht="15" hidden="false" customHeight="false" outlineLevel="0" collapsed="false">
      <c r="A21" s="13" t="s">
        <v>246</v>
      </c>
      <c r="B21" s="13" t="s">
        <v>350</v>
      </c>
      <c r="C21" s="13" t="s">
        <v>348</v>
      </c>
      <c r="D21" s="43" t="n">
        <v>0</v>
      </c>
      <c r="E21" s="43" t="n">
        <v>-0.01</v>
      </c>
      <c r="F21" s="43" t="n">
        <v>0.015</v>
      </c>
      <c r="G21" s="31" t="n">
        <f aca="false">CHOOSE(Settings!$B$15,D21,E21,F21)</f>
        <v>0</v>
      </c>
      <c r="H21" s="13" t="s">
        <v>351</v>
      </c>
      <c r="I21" s="27" t="s">
        <v>316</v>
      </c>
      <c r="J21" s="27" t="s">
        <v>317</v>
      </c>
      <c r="K21" s="27" t="s">
        <v>318</v>
      </c>
      <c r="L21" s="27" t="s">
        <v>140</v>
      </c>
      <c r="M21" s="27" t="s">
        <v>319</v>
      </c>
    </row>
    <row r="22" customFormat="false" ht="15" hidden="false" customHeight="false" outlineLevel="0" collapsed="false">
      <c r="A22" s="15" t="s">
        <v>352</v>
      </c>
      <c r="B22" s="15"/>
      <c r="C22" s="15"/>
      <c r="D22" s="15"/>
      <c r="E22" s="15"/>
      <c r="F22" s="15"/>
      <c r="G22" s="15"/>
      <c r="H22" s="15"/>
      <c r="I22" s="15"/>
      <c r="J22" s="15"/>
      <c r="K22" s="15"/>
      <c r="L22" s="15"/>
      <c r="M22" s="15"/>
    </row>
    <row r="23" customFormat="false" ht="15" hidden="false" customHeight="false" outlineLevel="0" collapsed="false">
      <c r="A23" s="13" t="s">
        <v>247</v>
      </c>
      <c r="B23" s="13" t="s">
        <v>353</v>
      </c>
      <c r="C23" s="13" t="s">
        <v>314</v>
      </c>
      <c r="D23" s="43" t="n">
        <v>0.62</v>
      </c>
      <c r="E23" s="43" t="n">
        <v>0.62</v>
      </c>
      <c r="F23" s="43" t="n">
        <v>0.62</v>
      </c>
      <c r="G23" s="31" t="n">
        <f aca="false">CHOOSE(Settings!$B$15,D23,E23,F23)</f>
        <v>0.62</v>
      </c>
      <c r="H23" s="13" t="s">
        <v>354</v>
      </c>
      <c r="I23" s="27" t="s">
        <v>355</v>
      </c>
      <c r="J23" s="27" t="s">
        <v>317</v>
      </c>
      <c r="K23" s="27" t="s">
        <v>318</v>
      </c>
      <c r="L23" s="27" t="s">
        <v>356</v>
      </c>
      <c r="M23" s="27" t="s">
        <v>319</v>
      </c>
    </row>
    <row r="24" customFormat="false" ht="15" hidden="false" customHeight="false" outlineLevel="0" collapsed="false">
      <c r="A24" s="13" t="s">
        <v>248</v>
      </c>
      <c r="B24" s="13" t="s">
        <v>357</v>
      </c>
      <c r="C24" s="13" t="s">
        <v>314</v>
      </c>
      <c r="D24" s="43" t="n">
        <v>0.05</v>
      </c>
      <c r="E24" s="43" t="n">
        <v>0.04</v>
      </c>
      <c r="F24" s="43" t="n">
        <v>0.07</v>
      </c>
      <c r="G24" s="31" t="n">
        <f aca="false">CHOOSE(Settings!$B$15,D24,E24,F24)</f>
        <v>0.05</v>
      </c>
      <c r="H24" s="13" t="s">
        <v>358</v>
      </c>
      <c r="I24" s="27" t="s">
        <v>355</v>
      </c>
      <c r="J24" s="27" t="s">
        <v>317</v>
      </c>
      <c r="K24" s="27" t="s">
        <v>318</v>
      </c>
      <c r="L24" s="27" t="s">
        <v>359</v>
      </c>
      <c r="M24" s="27" t="s">
        <v>319</v>
      </c>
    </row>
    <row r="25" customFormat="false" ht="15" hidden="false" customHeight="false" outlineLevel="0" collapsed="false">
      <c r="A25" s="13" t="s">
        <v>249</v>
      </c>
      <c r="B25" s="13" t="s">
        <v>360</v>
      </c>
      <c r="C25" s="13" t="s">
        <v>314</v>
      </c>
      <c r="D25" s="43" t="n">
        <v>0.03</v>
      </c>
      <c r="E25" s="43" t="n">
        <v>0.03</v>
      </c>
      <c r="F25" s="43" t="n">
        <v>0.03</v>
      </c>
      <c r="G25" s="31" t="n">
        <f aca="false">CHOOSE(Settings!$B$15,D25,E25,F25)</f>
        <v>0.03</v>
      </c>
      <c r="H25" s="13" t="s">
        <v>361</v>
      </c>
      <c r="I25" s="27" t="s">
        <v>355</v>
      </c>
      <c r="J25" s="27" t="s">
        <v>317</v>
      </c>
      <c r="K25" s="27" t="s">
        <v>318</v>
      </c>
      <c r="L25" s="27" t="s">
        <v>356</v>
      </c>
      <c r="M25" s="27" t="s">
        <v>319</v>
      </c>
    </row>
    <row r="26" customFormat="false" ht="15" hidden="false" customHeight="false" outlineLevel="0" collapsed="false">
      <c r="A26" s="15" t="s">
        <v>362</v>
      </c>
      <c r="B26" s="15"/>
      <c r="C26" s="15"/>
      <c r="D26" s="15"/>
      <c r="E26" s="15"/>
      <c r="F26" s="15"/>
      <c r="G26" s="15"/>
      <c r="H26" s="15"/>
      <c r="I26" s="15"/>
      <c r="J26" s="15"/>
      <c r="K26" s="15"/>
      <c r="L26" s="15"/>
      <c r="M26" s="15"/>
    </row>
    <row r="27" customFormat="false" ht="15" hidden="false" customHeight="false" outlineLevel="0" collapsed="false">
      <c r="A27" s="13" t="s">
        <v>250</v>
      </c>
      <c r="B27" s="13" t="s">
        <v>363</v>
      </c>
      <c r="C27" s="13" t="s">
        <v>327</v>
      </c>
      <c r="D27" s="47" t="n">
        <v>4.2</v>
      </c>
      <c r="E27" s="47" t="n">
        <v>4.1</v>
      </c>
      <c r="F27" s="47" t="n">
        <v>4.4</v>
      </c>
      <c r="G27" s="23" t="n">
        <f aca="false">CHOOSE(Settings!$B$15,D27,E27,F27)</f>
        <v>4.2</v>
      </c>
      <c r="H27" s="13" t="s">
        <v>364</v>
      </c>
      <c r="I27" s="27" t="s">
        <v>355</v>
      </c>
      <c r="J27" s="27" t="s">
        <v>317</v>
      </c>
      <c r="K27" s="27" t="s">
        <v>318</v>
      </c>
      <c r="L27" s="27" t="s">
        <v>359</v>
      </c>
      <c r="M27" s="27" t="s">
        <v>319</v>
      </c>
    </row>
    <row r="28" customFormat="false" ht="15" hidden="false" customHeight="false" outlineLevel="0" collapsed="false">
      <c r="A28" s="13" t="s">
        <v>251</v>
      </c>
      <c r="B28" s="13" t="s">
        <v>365</v>
      </c>
      <c r="C28" s="13" t="s">
        <v>327</v>
      </c>
      <c r="D28" s="47" t="n">
        <v>1.1</v>
      </c>
      <c r="E28" s="47" t="n">
        <v>1.2</v>
      </c>
      <c r="F28" s="47" t="n">
        <v>1</v>
      </c>
      <c r="G28" s="23" t="n">
        <f aca="false">CHOOSE(Settings!$B$15,D28,E28,F28)</f>
        <v>1.1</v>
      </c>
      <c r="H28" s="13" t="s">
        <v>366</v>
      </c>
      <c r="I28" s="27" t="s">
        <v>355</v>
      </c>
      <c r="J28" s="27" t="s">
        <v>317</v>
      </c>
      <c r="K28" s="27" t="s">
        <v>318</v>
      </c>
      <c r="L28" s="27" t="s">
        <v>143</v>
      </c>
      <c r="M28" s="27" t="s">
        <v>319</v>
      </c>
    </row>
    <row r="29" customFormat="false" ht="15" hidden="false" customHeight="false" outlineLevel="0" collapsed="false">
      <c r="A29" s="13" t="s">
        <v>252</v>
      </c>
      <c r="B29" s="13" t="s">
        <v>367</v>
      </c>
      <c r="C29" s="13" t="s">
        <v>327</v>
      </c>
      <c r="D29" s="47" t="n">
        <v>0.45</v>
      </c>
      <c r="E29" s="47" t="n">
        <v>0.45</v>
      </c>
      <c r="F29" s="47" t="n">
        <v>0.48</v>
      </c>
      <c r="G29" s="23" t="n">
        <f aca="false">CHOOSE(Settings!$B$15,D29,E29,F29)</f>
        <v>0.45</v>
      </c>
      <c r="H29" s="13" t="s">
        <v>368</v>
      </c>
      <c r="I29" s="27" t="s">
        <v>355</v>
      </c>
      <c r="J29" s="27" t="s">
        <v>317</v>
      </c>
      <c r="K29" s="27" t="s">
        <v>318</v>
      </c>
      <c r="L29" s="27" t="s">
        <v>359</v>
      </c>
      <c r="M29" s="27" t="s">
        <v>319</v>
      </c>
    </row>
    <row r="30" customFormat="false" ht="15" hidden="false" customHeight="false" outlineLevel="0" collapsed="false">
      <c r="A30" s="13" t="s">
        <v>253</v>
      </c>
      <c r="B30" s="13" t="s">
        <v>369</v>
      </c>
      <c r="C30" s="13" t="s">
        <v>327</v>
      </c>
      <c r="D30" s="47" t="n">
        <v>0.85</v>
      </c>
      <c r="E30" s="47" t="n">
        <v>0.82</v>
      </c>
      <c r="F30" s="47" t="n">
        <v>0.9</v>
      </c>
      <c r="G30" s="23" t="n">
        <f aca="false">CHOOSE(Settings!$B$15,D30,E30,F30)</f>
        <v>0.85</v>
      </c>
      <c r="H30" s="13" t="s">
        <v>370</v>
      </c>
      <c r="I30" s="27" t="s">
        <v>355</v>
      </c>
      <c r="J30" s="27" t="s">
        <v>317</v>
      </c>
      <c r="K30" s="27" t="s">
        <v>318</v>
      </c>
      <c r="L30" s="27" t="s">
        <v>359</v>
      </c>
      <c r="M30" s="27" t="s">
        <v>319</v>
      </c>
    </row>
    <row r="31" customFormat="false" ht="15" hidden="false" customHeight="false" outlineLevel="0" collapsed="false">
      <c r="A31" s="13" t="s">
        <v>254</v>
      </c>
      <c r="B31" s="13" t="s">
        <v>371</v>
      </c>
      <c r="C31" s="13" t="s">
        <v>327</v>
      </c>
      <c r="D31" s="47" t="n">
        <v>3.2</v>
      </c>
      <c r="E31" s="47" t="n">
        <v>3.1</v>
      </c>
      <c r="F31" s="47" t="n">
        <v>3.4</v>
      </c>
      <c r="G31" s="23" t="n">
        <f aca="false">CHOOSE(Settings!$B$15,D31,E31,F31)</f>
        <v>3.2</v>
      </c>
      <c r="H31" s="13" t="s">
        <v>372</v>
      </c>
      <c r="I31" s="27" t="s">
        <v>355</v>
      </c>
      <c r="J31" s="27" t="s">
        <v>317</v>
      </c>
      <c r="K31" s="27" t="s">
        <v>318</v>
      </c>
      <c r="L31" s="27" t="s">
        <v>359</v>
      </c>
      <c r="M31" s="27" t="s">
        <v>319</v>
      </c>
    </row>
    <row r="32" customFormat="false" ht="15" hidden="false" customHeight="false" outlineLevel="0" collapsed="false">
      <c r="A32" s="13" t="s">
        <v>255</v>
      </c>
      <c r="B32" s="13" t="s">
        <v>373</v>
      </c>
      <c r="C32" s="13" t="s">
        <v>327</v>
      </c>
      <c r="D32" s="47" t="n">
        <v>1.4</v>
      </c>
      <c r="E32" s="47" t="n">
        <v>1.35</v>
      </c>
      <c r="F32" s="47" t="n">
        <v>1.5</v>
      </c>
      <c r="G32" s="23" t="n">
        <f aca="false">CHOOSE(Settings!$B$15,D32,E32,F32)</f>
        <v>1.4</v>
      </c>
      <c r="H32" s="13" t="s">
        <v>374</v>
      </c>
      <c r="I32" s="27" t="s">
        <v>355</v>
      </c>
      <c r="J32" s="27" t="s">
        <v>317</v>
      </c>
      <c r="K32" s="27" t="s">
        <v>318</v>
      </c>
      <c r="L32" s="27" t="s">
        <v>359</v>
      </c>
      <c r="M32" s="27" t="s">
        <v>319</v>
      </c>
    </row>
    <row r="33" customFormat="false" ht="15" hidden="false" customHeight="false" outlineLevel="0" collapsed="false">
      <c r="A33" s="13" t="s">
        <v>256</v>
      </c>
      <c r="B33" s="13" t="s">
        <v>375</v>
      </c>
      <c r="C33" s="13" t="s">
        <v>314</v>
      </c>
      <c r="D33" s="48" t="n">
        <v>0.016</v>
      </c>
      <c r="E33" s="48" t="n">
        <v>0.015</v>
      </c>
      <c r="F33" s="48" t="n">
        <v>0.017</v>
      </c>
      <c r="G33" s="29" t="n">
        <f aca="false">CHOOSE(Settings!$B$15,D33,E33,F33)</f>
        <v>0.016</v>
      </c>
      <c r="H33" s="13" t="s">
        <v>376</v>
      </c>
      <c r="I33" s="27" t="s">
        <v>355</v>
      </c>
      <c r="J33" s="27" t="s">
        <v>317</v>
      </c>
      <c r="K33" s="27" t="s">
        <v>318</v>
      </c>
      <c r="L33" s="27" t="s">
        <v>356</v>
      </c>
      <c r="M33" s="27" t="s">
        <v>319</v>
      </c>
    </row>
    <row r="34" customFormat="false" ht="15" hidden="false" customHeight="false" outlineLevel="0" collapsed="false">
      <c r="A34" s="13" t="s">
        <v>257</v>
      </c>
      <c r="B34" s="13" t="s">
        <v>377</v>
      </c>
      <c r="C34" s="13" t="s">
        <v>314</v>
      </c>
      <c r="D34" s="43" t="n">
        <v>0.08</v>
      </c>
      <c r="E34" s="43" t="n">
        <v>0.08</v>
      </c>
      <c r="F34" s="43" t="n">
        <v>0.08</v>
      </c>
      <c r="G34" s="31" t="n">
        <f aca="false">CHOOSE(Settings!$B$15,D34,E34,F34)</f>
        <v>0.08</v>
      </c>
      <c r="H34" s="13" t="s">
        <v>378</v>
      </c>
      <c r="I34" s="27" t="s">
        <v>355</v>
      </c>
      <c r="J34" s="27" t="s">
        <v>317</v>
      </c>
      <c r="K34" s="27" t="s">
        <v>318</v>
      </c>
      <c r="L34" s="27" t="s">
        <v>146</v>
      </c>
      <c r="M34" s="27" t="s">
        <v>319</v>
      </c>
    </row>
    <row r="35" customFormat="false" ht="15" hidden="false" customHeight="false" outlineLevel="0" collapsed="false">
      <c r="A35" s="13" t="s">
        <v>258</v>
      </c>
      <c r="B35" s="13" t="s">
        <v>379</v>
      </c>
      <c r="C35" s="13" t="s">
        <v>314</v>
      </c>
      <c r="D35" s="43" t="n">
        <v>1</v>
      </c>
      <c r="E35" s="43" t="n">
        <v>0.9</v>
      </c>
      <c r="F35" s="43" t="n">
        <v>1</v>
      </c>
      <c r="G35" s="31" t="n">
        <f aca="false">CHOOSE(Settings!$B$15,D35,E35,F35)</f>
        <v>1</v>
      </c>
      <c r="H35" s="13" t="s">
        <v>380</v>
      </c>
      <c r="I35" s="27" t="s">
        <v>316</v>
      </c>
      <c r="J35" s="27" t="s">
        <v>317</v>
      </c>
      <c r="K35" s="27" t="s">
        <v>318</v>
      </c>
      <c r="L35" s="27" t="s">
        <v>146</v>
      </c>
      <c r="M35" s="27" t="s">
        <v>319</v>
      </c>
    </row>
    <row r="36" customFormat="false" ht="15" hidden="false" customHeight="false" outlineLevel="0" collapsed="false">
      <c r="A36" s="13" t="s">
        <v>259</v>
      </c>
      <c r="B36" s="13" t="s">
        <v>381</v>
      </c>
      <c r="C36" s="13" t="s">
        <v>336</v>
      </c>
      <c r="D36" s="46" t="n">
        <v>0.12</v>
      </c>
      <c r="E36" s="46" t="n">
        <v>0.1</v>
      </c>
      <c r="F36" s="46" t="n">
        <v>0.14</v>
      </c>
      <c r="G36" s="36" t="n">
        <f aca="false">CHOOSE(Settings!$B$15,D36,E36,F36)</f>
        <v>0.12</v>
      </c>
      <c r="H36" s="13" t="s">
        <v>382</v>
      </c>
      <c r="I36" s="27" t="s">
        <v>355</v>
      </c>
      <c r="J36" s="27" t="s">
        <v>317</v>
      </c>
      <c r="K36" s="27" t="s">
        <v>318</v>
      </c>
      <c r="L36" s="27" t="s">
        <v>383</v>
      </c>
      <c r="M36" s="27" t="s">
        <v>319</v>
      </c>
    </row>
    <row r="37" customFormat="false" ht="15" hidden="false" customHeight="false" outlineLevel="0" collapsed="false">
      <c r="A37" s="13" t="s">
        <v>260</v>
      </c>
      <c r="B37" s="13" t="s">
        <v>384</v>
      </c>
      <c r="C37" s="13" t="s">
        <v>327</v>
      </c>
      <c r="D37" s="47" t="n">
        <v>3.5</v>
      </c>
      <c r="E37" s="47" t="n">
        <v>3.4</v>
      </c>
      <c r="F37" s="47" t="n">
        <v>3.6</v>
      </c>
      <c r="G37" s="23" t="n">
        <f aca="false">CHOOSE(Settings!$B$15,D37,E37,F37)</f>
        <v>3.5</v>
      </c>
      <c r="H37" s="13" t="s">
        <v>330</v>
      </c>
      <c r="I37" s="27" t="s">
        <v>355</v>
      </c>
      <c r="J37" s="27" t="s">
        <v>317</v>
      </c>
      <c r="K37" s="27" t="s">
        <v>318</v>
      </c>
      <c r="L37" s="27" t="s">
        <v>383</v>
      </c>
      <c r="M37" s="27" t="s">
        <v>319</v>
      </c>
    </row>
    <row r="38" customFormat="false" ht="15" hidden="false" customHeight="false" outlineLevel="0" collapsed="false">
      <c r="A38" s="13" t="s">
        <v>261</v>
      </c>
      <c r="B38" s="13" t="s">
        <v>385</v>
      </c>
      <c r="C38" s="13" t="s">
        <v>314</v>
      </c>
      <c r="D38" s="48" t="n">
        <v>0.0015</v>
      </c>
      <c r="E38" s="48" t="n">
        <v>0.0012</v>
      </c>
      <c r="F38" s="48" t="n">
        <v>0.002</v>
      </c>
      <c r="G38" s="29" t="n">
        <f aca="false">CHOOSE(Settings!$B$15,D38,E38,F38)</f>
        <v>0.0015</v>
      </c>
      <c r="H38" s="13" t="s">
        <v>386</v>
      </c>
      <c r="I38" s="27" t="s">
        <v>355</v>
      </c>
      <c r="J38" s="27" t="s">
        <v>317</v>
      </c>
      <c r="K38" s="27" t="s">
        <v>318</v>
      </c>
      <c r="L38" s="27" t="s">
        <v>356</v>
      </c>
      <c r="M38" s="27" t="s">
        <v>319</v>
      </c>
    </row>
  </sheetData>
  <sheetProtection sheet="true" formatColumns="false" formatRows="false"/>
  <dataValidations count="1">
    <dataValidation allowBlank="false" errorStyle="stop" operator="between" showDropDown="false" showErrorMessage="false" showInputMessage="false" sqref="I6:I38" type="list">
      <formula1>"Historical evidence,External benchmark,Management judgement,Untested hypothesis"</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2" min="2" style="0" width="16"/>
    <col collapsed="false" customWidth="true" hidden="false" outlineLevel="0" max="3" min="3" style="0" width="6"/>
    <col collapsed="false" customWidth="true" hidden="false" outlineLevel="0" max="4" min="4" style="0" width="42"/>
    <col collapsed="false" customWidth="true" hidden="false" outlineLevel="0" max="6" min="5" style="0" width="16"/>
    <col collapsed="false" customWidth="true" hidden="false" outlineLevel="0" max="7" min="7" style="0" width="64"/>
  </cols>
  <sheetData>
    <row r="1" customFormat="false" ht="17.35" hidden="false" customHeight="false" outlineLevel="0" collapsed="false">
      <c r="A1" s="1" t="s">
        <v>387</v>
      </c>
    </row>
    <row r="2" customFormat="false" ht="15" hidden="false" customHeight="false" outlineLevel="0" collapsed="false">
      <c r="A2" s="2" t="s">
        <v>388</v>
      </c>
    </row>
    <row r="4" customFormat="false" ht="42" hidden="false" customHeight="true" outlineLevel="0" collapsed="false">
      <c r="A4" s="19" t="s">
        <v>389</v>
      </c>
      <c r="B4" s="19" t="s">
        <v>160</v>
      </c>
      <c r="C4" s="19" t="s">
        <v>305</v>
      </c>
      <c r="D4" s="19" t="s">
        <v>309</v>
      </c>
      <c r="E4" s="19" t="s">
        <v>310</v>
      </c>
      <c r="F4" s="19" t="s">
        <v>390</v>
      </c>
      <c r="G4" s="19" t="s">
        <v>264</v>
      </c>
    </row>
    <row r="5" customFormat="false" ht="15" hidden="false" customHeight="false" outlineLevel="0" collapsed="false">
      <c r="A5" s="13" t="s">
        <v>391</v>
      </c>
      <c r="B5" s="43" t="n">
        <v>0.02</v>
      </c>
      <c r="C5" s="13" t="s">
        <v>314</v>
      </c>
      <c r="D5" s="27" t="s">
        <v>392</v>
      </c>
      <c r="E5" s="27" t="s">
        <v>393</v>
      </c>
      <c r="F5" s="27" t="s">
        <v>132</v>
      </c>
      <c r="G5" s="27" t="s">
        <v>394</v>
      </c>
    </row>
    <row r="6" customFormat="false" ht="15" hidden="false" customHeight="false" outlineLevel="0" collapsed="false">
      <c r="A6" s="13" t="s">
        <v>395</v>
      </c>
      <c r="B6" s="43" t="n">
        <v>0.32</v>
      </c>
      <c r="C6" s="13" t="s">
        <v>314</v>
      </c>
      <c r="D6" s="27" t="s">
        <v>392</v>
      </c>
      <c r="E6" s="27" t="s">
        <v>393</v>
      </c>
      <c r="F6" s="27" t="s">
        <v>132</v>
      </c>
      <c r="G6" s="27" t="s">
        <v>396</v>
      </c>
    </row>
    <row r="7" customFormat="false" ht="15" hidden="false" customHeight="false" outlineLevel="0" collapsed="false">
      <c r="A7" s="13" t="s">
        <v>397</v>
      </c>
      <c r="B7" s="43" t="n">
        <v>0.01</v>
      </c>
      <c r="C7" s="13" t="s">
        <v>348</v>
      </c>
      <c r="D7" s="27" t="s">
        <v>392</v>
      </c>
      <c r="E7" s="27" t="s">
        <v>393</v>
      </c>
      <c r="F7" s="27" t="s">
        <v>132</v>
      </c>
      <c r="G7" s="27" t="s">
        <v>398</v>
      </c>
    </row>
    <row r="8" customFormat="false" ht="15" hidden="false" customHeight="false" outlineLevel="0" collapsed="false">
      <c r="A8" s="13" t="s">
        <v>399</v>
      </c>
      <c r="B8" s="43" t="n">
        <v>0.025</v>
      </c>
      <c r="C8" s="13" t="s">
        <v>314</v>
      </c>
      <c r="D8" s="27" t="s">
        <v>392</v>
      </c>
      <c r="E8" s="27" t="s">
        <v>393</v>
      </c>
      <c r="F8" s="27" t="s">
        <v>132</v>
      </c>
      <c r="G8" s="27" t="s">
        <v>400</v>
      </c>
    </row>
    <row r="9" customFormat="false" ht="15" hidden="false" customHeight="false" outlineLevel="0" collapsed="false">
      <c r="A9" s="13" t="s">
        <v>401</v>
      </c>
      <c r="B9" s="43" t="n">
        <v>0.03</v>
      </c>
      <c r="C9" s="13" t="s">
        <v>314</v>
      </c>
      <c r="D9" s="27" t="s">
        <v>392</v>
      </c>
      <c r="E9" s="27" t="s">
        <v>393</v>
      </c>
      <c r="F9" s="27" t="s">
        <v>132</v>
      </c>
      <c r="G9" s="27" t="s">
        <v>402</v>
      </c>
    </row>
    <row r="11" customFormat="false" ht="15" hidden="false" customHeight="false" outlineLevel="0" collapsed="false">
      <c r="A11" s="13" t="s">
        <v>403</v>
      </c>
      <c r="B11" s="22" t="n">
        <f aca="false">(1+B5)*(B6+B7)/B6-1</f>
        <v>0.0518750000000001</v>
      </c>
      <c r="G11" s="13" t="s">
        <v>404</v>
      </c>
    </row>
    <row r="12" customFormat="false" ht="15" hidden="false" customHeight="false" outlineLevel="0" collapsed="false">
      <c r="A12" s="13" t="s">
        <v>405</v>
      </c>
      <c r="B12" s="20" t="n">
        <f aca="false">'History Y-1'!AJ58</f>
        <v>21425109.97</v>
      </c>
    </row>
    <row r="13" customFormat="false" ht="15" hidden="false" customHeight="false" outlineLevel="0" collapsed="false">
      <c r="A13" s="13" t="s">
        <v>406</v>
      </c>
      <c r="B13" s="49" t="n">
        <f aca="false">B12*(1+B11)*(1+B9)</f>
        <v>23212633.6761846</v>
      </c>
      <c r="G13" s="13" t="s">
        <v>407</v>
      </c>
    </row>
  </sheetData>
  <sheetProtection sheet="true" formatColumns="false" formatRows="false"/>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5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3" min="2" style="0" width="12"/>
    <col collapsed="false" customWidth="true" hidden="false" outlineLevel="0" max="5" min="4" style="0" width="8"/>
    <col collapsed="false" customWidth="true" hidden="false" outlineLevel="0" max="6" min="6" style="0" width="32"/>
    <col collapsed="false" customWidth="true" hidden="false" outlineLevel="0" max="7" min="7" style="0" width="12"/>
    <col collapsed="false" customWidth="true" hidden="false" outlineLevel="0" max="8" min="8" style="0" width="70"/>
  </cols>
  <sheetData>
    <row r="1" customFormat="false" ht="17.35" hidden="false" customHeight="false" outlineLevel="0" collapsed="false">
      <c r="A1" s="1" t="s">
        <v>408</v>
      </c>
    </row>
    <row r="2" customFormat="false" ht="15" hidden="false" customHeight="false" outlineLevel="0" collapsed="false">
      <c r="A2" s="2" t="s">
        <v>409</v>
      </c>
    </row>
    <row r="5" customFormat="false" ht="42" hidden="false" customHeight="true" outlineLevel="0" collapsed="false">
      <c r="A5" s="19" t="s">
        <v>410</v>
      </c>
      <c r="B5" s="19" t="s">
        <v>411</v>
      </c>
      <c r="C5" s="19" t="s">
        <v>412</v>
      </c>
      <c r="D5" s="19" t="s">
        <v>413</v>
      </c>
      <c r="E5" s="19" t="s">
        <v>414</v>
      </c>
      <c r="F5" s="19" t="s">
        <v>415</v>
      </c>
      <c r="G5" s="19" t="s">
        <v>416</v>
      </c>
      <c r="H5" s="19" t="s">
        <v>417</v>
      </c>
    </row>
    <row r="6" customFormat="false" ht="15" hidden="false" customHeight="false" outlineLevel="0" collapsed="false">
      <c r="A6" s="13" t="n">
        <v>1</v>
      </c>
      <c r="B6" s="50" t="n">
        <f aca="false">Settings!$B$6+7*(A6-1)</f>
        <v>46419</v>
      </c>
      <c r="C6" s="51" t="n">
        <f aca="false">B6+6</f>
        <v>46425</v>
      </c>
      <c r="D6" s="13" t="s">
        <v>418</v>
      </c>
      <c r="E6" s="13" t="s">
        <v>419</v>
      </c>
      <c r="F6" s="27"/>
      <c r="G6" s="43" t="n">
        <v>0</v>
      </c>
      <c r="H6" s="37"/>
    </row>
    <row r="7" customFormat="false" ht="15" hidden="false" customHeight="false" outlineLevel="0" collapsed="false">
      <c r="A7" s="13" t="n">
        <v>2</v>
      </c>
      <c r="B7" s="50" t="n">
        <f aca="false">Settings!$B$6+7*(A7-1)</f>
        <v>46426</v>
      </c>
      <c r="C7" s="51" t="n">
        <f aca="false">B7+6</f>
        <v>46432</v>
      </c>
      <c r="D7" s="13" t="s">
        <v>418</v>
      </c>
      <c r="E7" s="13" t="s">
        <v>419</v>
      </c>
      <c r="F7" s="27"/>
      <c r="G7" s="43" t="n">
        <v>0</v>
      </c>
      <c r="H7" s="37"/>
    </row>
    <row r="8" customFormat="false" ht="15" hidden="false" customHeight="false" outlineLevel="0" collapsed="false">
      <c r="A8" s="13" t="n">
        <v>3</v>
      </c>
      <c r="B8" s="50" t="n">
        <f aca="false">Settings!$B$6+7*(A8-1)</f>
        <v>46433</v>
      </c>
      <c r="C8" s="51" t="n">
        <f aca="false">B8+6</f>
        <v>46439</v>
      </c>
      <c r="D8" s="13" t="s">
        <v>418</v>
      </c>
      <c r="E8" s="13" t="s">
        <v>419</v>
      </c>
      <c r="F8" s="27"/>
      <c r="G8" s="43" t="n">
        <v>0</v>
      </c>
      <c r="H8" s="37"/>
    </row>
    <row r="9" customFormat="false" ht="15" hidden="false" customHeight="false" outlineLevel="0" collapsed="false">
      <c r="A9" s="13" t="n">
        <v>4</v>
      </c>
      <c r="B9" s="50" t="n">
        <f aca="false">Settings!$B$6+7*(A9-1)</f>
        <v>46440</v>
      </c>
      <c r="C9" s="51" t="n">
        <f aca="false">B9+6</f>
        <v>46446</v>
      </c>
      <c r="D9" s="13" t="s">
        <v>418</v>
      </c>
      <c r="E9" s="13" t="s">
        <v>419</v>
      </c>
      <c r="F9" s="27"/>
      <c r="G9" s="43" t="n">
        <v>0</v>
      </c>
      <c r="H9" s="37"/>
    </row>
    <row r="10" customFormat="false" ht="15" hidden="false" customHeight="false" outlineLevel="0" collapsed="false">
      <c r="A10" s="13" t="n">
        <v>5</v>
      </c>
      <c r="B10" s="50" t="n">
        <f aca="false">Settings!$B$6+7*(A10-1)</f>
        <v>46447</v>
      </c>
      <c r="C10" s="51" t="n">
        <f aca="false">B10+6</f>
        <v>46453</v>
      </c>
      <c r="D10" s="13" t="s">
        <v>420</v>
      </c>
      <c r="E10" s="13" t="s">
        <v>419</v>
      </c>
      <c r="F10" s="27"/>
      <c r="G10" s="43" t="n">
        <v>0</v>
      </c>
      <c r="H10" s="37"/>
    </row>
    <row r="11" customFormat="false" ht="15" hidden="false" customHeight="false" outlineLevel="0" collapsed="false">
      <c r="A11" s="13" t="n">
        <v>6</v>
      </c>
      <c r="B11" s="50" t="n">
        <f aca="false">Settings!$B$6+7*(A11-1)</f>
        <v>46454</v>
      </c>
      <c r="C11" s="51" t="n">
        <f aca="false">B11+6</f>
        <v>46460</v>
      </c>
      <c r="D11" s="13" t="s">
        <v>420</v>
      </c>
      <c r="E11" s="13" t="s">
        <v>419</v>
      </c>
      <c r="F11" s="27"/>
      <c r="G11" s="43" t="n">
        <v>0</v>
      </c>
      <c r="H11" s="37"/>
    </row>
    <row r="12" customFormat="false" ht="15" hidden="false" customHeight="false" outlineLevel="0" collapsed="false">
      <c r="A12" s="13" t="n">
        <v>7</v>
      </c>
      <c r="B12" s="50" t="n">
        <f aca="false">Settings!$B$6+7*(A12-1)</f>
        <v>46461</v>
      </c>
      <c r="C12" s="51" t="n">
        <f aca="false">B12+6</f>
        <v>46467</v>
      </c>
      <c r="D12" s="13" t="s">
        <v>420</v>
      </c>
      <c r="E12" s="13" t="s">
        <v>419</v>
      </c>
      <c r="F12" s="27"/>
      <c r="G12" s="43" t="n">
        <v>0</v>
      </c>
      <c r="H12" s="37"/>
    </row>
    <row r="13" customFormat="false" ht="15" hidden="false" customHeight="false" outlineLevel="0" collapsed="false">
      <c r="A13" s="13" t="n">
        <v>8</v>
      </c>
      <c r="B13" s="50" t="n">
        <f aca="false">Settings!$B$6+7*(A13-1)</f>
        <v>46468</v>
      </c>
      <c r="C13" s="51" t="n">
        <f aca="false">B13+6</f>
        <v>46474</v>
      </c>
      <c r="D13" s="13" t="s">
        <v>420</v>
      </c>
      <c r="E13" s="13" t="s">
        <v>419</v>
      </c>
      <c r="F13" s="27"/>
      <c r="G13" s="43" t="n">
        <v>0</v>
      </c>
      <c r="H13" s="37"/>
    </row>
    <row r="14" customFormat="false" ht="15" hidden="false" customHeight="false" outlineLevel="0" collapsed="false">
      <c r="A14" s="13" t="n">
        <v>9</v>
      </c>
      <c r="B14" s="50" t="n">
        <f aca="false">Settings!$B$6+7*(A14-1)</f>
        <v>46475</v>
      </c>
      <c r="C14" s="51" t="n">
        <f aca="false">B14+6</f>
        <v>46481</v>
      </c>
      <c r="D14" s="13" t="s">
        <v>421</v>
      </c>
      <c r="E14" s="13" t="s">
        <v>419</v>
      </c>
      <c r="F14" s="27"/>
      <c r="G14" s="43" t="n">
        <v>0</v>
      </c>
      <c r="H14" s="37"/>
    </row>
    <row r="15" customFormat="false" ht="15" hidden="false" customHeight="false" outlineLevel="0" collapsed="false">
      <c r="A15" s="13" t="n">
        <v>10</v>
      </c>
      <c r="B15" s="50" t="n">
        <f aca="false">Settings!$B$6+7*(A15-1)</f>
        <v>46482</v>
      </c>
      <c r="C15" s="51" t="n">
        <f aca="false">B15+6</f>
        <v>46488</v>
      </c>
      <c r="D15" s="13" t="s">
        <v>421</v>
      </c>
      <c r="E15" s="13" t="s">
        <v>419</v>
      </c>
      <c r="F15" s="27" t="s">
        <v>422</v>
      </c>
      <c r="G15" s="43" t="n">
        <v>0</v>
      </c>
      <c r="H15" s="37"/>
    </row>
    <row r="16" customFormat="false" ht="15" hidden="false" customHeight="false" outlineLevel="0" collapsed="false">
      <c r="A16" s="13" t="n">
        <v>11</v>
      </c>
      <c r="B16" s="50" t="n">
        <f aca="false">Settings!$B$6+7*(A16-1)</f>
        <v>46489</v>
      </c>
      <c r="C16" s="51" t="n">
        <f aca="false">B16+6</f>
        <v>46495</v>
      </c>
      <c r="D16" s="13" t="s">
        <v>421</v>
      </c>
      <c r="E16" s="13" t="s">
        <v>419</v>
      </c>
      <c r="F16" s="27"/>
      <c r="G16" s="43" t="n">
        <v>0</v>
      </c>
      <c r="H16" s="37"/>
    </row>
    <row r="17" customFormat="false" ht="15" hidden="false" customHeight="false" outlineLevel="0" collapsed="false">
      <c r="A17" s="13" t="n">
        <v>12</v>
      </c>
      <c r="B17" s="50" t="n">
        <f aca="false">Settings!$B$6+7*(A17-1)</f>
        <v>46496</v>
      </c>
      <c r="C17" s="51" t="n">
        <f aca="false">B17+6</f>
        <v>46502</v>
      </c>
      <c r="D17" s="13" t="s">
        <v>421</v>
      </c>
      <c r="E17" s="13" t="s">
        <v>419</v>
      </c>
      <c r="F17" s="27"/>
      <c r="G17" s="43" t="n">
        <v>0</v>
      </c>
      <c r="H17" s="37"/>
    </row>
    <row r="18" customFormat="false" ht="15" hidden="false" customHeight="false" outlineLevel="0" collapsed="false">
      <c r="A18" s="13" t="n">
        <v>13</v>
      </c>
      <c r="B18" s="50" t="n">
        <f aca="false">Settings!$B$6+7*(A18-1)</f>
        <v>46503</v>
      </c>
      <c r="C18" s="51" t="n">
        <f aca="false">B18+6</f>
        <v>46509</v>
      </c>
      <c r="D18" s="13" t="s">
        <v>421</v>
      </c>
      <c r="E18" s="13" t="s">
        <v>419</v>
      </c>
      <c r="F18" s="27"/>
      <c r="G18" s="43" t="n">
        <v>0</v>
      </c>
      <c r="H18" s="37"/>
    </row>
    <row r="19" customFormat="false" ht="15" hidden="false" customHeight="false" outlineLevel="0" collapsed="false">
      <c r="A19" s="13" t="n">
        <v>14</v>
      </c>
      <c r="B19" s="50" t="n">
        <f aca="false">Settings!$B$6+7*(A19-1)</f>
        <v>46510</v>
      </c>
      <c r="C19" s="51" t="n">
        <f aca="false">B19+6</f>
        <v>46516</v>
      </c>
      <c r="D19" s="13" t="s">
        <v>423</v>
      </c>
      <c r="E19" s="13" t="s">
        <v>424</v>
      </c>
      <c r="F19" s="27"/>
      <c r="G19" s="43" t="n">
        <v>0</v>
      </c>
      <c r="H19" s="37"/>
    </row>
    <row r="20" customFormat="false" ht="15" hidden="false" customHeight="false" outlineLevel="0" collapsed="false">
      <c r="A20" s="13" t="n">
        <v>15</v>
      </c>
      <c r="B20" s="50" t="n">
        <f aca="false">Settings!$B$6+7*(A20-1)</f>
        <v>46517</v>
      </c>
      <c r="C20" s="51" t="n">
        <f aca="false">B20+6</f>
        <v>46523</v>
      </c>
      <c r="D20" s="13" t="s">
        <v>423</v>
      </c>
      <c r="E20" s="13" t="s">
        <v>424</v>
      </c>
      <c r="F20" s="27"/>
      <c r="G20" s="43" t="n">
        <v>0</v>
      </c>
      <c r="H20" s="37"/>
    </row>
    <row r="21" customFormat="false" ht="15" hidden="false" customHeight="false" outlineLevel="0" collapsed="false">
      <c r="A21" s="13" t="n">
        <v>16</v>
      </c>
      <c r="B21" s="50" t="n">
        <f aca="false">Settings!$B$6+7*(A21-1)</f>
        <v>46524</v>
      </c>
      <c r="C21" s="51" t="n">
        <f aca="false">B21+6</f>
        <v>46530</v>
      </c>
      <c r="D21" s="13" t="s">
        <v>423</v>
      </c>
      <c r="E21" s="13" t="s">
        <v>424</v>
      </c>
      <c r="F21" s="27"/>
      <c r="G21" s="43" t="n">
        <v>0</v>
      </c>
      <c r="H21" s="37"/>
    </row>
    <row r="22" customFormat="false" ht="15" hidden="false" customHeight="false" outlineLevel="0" collapsed="false">
      <c r="A22" s="13" t="n">
        <v>17</v>
      </c>
      <c r="B22" s="50" t="n">
        <f aca="false">Settings!$B$6+7*(A22-1)</f>
        <v>46531</v>
      </c>
      <c r="C22" s="51" t="n">
        <f aca="false">B22+6</f>
        <v>46537</v>
      </c>
      <c r="D22" s="13" t="s">
        <v>423</v>
      </c>
      <c r="E22" s="13" t="s">
        <v>424</v>
      </c>
      <c r="F22" s="27"/>
      <c r="G22" s="43" t="n">
        <v>0</v>
      </c>
      <c r="H22" s="37"/>
    </row>
    <row r="23" customFormat="false" ht="15" hidden="false" customHeight="false" outlineLevel="0" collapsed="false">
      <c r="A23" s="13" t="n">
        <v>18</v>
      </c>
      <c r="B23" s="50" t="n">
        <f aca="false">Settings!$B$6+7*(A23-1)</f>
        <v>46538</v>
      </c>
      <c r="C23" s="51" t="n">
        <f aca="false">B23+6</f>
        <v>46544</v>
      </c>
      <c r="D23" s="13" t="s">
        <v>425</v>
      </c>
      <c r="E23" s="13" t="s">
        <v>424</v>
      </c>
      <c r="F23" s="27"/>
      <c r="G23" s="43" t="n">
        <v>0</v>
      </c>
      <c r="H23" s="37"/>
    </row>
    <row r="24" customFormat="false" ht="15" hidden="false" customHeight="false" outlineLevel="0" collapsed="false">
      <c r="A24" s="13" t="n">
        <v>19</v>
      </c>
      <c r="B24" s="50" t="n">
        <f aca="false">Settings!$B$6+7*(A24-1)</f>
        <v>46545</v>
      </c>
      <c r="C24" s="51" t="n">
        <f aca="false">B24+6</f>
        <v>46551</v>
      </c>
      <c r="D24" s="13" t="s">
        <v>425</v>
      </c>
      <c r="E24" s="13" t="s">
        <v>424</v>
      </c>
      <c r="F24" s="27"/>
      <c r="G24" s="43" t="n">
        <v>0</v>
      </c>
      <c r="H24" s="37"/>
    </row>
    <row r="25" customFormat="false" ht="15" hidden="false" customHeight="false" outlineLevel="0" collapsed="false">
      <c r="A25" s="13" t="n">
        <v>20</v>
      </c>
      <c r="B25" s="50" t="n">
        <f aca="false">Settings!$B$6+7*(A25-1)</f>
        <v>46552</v>
      </c>
      <c r="C25" s="51" t="n">
        <f aca="false">B25+6</f>
        <v>46558</v>
      </c>
      <c r="D25" s="13" t="s">
        <v>425</v>
      </c>
      <c r="E25" s="13" t="s">
        <v>424</v>
      </c>
      <c r="F25" s="27"/>
      <c r="G25" s="43" t="n">
        <v>0</v>
      </c>
      <c r="H25" s="37"/>
    </row>
    <row r="26" customFormat="false" ht="15" hidden="false" customHeight="false" outlineLevel="0" collapsed="false">
      <c r="A26" s="13" t="n">
        <v>21</v>
      </c>
      <c r="B26" s="50" t="n">
        <f aca="false">Settings!$B$6+7*(A26-1)</f>
        <v>46559</v>
      </c>
      <c r="C26" s="51" t="n">
        <f aca="false">B26+6</f>
        <v>46565</v>
      </c>
      <c r="D26" s="13" t="s">
        <v>425</v>
      </c>
      <c r="E26" s="13" t="s">
        <v>424</v>
      </c>
      <c r="F26" s="27" t="s">
        <v>426</v>
      </c>
      <c r="G26" s="43" t="n">
        <v>0</v>
      </c>
      <c r="H26" s="37"/>
    </row>
    <row r="27" customFormat="false" ht="15" hidden="false" customHeight="false" outlineLevel="0" collapsed="false">
      <c r="A27" s="13" t="n">
        <v>22</v>
      </c>
      <c r="B27" s="50" t="n">
        <f aca="false">Settings!$B$6+7*(A27-1)</f>
        <v>46566</v>
      </c>
      <c r="C27" s="51" t="n">
        <f aca="false">B27+6</f>
        <v>46572</v>
      </c>
      <c r="D27" s="13" t="s">
        <v>427</v>
      </c>
      <c r="E27" s="13" t="s">
        <v>424</v>
      </c>
      <c r="F27" s="27" t="s">
        <v>428</v>
      </c>
      <c r="G27" s="43" t="n">
        <v>0</v>
      </c>
      <c r="H27" s="37"/>
    </row>
    <row r="28" customFormat="false" ht="15" hidden="false" customHeight="false" outlineLevel="0" collapsed="false">
      <c r="A28" s="13" t="n">
        <v>23</v>
      </c>
      <c r="B28" s="50" t="n">
        <f aca="false">Settings!$B$6+7*(A28-1)</f>
        <v>46573</v>
      </c>
      <c r="C28" s="51" t="n">
        <f aca="false">B28+6</f>
        <v>46579</v>
      </c>
      <c r="D28" s="13" t="s">
        <v>427</v>
      </c>
      <c r="E28" s="13" t="s">
        <v>424</v>
      </c>
      <c r="F28" s="27" t="s">
        <v>428</v>
      </c>
      <c r="G28" s="43" t="n">
        <v>0</v>
      </c>
      <c r="H28" s="37"/>
    </row>
    <row r="29" customFormat="false" ht="15" hidden="false" customHeight="false" outlineLevel="0" collapsed="false">
      <c r="A29" s="13" t="n">
        <v>24</v>
      </c>
      <c r="B29" s="50" t="n">
        <f aca="false">Settings!$B$6+7*(A29-1)</f>
        <v>46580</v>
      </c>
      <c r="C29" s="51" t="n">
        <f aca="false">B29+6</f>
        <v>46586</v>
      </c>
      <c r="D29" s="13" t="s">
        <v>427</v>
      </c>
      <c r="E29" s="13" t="s">
        <v>424</v>
      </c>
      <c r="F29" s="27"/>
      <c r="G29" s="43" t="n">
        <v>0</v>
      </c>
      <c r="H29" s="37"/>
    </row>
    <row r="30" customFormat="false" ht="15" hidden="false" customHeight="false" outlineLevel="0" collapsed="false">
      <c r="A30" s="13" t="n">
        <v>25</v>
      </c>
      <c r="B30" s="50" t="n">
        <f aca="false">Settings!$B$6+7*(A30-1)</f>
        <v>46587</v>
      </c>
      <c r="C30" s="51" t="n">
        <f aca="false">B30+6</f>
        <v>46593</v>
      </c>
      <c r="D30" s="13" t="s">
        <v>427</v>
      </c>
      <c r="E30" s="13" t="s">
        <v>424</v>
      </c>
      <c r="F30" s="27"/>
      <c r="G30" s="43" t="n">
        <v>0</v>
      </c>
      <c r="H30" s="37"/>
    </row>
    <row r="31" customFormat="false" ht="15" hidden="false" customHeight="false" outlineLevel="0" collapsed="false">
      <c r="A31" s="13" t="n">
        <v>26</v>
      </c>
      <c r="B31" s="50" t="n">
        <f aca="false">Settings!$B$6+7*(A31-1)</f>
        <v>46594</v>
      </c>
      <c r="C31" s="51" t="n">
        <f aca="false">B31+6</f>
        <v>46600</v>
      </c>
      <c r="D31" s="13" t="s">
        <v>427</v>
      </c>
      <c r="E31" s="13" t="s">
        <v>424</v>
      </c>
      <c r="F31" s="27"/>
      <c r="G31" s="43" t="n">
        <v>0</v>
      </c>
      <c r="H31" s="37"/>
    </row>
    <row r="32" customFormat="false" ht="15" hidden="false" customHeight="false" outlineLevel="0" collapsed="false">
      <c r="A32" s="13" t="n">
        <v>27</v>
      </c>
      <c r="B32" s="50" t="n">
        <f aca="false">Settings!$B$6+7*(A32-1)</f>
        <v>46601</v>
      </c>
      <c r="C32" s="51" t="n">
        <f aca="false">B32+6</f>
        <v>46607</v>
      </c>
      <c r="D32" s="13" t="s">
        <v>429</v>
      </c>
      <c r="E32" s="13" t="s">
        <v>430</v>
      </c>
      <c r="F32" s="27"/>
      <c r="G32" s="43" t="n">
        <v>0</v>
      </c>
      <c r="H32" s="37"/>
    </row>
    <row r="33" customFormat="false" ht="15" hidden="false" customHeight="false" outlineLevel="0" collapsed="false">
      <c r="A33" s="13" t="n">
        <v>28</v>
      </c>
      <c r="B33" s="50" t="n">
        <f aca="false">Settings!$B$6+7*(A33-1)</f>
        <v>46608</v>
      </c>
      <c r="C33" s="51" t="n">
        <f aca="false">B33+6</f>
        <v>46614</v>
      </c>
      <c r="D33" s="13" t="s">
        <v>429</v>
      </c>
      <c r="E33" s="13" t="s">
        <v>430</v>
      </c>
      <c r="F33" s="27"/>
      <c r="G33" s="43" t="n">
        <v>0</v>
      </c>
      <c r="H33" s="37"/>
    </row>
    <row r="34" customFormat="false" ht="15" hidden="false" customHeight="false" outlineLevel="0" collapsed="false">
      <c r="A34" s="13" t="n">
        <v>29</v>
      </c>
      <c r="B34" s="50" t="n">
        <f aca="false">Settings!$B$6+7*(A34-1)</f>
        <v>46615</v>
      </c>
      <c r="C34" s="51" t="n">
        <f aca="false">B34+6</f>
        <v>46621</v>
      </c>
      <c r="D34" s="13" t="s">
        <v>429</v>
      </c>
      <c r="E34" s="13" t="s">
        <v>430</v>
      </c>
      <c r="F34" s="27"/>
      <c r="G34" s="43" t="n">
        <v>0</v>
      </c>
      <c r="H34" s="37"/>
    </row>
    <row r="35" customFormat="false" ht="15" hidden="false" customHeight="false" outlineLevel="0" collapsed="false">
      <c r="A35" s="13" t="n">
        <v>30</v>
      </c>
      <c r="B35" s="50" t="n">
        <f aca="false">Settings!$B$6+7*(A35-1)</f>
        <v>46622</v>
      </c>
      <c r="C35" s="51" t="n">
        <f aca="false">B35+6</f>
        <v>46628</v>
      </c>
      <c r="D35" s="13" t="s">
        <v>429</v>
      </c>
      <c r="E35" s="13" t="s">
        <v>430</v>
      </c>
      <c r="F35" s="27"/>
      <c r="G35" s="43" t="n">
        <v>0</v>
      </c>
      <c r="H35" s="37"/>
    </row>
    <row r="36" customFormat="false" ht="15" hidden="false" customHeight="false" outlineLevel="0" collapsed="false">
      <c r="A36" s="13" t="n">
        <v>31</v>
      </c>
      <c r="B36" s="50" t="n">
        <f aca="false">Settings!$B$6+7*(A36-1)</f>
        <v>46629</v>
      </c>
      <c r="C36" s="51" t="n">
        <f aca="false">B36+6</f>
        <v>46635</v>
      </c>
      <c r="D36" s="13" t="s">
        <v>431</v>
      </c>
      <c r="E36" s="13" t="s">
        <v>430</v>
      </c>
      <c r="F36" s="27"/>
      <c r="G36" s="43" t="n">
        <v>0</v>
      </c>
      <c r="H36" s="37"/>
    </row>
    <row r="37" customFormat="false" ht="15" hidden="false" customHeight="false" outlineLevel="0" collapsed="false">
      <c r="A37" s="13" t="n">
        <v>32</v>
      </c>
      <c r="B37" s="50" t="n">
        <f aca="false">Settings!$B$6+7*(A37-1)</f>
        <v>46636</v>
      </c>
      <c r="C37" s="51" t="n">
        <f aca="false">B37+6</f>
        <v>46642</v>
      </c>
      <c r="D37" s="13" t="s">
        <v>431</v>
      </c>
      <c r="E37" s="13" t="s">
        <v>430</v>
      </c>
      <c r="F37" s="27"/>
      <c r="G37" s="43" t="n">
        <v>0</v>
      </c>
      <c r="H37" s="37"/>
    </row>
    <row r="38" customFormat="false" ht="15" hidden="false" customHeight="false" outlineLevel="0" collapsed="false">
      <c r="A38" s="13" t="n">
        <v>33</v>
      </c>
      <c r="B38" s="50" t="n">
        <f aca="false">Settings!$B$6+7*(A38-1)</f>
        <v>46643</v>
      </c>
      <c r="C38" s="51" t="n">
        <f aca="false">B38+6</f>
        <v>46649</v>
      </c>
      <c r="D38" s="13" t="s">
        <v>431</v>
      </c>
      <c r="E38" s="13" t="s">
        <v>430</v>
      </c>
      <c r="F38" s="27"/>
      <c r="G38" s="43" t="n">
        <v>0</v>
      </c>
      <c r="H38" s="37"/>
    </row>
    <row r="39" customFormat="false" ht="15" hidden="false" customHeight="false" outlineLevel="0" collapsed="false">
      <c r="A39" s="13" t="n">
        <v>34</v>
      </c>
      <c r="B39" s="50" t="n">
        <f aca="false">Settings!$B$6+7*(A39-1)</f>
        <v>46650</v>
      </c>
      <c r="C39" s="51" t="n">
        <f aca="false">B39+6</f>
        <v>46656</v>
      </c>
      <c r="D39" s="13" t="s">
        <v>431</v>
      </c>
      <c r="E39" s="13" t="s">
        <v>430</v>
      </c>
      <c r="F39" s="27"/>
      <c r="G39" s="43" t="n">
        <v>0</v>
      </c>
      <c r="H39" s="37"/>
    </row>
    <row r="40" customFormat="false" ht="15" hidden="false" customHeight="false" outlineLevel="0" collapsed="false">
      <c r="A40" s="13" t="n">
        <v>35</v>
      </c>
      <c r="B40" s="50" t="n">
        <f aca="false">Settings!$B$6+7*(A40-1)</f>
        <v>46657</v>
      </c>
      <c r="C40" s="51" t="n">
        <f aca="false">B40+6</f>
        <v>46663</v>
      </c>
      <c r="D40" s="13" t="s">
        <v>432</v>
      </c>
      <c r="E40" s="13" t="s">
        <v>430</v>
      </c>
      <c r="F40" s="27"/>
      <c r="G40" s="43" t="n">
        <v>0</v>
      </c>
      <c r="H40" s="37"/>
    </row>
    <row r="41" customFormat="false" ht="15" hidden="false" customHeight="false" outlineLevel="0" collapsed="false">
      <c r="A41" s="13" t="n">
        <v>36</v>
      </c>
      <c r="B41" s="50" t="n">
        <f aca="false">Settings!$B$6+7*(A41-1)</f>
        <v>46664</v>
      </c>
      <c r="C41" s="51" t="n">
        <f aca="false">B41+6</f>
        <v>46670</v>
      </c>
      <c r="D41" s="13" t="s">
        <v>432</v>
      </c>
      <c r="E41" s="13" t="s">
        <v>430</v>
      </c>
      <c r="F41" s="27" t="s">
        <v>433</v>
      </c>
      <c r="G41" s="43" t="n">
        <v>0</v>
      </c>
      <c r="H41" s="37"/>
    </row>
    <row r="42" customFormat="false" ht="15" hidden="false" customHeight="false" outlineLevel="0" collapsed="false">
      <c r="A42" s="13" t="n">
        <v>37</v>
      </c>
      <c r="B42" s="50" t="n">
        <f aca="false">Settings!$B$6+7*(A42-1)</f>
        <v>46671</v>
      </c>
      <c r="C42" s="51" t="n">
        <f aca="false">B42+6</f>
        <v>46677</v>
      </c>
      <c r="D42" s="13" t="s">
        <v>432</v>
      </c>
      <c r="E42" s="13" t="s">
        <v>430</v>
      </c>
      <c r="F42" s="27"/>
      <c r="G42" s="43" t="n">
        <v>0</v>
      </c>
      <c r="H42" s="37"/>
    </row>
    <row r="43" customFormat="false" ht="15" hidden="false" customHeight="false" outlineLevel="0" collapsed="false">
      <c r="A43" s="13" t="n">
        <v>38</v>
      </c>
      <c r="B43" s="50" t="n">
        <f aca="false">Settings!$B$6+7*(A43-1)</f>
        <v>46678</v>
      </c>
      <c r="C43" s="51" t="n">
        <f aca="false">B43+6</f>
        <v>46684</v>
      </c>
      <c r="D43" s="13" t="s">
        <v>432</v>
      </c>
      <c r="E43" s="13" t="s">
        <v>430</v>
      </c>
      <c r="F43" s="27" t="s">
        <v>434</v>
      </c>
      <c r="G43" s="43" t="n">
        <v>0.08</v>
      </c>
      <c r="H43" s="27" t="s">
        <v>435</v>
      </c>
    </row>
    <row r="44" customFormat="false" ht="15" hidden="false" customHeight="false" outlineLevel="0" collapsed="false">
      <c r="A44" s="13" t="n">
        <v>39</v>
      </c>
      <c r="B44" s="50" t="n">
        <f aca="false">Settings!$B$6+7*(A44-1)</f>
        <v>46685</v>
      </c>
      <c r="C44" s="51" t="n">
        <f aca="false">B44+6</f>
        <v>46691</v>
      </c>
      <c r="D44" s="13" t="s">
        <v>432</v>
      </c>
      <c r="E44" s="13" t="s">
        <v>430</v>
      </c>
      <c r="F44" s="27"/>
      <c r="G44" s="43" t="n">
        <v>0</v>
      </c>
      <c r="H44" s="37"/>
    </row>
    <row r="45" customFormat="false" ht="15" hidden="false" customHeight="false" outlineLevel="0" collapsed="false">
      <c r="A45" s="13" t="n">
        <v>40</v>
      </c>
      <c r="B45" s="50" t="n">
        <f aca="false">Settings!$B$6+7*(A45-1)</f>
        <v>46692</v>
      </c>
      <c r="C45" s="51" t="n">
        <f aca="false">B45+6</f>
        <v>46698</v>
      </c>
      <c r="D45" s="13" t="s">
        <v>436</v>
      </c>
      <c r="E45" s="13" t="s">
        <v>437</v>
      </c>
      <c r="F45" s="27"/>
      <c r="G45" s="43" t="n">
        <v>0</v>
      </c>
      <c r="H45" s="37"/>
    </row>
    <row r="46" customFormat="false" ht="15" hidden="false" customHeight="false" outlineLevel="0" collapsed="false">
      <c r="A46" s="13" t="n">
        <v>41</v>
      </c>
      <c r="B46" s="50" t="n">
        <f aca="false">Settings!$B$6+7*(A46-1)</f>
        <v>46699</v>
      </c>
      <c r="C46" s="51" t="n">
        <f aca="false">B46+6</f>
        <v>46705</v>
      </c>
      <c r="D46" s="13" t="s">
        <v>436</v>
      </c>
      <c r="E46" s="13" t="s">
        <v>437</v>
      </c>
      <c r="F46" s="27"/>
      <c r="G46" s="43" t="n">
        <v>0</v>
      </c>
      <c r="H46" s="37"/>
    </row>
    <row r="47" customFormat="false" ht="15" hidden="false" customHeight="false" outlineLevel="0" collapsed="false">
      <c r="A47" s="13" t="n">
        <v>42</v>
      </c>
      <c r="B47" s="50" t="n">
        <f aca="false">Settings!$B$6+7*(A47-1)</f>
        <v>46706</v>
      </c>
      <c r="C47" s="51" t="n">
        <f aca="false">B47+6</f>
        <v>46712</v>
      </c>
      <c r="D47" s="13" t="s">
        <v>436</v>
      </c>
      <c r="E47" s="13" t="s">
        <v>437</v>
      </c>
      <c r="F47" s="27"/>
      <c r="G47" s="43" t="n">
        <v>0</v>
      </c>
      <c r="H47" s="37"/>
    </row>
    <row r="48" customFormat="false" ht="15" hidden="false" customHeight="false" outlineLevel="0" collapsed="false">
      <c r="A48" s="13" t="n">
        <v>43</v>
      </c>
      <c r="B48" s="50" t="n">
        <f aca="false">Settings!$B$6+7*(A48-1)</f>
        <v>46713</v>
      </c>
      <c r="C48" s="51" t="n">
        <f aca="false">B48+6</f>
        <v>46719</v>
      </c>
      <c r="D48" s="13" t="s">
        <v>436</v>
      </c>
      <c r="E48" s="13" t="s">
        <v>437</v>
      </c>
      <c r="F48" s="27" t="s">
        <v>438</v>
      </c>
      <c r="G48" s="43" t="n">
        <v>0</v>
      </c>
      <c r="H48" s="37"/>
    </row>
    <row r="49" customFormat="false" ht="15" hidden="false" customHeight="false" outlineLevel="0" collapsed="false">
      <c r="A49" s="13" t="n">
        <v>44</v>
      </c>
      <c r="B49" s="50" t="n">
        <f aca="false">Settings!$B$6+7*(A49-1)</f>
        <v>46720</v>
      </c>
      <c r="C49" s="51" t="n">
        <f aca="false">B49+6</f>
        <v>46726</v>
      </c>
      <c r="D49" s="13" t="s">
        <v>439</v>
      </c>
      <c r="E49" s="13" t="s">
        <v>437</v>
      </c>
      <c r="F49" s="27" t="s">
        <v>440</v>
      </c>
      <c r="G49" s="43" t="n">
        <v>0</v>
      </c>
      <c r="H49" s="37"/>
    </row>
    <row r="50" customFormat="false" ht="15" hidden="false" customHeight="false" outlineLevel="0" collapsed="false">
      <c r="A50" s="13" t="n">
        <v>45</v>
      </c>
      <c r="B50" s="50" t="n">
        <f aca="false">Settings!$B$6+7*(A50-1)</f>
        <v>46727</v>
      </c>
      <c r="C50" s="51" t="n">
        <f aca="false">B50+6</f>
        <v>46733</v>
      </c>
      <c r="D50" s="13" t="s">
        <v>439</v>
      </c>
      <c r="E50" s="13" t="s">
        <v>437</v>
      </c>
      <c r="F50" s="27"/>
      <c r="G50" s="43" t="n">
        <v>0</v>
      </c>
      <c r="H50" s="37"/>
    </row>
    <row r="51" customFormat="false" ht="15" hidden="false" customHeight="false" outlineLevel="0" collapsed="false">
      <c r="A51" s="13" t="n">
        <v>46</v>
      </c>
      <c r="B51" s="50" t="n">
        <f aca="false">Settings!$B$6+7*(A51-1)</f>
        <v>46734</v>
      </c>
      <c r="C51" s="51" t="n">
        <f aca="false">B51+6</f>
        <v>46740</v>
      </c>
      <c r="D51" s="13" t="s">
        <v>439</v>
      </c>
      <c r="E51" s="13" t="s">
        <v>437</v>
      </c>
      <c r="F51" s="27"/>
      <c r="G51" s="43" t="n">
        <v>0</v>
      </c>
      <c r="H51" s="37"/>
    </row>
    <row r="52" customFormat="false" ht="15" hidden="false" customHeight="false" outlineLevel="0" collapsed="false">
      <c r="A52" s="13" t="n">
        <v>47</v>
      </c>
      <c r="B52" s="50" t="n">
        <f aca="false">Settings!$B$6+7*(A52-1)</f>
        <v>46741</v>
      </c>
      <c r="C52" s="51" t="n">
        <f aca="false">B52+6</f>
        <v>46747</v>
      </c>
      <c r="D52" s="13" t="s">
        <v>439</v>
      </c>
      <c r="E52" s="13" t="s">
        <v>437</v>
      </c>
      <c r="F52" s="27"/>
      <c r="G52" s="43" t="n">
        <v>0</v>
      </c>
      <c r="H52" s="37"/>
    </row>
    <row r="53" customFormat="false" ht="15" hidden="false" customHeight="false" outlineLevel="0" collapsed="false">
      <c r="A53" s="13" t="n">
        <v>48</v>
      </c>
      <c r="B53" s="50" t="n">
        <f aca="false">Settings!$B$6+7*(A53-1)</f>
        <v>46748</v>
      </c>
      <c r="C53" s="51" t="n">
        <f aca="false">B53+6</f>
        <v>46754</v>
      </c>
      <c r="D53" s="13" t="s">
        <v>441</v>
      </c>
      <c r="E53" s="13" t="s">
        <v>437</v>
      </c>
      <c r="F53" s="27" t="s">
        <v>442</v>
      </c>
      <c r="G53" s="43" t="n">
        <v>0</v>
      </c>
      <c r="H53" s="37"/>
    </row>
    <row r="54" customFormat="false" ht="15" hidden="false" customHeight="false" outlineLevel="0" collapsed="false">
      <c r="A54" s="13" t="n">
        <v>49</v>
      </c>
      <c r="B54" s="50" t="n">
        <f aca="false">Settings!$B$6+7*(A54-1)</f>
        <v>46755</v>
      </c>
      <c r="C54" s="51" t="n">
        <f aca="false">B54+6</f>
        <v>46761</v>
      </c>
      <c r="D54" s="13" t="s">
        <v>441</v>
      </c>
      <c r="E54" s="13" t="s">
        <v>437</v>
      </c>
      <c r="F54" s="27" t="s">
        <v>443</v>
      </c>
      <c r="G54" s="43" t="n">
        <v>0</v>
      </c>
      <c r="H54" s="37"/>
    </row>
    <row r="55" customFormat="false" ht="15" hidden="false" customHeight="false" outlineLevel="0" collapsed="false">
      <c r="A55" s="13" t="n">
        <v>50</v>
      </c>
      <c r="B55" s="50" t="n">
        <f aca="false">Settings!$B$6+7*(A55-1)</f>
        <v>46762</v>
      </c>
      <c r="C55" s="51" t="n">
        <f aca="false">B55+6</f>
        <v>46768</v>
      </c>
      <c r="D55" s="13" t="s">
        <v>441</v>
      </c>
      <c r="E55" s="13" t="s">
        <v>437</v>
      </c>
      <c r="F55" s="27" t="s">
        <v>443</v>
      </c>
      <c r="G55" s="43" t="n">
        <v>0</v>
      </c>
      <c r="H55" s="37"/>
    </row>
    <row r="56" customFormat="false" ht="15" hidden="false" customHeight="false" outlineLevel="0" collapsed="false">
      <c r="A56" s="13" t="n">
        <v>51</v>
      </c>
      <c r="B56" s="50" t="n">
        <f aca="false">Settings!$B$6+7*(A56-1)</f>
        <v>46769</v>
      </c>
      <c r="C56" s="51" t="n">
        <f aca="false">B56+6</f>
        <v>46775</v>
      </c>
      <c r="D56" s="13" t="s">
        <v>441</v>
      </c>
      <c r="E56" s="13" t="s">
        <v>437</v>
      </c>
      <c r="F56" s="27"/>
      <c r="G56" s="43" t="n">
        <v>0</v>
      </c>
      <c r="H56" s="37"/>
    </row>
    <row r="57" customFormat="false" ht="15" hidden="false" customHeight="false" outlineLevel="0" collapsed="false">
      <c r="A57" s="13" t="n">
        <v>52</v>
      </c>
      <c r="B57" s="50" t="n">
        <f aca="false">Settings!$B$6+7*(A57-1)</f>
        <v>46776</v>
      </c>
      <c r="C57" s="51" t="n">
        <f aca="false">B57+6</f>
        <v>46782</v>
      </c>
      <c r="D57" s="13" t="s">
        <v>441</v>
      </c>
      <c r="E57" s="13" t="s">
        <v>437</v>
      </c>
      <c r="F57" s="27"/>
      <c r="G57" s="43" t="n">
        <v>0</v>
      </c>
      <c r="H57" s="37"/>
    </row>
  </sheetData>
  <sheetProtection sheet="true" formatColumns="false" formatRows="false"/>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K5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8"/>
    <col collapsed="false" customWidth="true" hidden="false" outlineLevel="0" max="18" min="3" style="0" width="12"/>
    <col collapsed="false" customWidth="true" hidden="false" outlineLevel="0" max="19" min="19" style="0" width="10"/>
    <col collapsed="false" customWidth="true" hidden="false" outlineLevel="0" max="20" min="20" style="0" width="60"/>
    <col collapsed="false" customWidth="true" hidden="false" outlineLevel="0" max="37" min="21" style="0" width="12"/>
  </cols>
  <sheetData>
    <row r="1" customFormat="false" ht="17.35" hidden="false" customHeight="false" outlineLevel="0" collapsed="false">
      <c r="A1" s="1" t="s">
        <v>444</v>
      </c>
      <c r="D1" s="52" t="str">
        <f aca="false">Settings!B7</f>
        <v>FY2026</v>
      </c>
    </row>
    <row r="2" customFormat="false" ht="15" hidden="false" customHeight="false" outlineLevel="0" collapsed="false">
      <c r="A2" s="2" t="s">
        <v>445</v>
      </c>
    </row>
    <row r="5" customFormat="false" ht="42" hidden="false" customHeight="true" outlineLevel="0" collapsed="false">
      <c r="A5" s="19" t="s">
        <v>410</v>
      </c>
      <c r="B5" s="19" t="s">
        <v>446</v>
      </c>
      <c r="C5" s="19" t="s">
        <v>447</v>
      </c>
      <c r="D5" s="19" t="s">
        <v>448</v>
      </c>
      <c r="E5" s="19" t="s">
        <v>449</v>
      </c>
      <c r="F5" s="19" t="s">
        <v>450</v>
      </c>
      <c r="G5" s="19" t="s">
        <v>451</v>
      </c>
      <c r="H5" s="19" t="s">
        <v>452</v>
      </c>
      <c r="I5" s="19" t="s">
        <v>453</v>
      </c>
      <c r="J5" s="19" t="s">
        <v>454</v>
      </c>
      <c r="K5" s="19" t="s">
        <v>455</v>
      </c>
      <c r="L5" s="19" t="s">
        <v>456</v>
      </c>
      <c r="M5" s="19" t="s">
        <v>457</v>
      </c>
      <c r="N5" s="19" t="s">
        <v>458</v>
      </c>
      <c r="O5" s="19" t="s">
        <v>91</v>
      </c>
      <c r="P5" s="19" t="s">
        <v>459</v>
      </c>
      <c r="Q5" s="19" t="s">
        <v>460</v>
      </c>
      <c r="R5" s="19" t="s">
        <v>461</v>
      </c>
      <c r="S5" s="19" t="s">
        <v>462</v>
      </c>
      <c r="T5" s="19" t="s">
        <v>463</v>
      </c>
      <c r="U5" s="19" t="s">
        <v>464</v>
      </c>
      <c r="V5" s="19" t="s">
        <v>465</v>
      </c>
      <c r="W5" s="19" t="s">
        <v>466</v>
      </c>
      <c r="X5" s="19" t="s">
        <v>467</v>
      </c>
      <c r="Y5" s="19" t="s">
        <v>468</v>
      </c>
      <c r="Z5" s="19" t="s">
        <v>469</v>
      </c>
      <c r="AA5" s="19" t="s">
        <v>470</v>
      </c>
      <c r="AB5" s="19" t="s">
        <v>471</v>
      </c>
      <c r="AC5" s="19" t="s">
        <v>472</v>
      </c>
      <c r="AD5" s="19" t="s">
        <v>473</v>
      </c>
      <c r="AE5" s="19" t="s">
        <v>474</v>
      </c>
      <c r="AF5" s="19" t="s">
        <v>475</v>
      </c>
      <c r="AG5" s="19" t="s">
        <v>476</v>
      </c>
      <c r="AH5" s="19" t="s">
        <v>477</v>
      </c>
      <c r="AI5" s="19" t="s">
        <v>478</v>
      </c>
      <c r="AJ5" s="19" t="s">
        <v>97</v>
      </c>
      <c r="AK5" s="19" t="s">
        <v>479</v>
      </c>
    </row>
    <row r="6" customFormat="false" ht="15" hidden="false" customHeight="false" outlineLevel="0" collapsed="false">
      <c r="A6" s="13" t="n">
        <v>1</v>
      </c>
      <c r="B6" s="53"/>
      <c r="C6" s="54" t="n">
        <v>62819</v>
      </c>
      <c r="D6" s="54" t="n">
        <v>33268</v>
      </c>
      <c r="E6" s="54" t="n">
        <v>7410</v>
      </c>
      <c r="F6" s="54" t="n">
        <v>99808</v>
      </c>
      <c r="G6" s="54" t="n">
        <v>29107</v>
      </c>
      <c r="H6" s="54" t="n">
        <v>16994</v>
      </c>
      <c r="I6" s="55" t="n">
        <f aca="false">SUM(C6:H6)</f>
        <v>249406</v>
      </c>
      <c r="J6" s="54" t="n">
        <v>5346</v>
      </c>
      <c r="K6" s="56" t="n">
        <v>414034.16</v>
      </c>
      <c r="L6" s="54" t="n">
        <v>10310</v>
      </c>
      <c r="M6" s="56" t="n">
        <v>34609.02</v>
      </c>
      <c r="N6" s="56" t="n">
        <v>103091.26</v>
      </c>
      <c r="O6" s="54" t="n">
        <v>1907</v>
      </c>
      <c r="P6" s="56" t="n">
        <v>29556.37</v>
      </c>
      <c r="Q6" s="56" t="n">
        <v>11682.87</v>
      </c>
      <c r="R6" s="56" t="n">
        <v>1595.12</v>
      </c>
      <c r="S6" s="27"/>
      <c r="T6" s="27"/>
      <c r="U6" s="57" t="n">
        <f aca="false">IFERROR(J6/I6,0)</f>
        <v>0.021434929392236</v>
      </c>
      <c r="V6" s="58" t="n">
        <f aca="false">IFERROR(K6/J6,0)</f>
        <v>77.447467265245</v>
      </c>
      <c r="W6" s="59" t="n">
        <f aca="false">IFERROR(L6/J6,0)</f>
        <v>1.92854470632248</v>
      </c>
      <c r="X6" s="22" t="n">
        <f aca="false">IFERROR(M6/(K6+M6),0)</f>
        <v>0.0771415270371434</v>
      </c>
      <c r="Y6" s="22" t="n">
        <f aca="false">IFERROR(N6/K6,0)</f>
        <v>0.248992160453621</v>
      </c>
      <c r="Z6" s="22" t="n">
        <f aca="false">IFERROR(O6/J6,0)</f>
        <v>0.356715301159746</v>
      </c>
      <c r="AA6" s="58" t="n">
        <f aca="false">IFERROR(P6/C6,0)</f>
        <v>0.470500485521896</v>
      </c>
      <c r="AB6" s="58" t="n">
        <f aca="false">IFERROR(Q6/D6,0)</f>
        <v>0.351174401827582</v>
      </c>
      <c r="AC6" s="58" t="n">
        <f aca="false">IFERROR(R6/E6,0)</f>
        <v>0.215265856950067</v>
      </c>
      <c r="AD6" s="57" t="n">
        <f aca="false">IFERROR(F6/F$58,0)</f>
        <v>0.0152765156785252</v>
      </c>
      <c r="AE6" s="57" t="n">
        <f aca="false">IFERROR(G6/G$58,0)</f>
        <v>0.0146780431965225</v>
      </c>
      <c r="AF6" s="57" t="n">
        <f aca="false">IFERROR(H6/H$58,0)</f>
        <v>0.014848340548971</v>
      </c>
      <c r="AG6" s="57" t="n">
        <f aca="false">IFERROR(P6/P$58,0)</f>
        <v>0.0150456139420659</v>
      </c>
      <c r="AH6" s="57" t="n">
        <f aca="false">IFERROR(Q6/Q$58,0)</f>
        <v>0.0141705622197643</v>
      </c>
      <c r="AI6" s="57" t="n">
        <f aca="false">IFERROR(R6/R$58,0)</f>
        <v>0.015575862217793</v>
      </c>
      <c r="AJ6" s="49" t="n">
        <f aca="false">K6-N6</f>
        <v>310942.9</v>
      </c>
      <c r="AK6" s="57" t="n">
        <f aca="false">IFERROR(I6/I$58,0)</f>
        <v>0.0150697852033254</v>
      </c>
    </row>
    <row r="7" customFormat="false" ht="15" hidden="false" customHeight="false" outlineLevel="0" collapsed="false">
      <c r="A7" s="13" t="n">
        <v>2</v>
      </c>
      <c r="B7" s="53"/>
      <c r="C7" s="54" t="n">
        <v>71466</v>
      </c>
      <c r="D7" s="54" t="n">
        <v>38031</v>
      </c>
      <c r="E7" s="54" t="n">
        <v>7955</v>
      </c>
      <c r="F7" s="54" t="n">
        <v>112722</v>
      </c>
      <c r="G7" s="54" t="n">
        <v>29564</v>
      </c>
      <c r="H7" s="54" t="n">
        <v>18833</v>
      </c>
      <c r="I7" s="55" t="n">
        <f aca="false">SUM(C7:H7)</f>
        <v>278571</v>
      </c>
      <c r="J7" s="54" t="n">
        <v>5991</v>
      </c>
      <c r="K7" s="56" t="n">
        <v>460031.38</v>
      </c>
      <c r="L7" s="54" t="n">
        <v>11648</v>
      </c>
      <c r="M7" s="56" t="n">
        <v>37676.15</v>
      </c>
      <c r="N7" s="56" t="n">
        <v>118099.55</v>
      </c>
      <c r="O7" s="54" t="n">
        <v>2156</v>
      </c>
      <c r="P7" s="56" t="n">
        <v>33669.51</v>
      </c>
      <c r="Q7" s="56" t="n">
        <v>14160.07</v>
      </c>
      <c r="R7" s="56" t="n">
        <v>1715.64</v>
      </c>
      <c r="S7" s="27"/>
      <c r="T7" s="27"/>
      <c r="U7" s="57" t="n">
        <f aca="false">IFERROR(J7/I7,0)</f>
        <v>0.0215061869325953</v>
      </c>
      <c r="V7" s="58" t="n">
        <f aca="false">IFERROR(K7/J7,0)</f>
        <v>76.7870772825906</v>
      </c>
      <c r="W7" s="59" t="n">
        <f aca="false">IFERROR(L7/J7,0)</f>
        <v>1.94424970789518</v>
      </c>
      <c r="X7" s="22" t="n">
        <f aca="false">IFERROR(M7/(K7+M7),0)</f>
        <v>0.0756993771020503</v>
      </c>
      <c r="Y7" s="22" t="n">
        <f aca="false">IFERROR(N7/K7,0)</f>
        <v>0.256720639361602</v>
      </c>
      <c r="Z7" s="22" t="n">
        <f aca="false">IFERROR(O7/J7,0)</f>
        <v>0.359873143047905</v>
      </c>
      <c r="AA7" s="58" t="n">
        <f aca="false">IFERROR(P7/C7,0)</f>
        <v>0.471126269834607</v>
      </c>
      <c r="AB7" s="58" t="n">
        <f aca="false">IFERROR(Q7/D7,0)</f>
        <v>0.372329678420236</v>
      </c>
      <c r="AC7" s="58" t="n">
        <f aca="false">IFERROR(R7/E7,0)</f>
        <v>0.215668133249529</v>
      </c>
      <c r="AD7" s="57" t="n">
        <f aca="false">IFERROR(F7/F$58,0)</f>
        <v>0.0172531199935348</v>
      </c>
      <c r="AE7" s="57" t="n">
        <f aca="false">IFERROR(G7/G$58,0)</f>
        <v>0.0149084986107119</v>
      </c>
      <c r="AF7" s="57" t="n">
        <f aca="false">IFERROR(H7/H$58,0)</f>
        <v>0.0164551487324214</v>
      </c>
      <c r="AG7" s="57" t="n">
        <f aca="false">IFERROR(P7/P$58,0)</f>
        <v>0.0171394000372348</v>
      </c>
      <c r="AH7" s="57" t="n">
        <f aca="false">IFERROR(Q7/Q$58,0)</f>
        <v>0.0171752448645938</v>
      </c>
      <c r="AI7" s="57" t="n">
        <f aca="false">IFERROR(R7/R$58,0)</f>
        <v>0.0167527034049691</v>
      </c>
      <c r="AJ7" s="49" t="n">
        <f aca="false">K7-N7</f>
        <v>341931.83</v>
      </c>
      <c r="AK7" s="57" t="n">
        <f aca="false">IFERROR(I7/I$58,0)</f>
        <v>0.0168320133993391</v>
      </c>
    </row>
    <row r="8" customFormat="false" ht="15" hidden="false" customHeight="false" outlineLevel="0" collapsed="false">
      <c r="A8" s="13" t="n">
        <v>3</v>
      </c>
      <c r="B8" s="53"/>
      <c r="C8" s="54" t="n">
        <v>71119</v>
      </c>
      <c r="D8" s="54" t="n">
        <v>36168</v>
      </c>
      <c r="E8" s="54" t="n">
        <v>8157</v>
      </c>
      <c r="F8" s="54" t="n">
        <v>109402</v>
      </c>
      <c r="G8" s="54" t="n">
        <v>29180</v>
      </c>
      <c r="H8" s="54" t="n">
        <v>20227</v>
      </c>
      <c r="I8" s="55" t="n">
        <f aca="false">SUM(C8:H8)</f>
        <v>274253</v>
      </c>
      <c r="J8" s="54" t="n">
        <v>5992</v>
      </c>
      <c r="K8" s="56" t="n">
        <v>463286.66</v>
      </c>
      <c r="L8" s="54" t="n">
        <v>11178</v>
      </c>
      <c r="M8" s="56" t="n">
        <v>42109.42</v>
      </c>
      <c r="N8" s="56" t="n">
        <v>115302.49</v>
      </c>
      <c r="O8" s="54" t="n">
        <v>2174</v>
      </c>
      <c r="P8" s="56" t="n">
        <v>34520.1</v>
      </c>
      <c r="Q8" s="56" t="n">
        <v>13342.81</v>
      </c>
      <c r="R8" s="56" t="n">
        <v>1713.39</v>
      </c>
      <c r="S8" s="27"/>
      <c r="T8" s="27"/>
      <c r="U8" s="57" t="n">
        <f aca="false">IFERROR(J8/I8,0)</f>
        <v>0.0218484392148855</v>
      </c>
      <c r="V8" s="58" t="n">
        <f aca="false">IFERROR(K8/J8,0)</f>
        <v>77.3175333778371</v>
      </c>
      <c r="W8" s="59" t="n">
        <f aca="false">IFERROR(L8/J8,0)</f>
        <v>1.8654873164219</v>
      </c>
      <c r="X8" s="22" t="n">
        <f aca="false">IFERROR(M8/(K8+M8),0)</f>
        <v>0.0833196411020837</v>
      </c>
      <c r="Y8" s="22" t="n">
        <f aca="false">IFERROR(N8/K8,0)</f>
        <v>0.248879365531483</v>
      </c>
      <c r="Z8" s="22" t="n">
        <f aca="false">IFERROR(O8/J8,0)</f>
        <v>0.362817089452604</v>
      </c>
      <c r="AA8" s="58" t="n">
        <f aca="false">IFERROR(P8/C8,0)</f>
        <v>0.485385058845034</v>
      </c>
      <c r="AB8" s="58" t="n">
        <f aca="false">IFERROR(Q8/D8,0)</f>
        <v>0.36891202167662</v>
      </c>
      <c r="AC8" s="58" t="n">
        <f aca="false">IFERROR(R8/E8,0)</f>
        <v>0.210051489518205</v>
      </c>
      <c r="AD8" s="57" t="n">
        <f aca="false">IFERROR(F8/F$58,0)</f>
        <v>0.0167449640135261</v>
      </c>
      <c r="AE8" s="57" t="n">
        <f aca="false">IFERROR(G8/G$58,0)</f>
        <v>0.0147148555493361</v>
      </c>
      <c r="AF8" s="57" t="n">
        <f aca="false">IFERROR(H8/H$58,0)</f>
        <v>0.0176731425376036</v>
      </c>
      <c r="AG8" s="57" t="n">
        <f aca="false">IFERROR(P8/P$58,0)</f>
        <v>0.0175723912591942</v>
      </c>
      <c r="AH8" s="57" t="n">
        <f aca="false">IFERROR(Q8/Q$58,0)</f>
        <v>0.0161839615857655</v>
      </c>
      <c r="AI8" s="57" t="n">
        <f aca="false">IFERROR(R8/R$58,0)</f>
        <v>0.0167307328384976</v>
      </c>
      <c r="AJ8" s="49" t="n">
        <f aca="false">K8-N8</f>
        <v>347984.17</v>
      </c>
      <c r="AK8" s="57" t="n">
        <f aca="false">IFERROR(I8/I$58,0)</f>
        <v>0.0165711081584549</v>
      </c>
    </row>
    <row r="9" customFormat="false" ht="15" hidden="false" customHeight="false" outlineLevel="0" collapsed="false">
      <c r="A9" s="13" t="n">
        <v>4</v>
      </c>
      <c r="B9" s="53"/>
      <c r="C9" s="54" t="n">
        <v>60791</v>
      </c>
      <c r="D9" s="54" t="n">
        <v>33221</v>
      </c>
      <c r="E9" s="54" t="n">
        <v>7361</v>
      </c>
      <c r="F9" s="54" t="n">
        <v>102095</v>
      </c>
      <c r="G9" s="54" t="n">
        <v>27667</v>
      </c>
      <c r="H9" s="54" t="n">
        <v>16726</v>
      </c>
      <c r="I9" s="55" t="n">
        <f aca="false">SUM(C9:H9)</f>
        <v>247861</v>
      </c>
      <c r="J9" s="54" t="n">
        <v>5247</v>
      </c>
      <c r="K9" s="56" t="n">
        <v>407108.08</v>
      </c>
      <c r="L9" s="54" t="n">
        <v>9840</v>
      </c>
      <c r="M9" s="56" t="n">
        <v>36079.14</v>
      </c>
      <c r="N9" s="56" t="n">
        <v>100702.78</v>
      </c>
      <c r="O9" s="54" t="n">
        <v>1733</v>
      </c>
      <c r="P9" s="56" t="n">
        <v>29553.61</v>
      </c>
      <c r="Q9" s="56" t="n">
        <v>12120.78</v>
      </c>
      <c r="R9" s="56" t="n">
        <v>1547.85</v>
      </c>
      <c r="S9" s="27"/>
      <c r="T9" s="27"/>
      <c r="U9" s="57" t="n">
        <f aca="false">IFERROR(J9/I9,0)</f>
        <v>0.0211691230165294</v>
      </c>
      <c r="V9" s="58" t="n">
        <f aca="false">IFERROR(K9/J9,0)</f>
        <v>77.58873260911</v>
      </c>
      <c r="W9" s="59" t="n">
        <f aca="false">IFERROR(L9/J9,0)</f>
        <v>1.87535734705546</v>
      </c>
      <c r="X9" s="22" t="n">
        <f aca="false">IFERROR(M9/(K9+M9),0)</f>
        <v>0.0814083492750535</v>
      </c>
      <c r="Y9" s="22" t="n">
        <f aca="false">IFERROR(N9/K9,0)</f>
        <v>0.24736129039738</v>
      </c>
      <c r="Z9" s="22" t="n">
        <f aca="false">IFERROR(O9/J9,0)</f>
        <v>0.330283971793406</v>
      </c>
      <c r="AA9" s="58" t="n">
        <f aca="false">IFERROR(P9/C9,0)</f>
        <v>0.486151074994654</v>
      </c>
      <c r="AB9" s="58" t="n">
        <f aca="false">IFERROR(Q9/D9,0)</f>
        <v>0.364852954456519</v>
      </c>
      <c r="AC9" s="58" t="n">
        <f aca="false">IFERROR(R9/E9,0)</f>
        <v>0.21027713625866</v>
      </c>
      <c r="AD9" s="57" t="n">
        <f aca="false">IFERROR(F9/F$58,0)</f>
        <v>0.0156265616804167</v>
      </c>
      <c r="AE9" s="57" t="n">
        <f aca="false">IFERROR(G9/G$58,0)</f>
        <v>0.0139518817163633</v>
      </c>
      <c r="AF9" s="57" t="n">
        <f aca="false">IFERROR(H9/H$58,0)</f>
        <v>0.0146141781818341</v>
      </c>
      <c r="AG9" s="57" t="n">
        <f aca="false">IFERROR(P9/P$58,0)</f>
        <v>0.0150442089693145</v>
      </c>
      <c r="AH9" s="57" t="n">
        <f aca="false">IFERROR(Q9/Q$58,0)</f>
        <v>0.014701718596721</v>
      </c>
      <c r="AI9" s="57" t="n">
        <f aca="false">IFERROR(R9/R$58,0)</f>
        <v>0.0151142850279671</v>
      </c>
      <c r="AJ9" s="49" t="n">
        <f aca="false">K9-N9</f>
        <v>306405.3</v>
      </c>
      <c r="AK9" s="57" t="n">
        <f aca="false">IFERROR(I9/I$58,0)</f>
        <v>0.014976432123852</v>
      </c>
    </row>
    <row r="10" customFormat="false" ht="15" hidden="false" customHeight="false" outlineLevel="0" collapsed="false">
      <c r="A10" s="13" t="n">
        <v>5</v>
      </c>
      <c r="B10" s="53"/>
      <c r="C10" s="54" t="n">
        <v>68208</v>
      </c>
      <c r="D10" s="54" t="n">
        <v>36611</v>
      </c>
      <c r="E10" s="54" t="n">
        <v>8187</v>
      </c>
      <c r="F10" s="54" t="n">
        <v>103567</v>
      </c>
      <c r="G10" s="54" t="n">
        <v>27805</v>
      </c>
      <c r="H10" s="54" t="n">
        <v>18339</v>
      </c>
      <c r="I10" s="55" t="n">
        <f aca="false">SUM(C10:H10)</f>
        <v>262717</v>
      </c>
      <c r="J10" s="54" t="n">
        <v>5660</v>
      </c>
      <c r="K10" s="56" t="n">
        <v>423386.75</v>
      </c>
      <c r="L10" s="54" t="n">
        <v>10547</v>
      </c>
      <c r="M10" s="56" t="n">
        <v>38101.76</v>
      </c>
      <c r="N10" s="56" t="n">
        <v>111613.42</v>
      </c>
      <c r="O10" s="54" t="n">
        <v>2002</v>
      </c>
      <c r="P10" s="56" t="n">
        <v>31602.15</v>
      </c>
      <c r="Q10" s="56" t="n">
        <v>12997.35</v>
      </c>
      <c r="R10" s="56" t="n">
        <v>1746.84</v>
      </c>
      <c r="S10" s="27"/>
      <c r="T10" s="27"/>
      <c r="U10" s="57" t="n">
        <f aca="false">IFERROR(J10/I10,0)</f>
        <v>0.021544094976724</v>
      </c>
      <c r="V10" s="58" t="n">
        <f aca="false">IFERROR(K10/J10,0)</f>
        <v>74.8033127208481</v>
      </c>
      <c r="W10" s="59" t="n">
        <f aca="false">IFERROR(L10/J10,0)</f>
        <v>1.86342756183746</v>
      </c>
      <c r="X10" s="22" t="n">
        <f aca="false">IFERROR(M10/(K10+M10),0)</f>
        <v>0.0825627489620489</v>
      </c>
      <c r="Y10" s="22" t="n">
        <f aca="false">IFERROR(N10/K10,0)</f>
        <v>0.263620484108206</v>
      </c>
      <c r="Z10" s="22" t="n">
        <f aca="false">IFERROR(O10/J10,0)</f>
        <v>0.353710247349823</v>
      </c>
      <c r="AA10" s="58" t="n">
        <f aca="false">IFERROR(P10/C10,0)</f>
        <v>0.463320285010556</v>
      </c>
      <c r="AB10" s="58" t="n">
        <f aca="false">IFERROR(Q10/D10,0)</f>
        <v>0.355012154816858</v>
      </c>
      <c r="AC10" s="58" t="n">
        <f aca="false">IFERROR(R10/E10,0)</f>
        <v>0.2133675338952</v>
      </c>
      <c r="AD10" s="57" t="n">
        <f aca="false">IFERROR(F10/F$58,0)</f>
        <v>0.0158518645727579</v>
      </c>
      <c r="AE10" s="57" t="n">
        <f aca="false">IFERROR(G10/G$58,0)</f>
        <v>0.0140214721915453</v>
      </c>
      <c r="AF10" s="57" t="n">
        <f aca="false">IFERROR(H10/H$58,0)</f>
        <v>0.0160235210855348</v>
      </c>
      <c r="AG10" s="57" t="n">
        <f aca="false">IFERROR(P10/P$58,0)</f>
        <v>0.0160870143606694</v>
      </c>
      <c r="AH10" s="57" t="n">
        <f aca="false">IFERROR(Q10/Q$58,0)</f>
        <v>0.0157649410519036</v>
      </c>
      <c r="AI10" s="57" t="n">
        <f aca="false">IFERROR(R10/R$58,0)</f>
        <v>0.0170573619267074</v>
      </c>
      <c r="AJ10" s="49" t="n">
        <f aca="false">K10-N10</f>
        <v>311773.33</v>
      </c>
      <c r="AK10" s="57" t="n">
        <f aca="false">IFERROR(I10/I$58,0)</f>
        <v>0.0158740718317204</v>
      </c>
    </row>
    <row r="11" customFormat="false" ht="15" hidden="false" customHeight="false" outlineLevel="0" collapsed="false">
      <c r="A11" s="13" t="n">
        <v>6</v>
      </c>
      <c r="B11" s="53"/>
      <c r="C11" s="54" t="n">
        <v>66074</v>
      </c>
      <c r="D11" s="54" t="n">
        <v>34975</v>
      </c>
      <c r="E11" s="54" t="n">
        <v>7602</v>
      </c>
      <c r="F11" s="54" t="n">
        <v>104291</v>
      </c>
      <c r="G11" s="54" t="n">
        <v>27925</v>
      </c>
      <c r="H11" s="54" t="n">
        <v>18904</v>
      </c>
      <c r="I11" s="55" t="n">
        <f aca="false">SUM(C11:H11)</f>
        <v>259771</v>
      </c>
      <c r="J11" s="54" t="n">
        <v>5938</v>
      </c>
      <c r="K11" s="56" t="n">
        <v>462966.95</v>
      </c>
      <c r="L11" s="54" t="n">
        <v>11685</v>
      </c>
      <c r="M11" s="56" t="n">
        <v>39756.32</v>
      </c>
      <c r="N11" s="56" t="n">
        <v>117262.32</v>
      </c>
      <c r="O11" s="54" t="n">
        <v>2097</v>
      </c>
      <c r="P11" s="56" t="n">
        <v>31434.55</v>
      </c>
      <c r="Q11" s="56" t="n">
        <v>12784.22</v>
      </c>
      <c r="R11" s="56" t="n">
        <v>1654.98</v>
      </c>
      <c r="S11" s="27"/>
      <c r="T11" s="27"/>
      <c r="U11" s="57" t="n">
        <f aca="false">IFERROR(J11/I11,0)</f>
        <v>0.022858594685319</v>
      </c>
      <c r="V11" s="58" t="n">
        <f aca="false">IFERROR(K11/J11,0)</f>
        <v>77.9668154260694</v>
      </c>
      <c r="W11" s="59" t="n">
        <f aca="false">IFERROR(L11/J11,0)</f>
        <v>1.96783428763894</v>
      </c>
      <c r="X11" s="22" t="n">
        <f aca="false">IFERROR(M11/(K11+M11),0)</f>
        <v>0.0790819171748306</v>
      </c>
      <c r="Y11" s="22" t="n">
        <f aca="false">IFERROR(N11/K11,0)</f>
        <v>0.25328442991449</v>
      </c>
      <c r="Z11" s="22" t="n">
        <f aca="false">IFERROR(O11/J11,0)</f>
        <v>0.353149208487706</v>
      </c>
      <c r="AA11" s="58" t="n">
        <f aca="false">IFERROR(P11/C11,0)</f>
        <v>0.475747646578079</v>
      </c>
      <c r="AB11" s="58" t="n">
        <f aca="false">IFERROR(Q11/D11,0)</f>
        <v>0.365524517512509</v>
      </c>
      <c r="AC11" s="58" t="n">
        <f aca="false">IFERROR(R11/E11,0)</f>
        <v>0.217703235990529</v>
      </c>
      <c r="AD11" s="57" t="n">
        <f aca="false">IFERROR(F11/F$58,0)</f>
        <v>0.015962679310567</v>
      </c>
      <c r="AE11" s="57" t="n">
        <f aca="false">IFERROR(G11/G$58,0)</f>
        <v>0.0140819856482252</v>
      </c>
      <c r="AF11" s="57" t="n">
        <f aca="false">IFERROR(H11/H$58,0)</f>
        <v>0.0165171842849092</v>
      </c>
      <c r="AG11" s="57" t="n">
        <f aca="false">IFERROR(P11/P$58,0)</f>
        <v>0.0160016978993891</v>
      </c>
      <c r="AH11" s="57" t="n">
        <f aca="false">IFERROR(Q11/Q$58,0)</f>
        <v>0.0155064282099479</v>
      </c>
      <c r="AI11" s="57" t="n">
        <f aca="false">IFERROR(R11/R$58,0)</f>
        <v>0.0161603769328972</v>
      </c>
      <c r="AJ11" s="49" t="n">
        <f aca="false">K11-N11</f>
        <v>345704.63</v>
      </c>
      <c r="AK11" s="57" t="n">
        <f aca="false">IFERROR(I11/I$58,0)</f>
        <v>0.0156960665423167</v>
      </c>
    </row>
    <row r="12" customFormat="false" ht="15" hidden="false" customHeight="false" outlineLevel="0" collapsed="false">
      <c r="A12" s="13" t="n">
        <v>7</v>
      </c>
      <c r="B12" s="53"/>
      <c r="C12" s="54" t="n">
        <v>66969</v>
      </c>
      <c r="D12" s="54" t="n">
        <v>38355</v>
      </c>
      <c r="E12" s="54" t="n">
        <v>8394</v>
      </c>
      <c r="F12" s="54" t="n">
        <v>112258</v>
      </c>
      <c r="G12" s="54" t="n">
        <v>28351</v>
      </c>
      <c r="H12" s="54" t="n">
        <v>19036</v>
      </c>
      <c r="I12" s="55" t="n">
        <f aca="false">SUM(C12:H12)</f>
        <v>273363</v>
      </c>
      <c r="J12" s="54" t="n">
        <v>5872</v>
      </c>
      <c r="K12" s="56" t="n">
        <v>448310.19</v>
      </c>
      <c r="L12" s="54" t="n">
        <v>11257</v>
      </c>
      <c r="M12" s="56" t="n">
        <v>39548.34</v>
      </c>
      <c r="N12" s="56" t="n">
        <v>113703.33</v>
      </c>
      <c r="O12" s="54" t="n">
        <v>2004</v>
      </c>
      <c r="P12" s="56" t="n">
        <v>31407.08</v>
      </c>
      <c r="Q12" s="56" t="n">
        <v>14279.14</v>
      </c>
      <c r="R12" s="56" t="n">
        <v>1692.71</v>
      </c>
      <c r="S12" s="27"/>
      <c r="T12" s="27"/>
      <c r="U12" s="57" t="n">
        <f aca="false">IFERROR(J12/I12,0)</f>
        <v>0.0214805953987921</v>
      </c>
      <c r="V12" s="58" t="n">
        <f aca="false">IFERROR(K12/J12,0)</f>
        <v>76.3471032016349</v>
      </c>
      <c r="W12" s="59" t="n">
        <f aca="false">IFERROR(L12/J12,0)</f>
        <v>1.91706403269755</v>
      </c>
      <c r="X12" s="22" t="n">
        <f aca="false">IFERROR(M12/(K12+M12),0)</f>
        <v>0.0810651809244782</v>
      </c>
      <c r="Y12" s="22" t="n">
        <f aca="false">IFERROR(N12/K12,0)</f>
        <v>0.253626467870382</v>
      </c>
      <c r="Z12" s="22" t="n">
        <f aca="false">IFERROR(O12/J12,0)</f>
        <v>0.341280653950954</v>
      </c>
      <c r="AA12" s="58" t="n">
        <f aca="false">IFERROR(P12/C12,0)</f>
        <v>0.468979378518419</v>
      </c>
      <c r="AB12" s="58" t="n">
        <f aca="false">IFERROR(Q12/D12,0)</f>
        <v>0.372288880198149</v>
      </c>
      <c r="AC12" s="58" t="n">
        <f aca="false">IFERROR(R12/E12,0)</f>
        <v>0.201657136049559</v>
      </c>
      <c r="AD12" s="57" t="n">
        <f aca="false">IFERROR(F12/F$58,0)</f>
        <v>0.0171821006035577</v>
      </c>
      <c r="AE12" s="57" t="n">
        <f aca="false">IFERROR(G12/G$58,0)</f>
        <v>0.0142968084194389</v>
      </c>
      <c r="AF12" s="57" t="n">
        <f aca="false">IFERROR(H12/H$58,0)</f>
        <v>0.0166325179881259</v>
      </c>
      <c r="AG12" s="57" t="n">
        <f aca="false">IFERROR(P12/P$58,0)</f>
        <v>0.0159877143481279</v>
      </c>
      <c r="AH12" s="57" t="n">
        <f aca="false">IFERROR(Q12/Q$58,0)</f>
        <v>0.0173196690380638</v>
      </c>
      <c r="AI12" s="57" t="n">
        <f aca="false">IFERROR(R12/R$58,0)</f>
        <v>0.0165287989208839</v>
      </c>
      <c r="AJ12" s="49" t="n">
        <f aca="false">K12-N12</f>
        <v>334606.86</v>
      </c>
      <c r="AK12" s="57" t="n">
        <f aca="false">IFERROR(I12/I$58,0)</f>
        <v>0.0165173319508618</v>
      </c>
    </row>
    <row r="13" customFormat="false" ht="15" hidden="false" customHeight="false" outlineLevel="0" collapsed="false">
      <c r="A13" s="13" t="n">
        <v>8</v>
      </c>
      <c r="B13" s="53"/>
      <c r="C13" s="54" t="n">
        <v>60857</v>
      </c>
      <c r="D13" s="54" t="n">
        <v>35714</v>
      </c>
      <c r="E13" s="54" t="n">
        <v>7925</v>
      </c>
      <c r="F13" s="54" t="n">
        <v>98021</v>
      </c>
      <c r="G13" s="54" t="n">
        <v>27846</v>
      </c>
      <c r="H13" s="54" t="n">
        <v>18109</v>
      </c>
      <c r="I13" s="55" t="n">
        <f aca="false">SUM(C13:H13)</f>
        <v>248472</v>
      </c>
      <c r="J13" s="54" t="n">
        <v>5383</v>
      </c>
      <c r="K13" s="56" t="n">
        <v>423783.48</v>
      </c>
      <c r="L13" s="54" t="n">
        <v>9921</v>
      </c>
      <c r="M13" s="56" t="n">
        <v>37051.69</v>
      </c>
      <c r="N13" s="56" t="n">
        <v>105599.17</v>
      </c>
      <c r="O13" s="54" t="n">
        <v>1989</v>
      </c>
      <c r="P13" s="56" t="n">
        <v>28485.45</v>
      </c>
      <c r="Q13" s="56" t="n">
        <v>12302.03</v>
      </c>
      <c r="R13" s="56" t="n">
        <v>1614.08</v>
      </c>
      <c r="S13" s="27"/>
      <c r="T13" s="27"/>
      <c r="U13" s="57" t="n">
        <f aca="false">IFERROR(J13/I13,0)</f>
        <v>0.0216644128915934</v>
      </c>
      <c r="V13" s="58" t="n">
        <f aca="false">IFERROR(K13/J13,0)</f>
        <v>78.7262641649638</v>
      </c>
      <c r="W13" s="59" t="n">
        <f aca="false">IFERROR(L13/J13,0)</f>
        <v>1.84302433587219</v>
      </c>
      <c r="X13" s="22" t="n">
        <f aca="false">IFERROR(M13/(K13+M13),0)</f>
        <v>0.0804011768459426</v>
      </c>
      <c r="Y13" s="22" t="n">
        <f aca="false">IFERROR(N13/K13,0)</f>
        <v>0.249181893546204</v>
      </c>
      <c r="Z13" s="22" t="n">
        <f aca="false">IFERROR(O13/J13,0)</f>
        <v>0.369496563254691</v>
      </c>
      <c r="AA13" s="58" t="n">
        <f aca="false">IFERROR(P13/C13,0)</f>
        <v>0.468071873408154</v>
      </c>
      <c r="AB13" s="58" t="n">
        <f aca="false">IFERROR(Q13/D13,0)</f>
        <v>0.344459595676765</v>
      </c>
      <c r="AC13" s="58" t="n">
        <f aca="false">IFERROR(R13/E13,0)</f>
        <v>0.203669400630915</v>
      </c>
      <c r="AD13" s="57" t="n">
        <f aca="false">IFERROR(F13/F$58,0)</f>
        <v>0.0150029991916953</v>
      </c>
      <c r="AE13" s="57" t="n">
        <f aca="false">IFERROR(G13/G$58,0)</f>
        <v>0.0140421476225776</v>
      </c>
      <c r="AF13" s="57" t="n">
        <f aca="false">IFERROR(H13/H$58,0)</f>
        <v>0.0158225608450815</v>
      </c>
      <c r="AG13" s="57" t="n">
        <f aca="false">IFERROR(P13/P$58,0)</f>
        <v>0.0145004641526013</v>
      </c>
      <c r="AH13" s="57" t="n">
        <f aca="false">IFERROR(Q13/Q$58,0)</f>
        <v>0.0149215630700681</v>
      </c>
      <c r="AI13" s="57" t="n">
        <f aca="false">IFERROR(R13/R$58,0)</f>
        <v>0.0157610008579262</v>
      </c>
      <c r="AJ13" s="49" t="n">
        <f aca="false">K13-N13</f>
        <v>318184.31</v>
      </c>
      <c r="AK13" s="57" t="n">
        <f aca="false">IFERROR(I13/I$58,0)</f>
        <v>0.0150133503967053</v>
      </c>
    </row>
    <row r="14" customFormat="false" ht="15" hidden="false" customHeight="false" outlineLevel="0" collapsed="false">
      <c r="A14" s="13" t="n">
        <v>9</v>
      </c>
      <c r="B14" s="53"/>
      <c r="C14" s="54" t="n">
        <v>73101</v>
      </c>
      <c r="D14" s="54" t="n">
        <v>41369</v>
      </c>
      <c r="E14" s="54" t="n">
        <v>8336</v>
      </c>
      <c r="F14" s="54" t="n">
        <v>117691</v>
      </c>
      <c r="G14" s="54" t="n">
        <v>32520</v>
      </c>
      <c r="H14" s="54" t="n">
        <v>21464</v>
      </c>
      <c r="I14" s="55" t="n">
        <f aca="false">SUM(C14:H14)</f>
        <v>294481</v>
      </c>
      <c r="J14" s="54" t="n">
        <v>6663</v>
      </c>
      <c r="K14" s="56" t="n">
        <v>509402.71</v>
      </c>
      <c r="L14" s="54" t="n">
        <v>12863</v>
      </c>
      <c r="M14" s="56" t="n">
        <v>47108.7</v>
      </c>
      <c r="N14" s="56" t="n">
        <v>128230.24</v>
      </c>
      <c r="O14" s="54" t="n">
        <v>2352</v>
      </c>
      <c r="P14" s="56" t="n">
        <v>36595.16</v>
      </c>
      <c r="Q14" s="56" t="n">
        <v>14897.74</v>
      </c>
      <c r="R14" s="56" t="n">
        <v>1697.97</v>
      </c>
      <c r="S14" s="27"/>
      <c r="T14" s="27"/>
      <c r="U14" s="57" t="n">
        <f aca="false">IFERROR(J14/I14,0)</f>
        <v>0.0226262475337968</v>
      </c>
      <c r="V14" s="58" t="n">
        <f aca="false">IFERROR(K14/J14,0)</f>
        <v>76.4524553504428</v>
      </c>
      <c r="W14" s="59" t="n">
        <f aca="false">IFERROR(L14/J14,0)</f>
        <v>1.93051178147981</v>
      </c>
      <c r="X14" s="22" t="n">
        <f aca="false">IFERROR(M14/(K14+M14),0)</f>
        <v>0.0846500164300315</v>
      </c>
      <c r="Y14" s="22" t="n">
        <f aca="false">IFERROR(N14/K14,0)</f>
        <v>0.251726654536251</v>
      </c>
      <c r="Z14" s="22" t="n">
        <f aca="false">IFERROR(O14/J14,0)</f>
        <v>0.352994146780729</v>
      </c>
      <c r="AA14" s="58" t="n">
        <f aca="false">IFERROR(P14/C14,0)</f>
        <v>0.500610935554917</v>
      </c>
      <c r="AB14" s="58" t="n">
        <f aca="false">IFERROR(Q14/D14,0)</f>
        <v>0.360118446179506</v>
      </c>
      <c r="AC14" s="58" t="n">
        <f aca="false">IFERROR(R14/E14,0)</f>
        <v>0.203691218809981</v>
      </c>
      <c r="AD14" s="57" t="n">
        <f aca="false">IFERROR(F14/F$58,0)</f>
        <v>0.0180136703142164</v>
      </c>
      <c r="AE14" s="57" t="n">
        <f aca="false">IFERROR(G14/G$58,0)</f>
        <v>0.0163991467602608</v>
      </c>
      <c r="AF14" s="57" t="n">
        <f aca="false">IFERROR(H14/H$58,0)</f>
        <v>0.018753959135172</v>
      </c>
      <c r="AG14" s="57" t="n">
        <f aca="false">IFERROR(P14/P$58,0)</f>
        <v>0.0186286966061168</v>
      </c>
      <c r="AH14" s="57" t="n">
        <f aca="false">IFERROR(Q14/Q$58,0)</f>
        <v>0.0180699906447534</v>
      </c>
      <c r="AI14" s="57" t="n">
        <f aca="false">IFERROR(R14/R$58,0)</f>
        <v>0.0165801612229462</v>
      </c>
      <c r="AJ14" s="49" t="n">
        <f aca="false">K14-N14</f>
        <v>381172.47</v>
      </c>
      <c r="AK14" s="57" t="n">
        <f aca="false">IFERROR(I14/I$58,0)</f>
        <v>0.0177933386384468</v>
      </c>
    </row>
    <row r="15" customFormat="false" ht="15" hidden="false" customHeight="false" outlineLevel="0" collapsed="false">
      <c r="A15" s="13" t="n">
        <v>10</v>
      </c>
      <c r="B15" s="53" t="s">
        <v>422</v>
      </c>
      <c r="C15" s="54" t="n">
        <v>71657</v>
      </c>
      <c r="D15" s="54" t="n">
        <v>42011</v>
      </c>
      <c r="E15" s="54" t="n">
        <v>9261</v>
      </c>
      <c r="F15" s="54" t="n">
        <v>114341</v>
      </c>
      <c r="G15" s="54" t="n">
        <v>31921</v>
      </c>
      <c r="H15" s="54" t="n">
        <v>20293</v>
      </c>
      <c r="I15" s="55" t="n">
        <f aca="false">SUM(C15:H15)</f>
        <v>289484</v>
      </c>
      <c r="J15" s="54" t="n">
        <v>6403</v>
      </c>
      <c r="K15" s="56" t="n">
        <v>501426.56</v>
      </c>
      <c r="L15" s="54" t="n">
        <v>12163</v>
      </c>
      <c r="M15" s="56" t="n">
        <v>43755.76</v>
      </c>
      <c r="N15" s="56" t="n">
        <v>128910.6</v>
      </c>
      <c r="O15" s="54" t="n">
        <v>3032</v>
      </c>
      <c r="P15" s="56" t="n">
        <v>34404.1</v>
      </c>
      <c r="Q15" s="56" t="n">
        <v>15175.06</v>
      </c>
      <c r="R15" s="56" t="n">
        <v>1859.05</v>
      </c>
      <c r="S15" s="27"/>
      <c r="T15" s="27"/>
      <c r="U15" s="57" t="n">
        <f aca="false">IFERROR(J15/I15,0)</f>
        <v>0.0221186663166185</v>
      </c>
      <c r="V15" s="58" t="n">
        <f aca="false">IFERROR(K15/J15,0)</f>
        <v>78.3111916289239</v>
      </c>
      <c r="W15" s="59" t="n">
        <f aca="false">IFERROR(L15/J15,0)</f>
        <v>1.89957832266125</v>
      </c>
      <c r="X15" s="22" t="n">
        <f aca="false">IFERROR(M15/(K15+M15),0)</f>
        <v>0.0802589489695851</v>
      </c>
      <c r="Y15" s="22" t="n">
        <f aca="false">IFERROR(N15/K15,0)</f>
        <v>0.257087697947233</v>
      </c>
      <c r="Z15" s="22" t="n">
        <f aca="false">IFERROR(O15/J15,0)</f>
        <v>0.473528033734187</v>
      </c>
      <c r="AA15" s="58" t="n">
        <f aca="false">IFERROR(P15/C15,0)</f>
        <v>0.480121969940131</v>
      </c>
      <c r="AB15" s="58" t="n">
        <f aca="false">IFERROR(Q15/D15,0)</f>
        <v>0.361216348099307</v>
      </c>
      <c r="AC15" s="58" t="n">
        <f aca="false">IFERROR(R15/E15,0)</f>
        <v>0.200739660943743</v>
      </c>
      <c r="AD15" s="57" t="n">
        <f aca="false">IFERROR(F15/F$58,0)</f>
        <v>0.0175009225633041</v>
      </c>
      <c r="AE15" s="57" t="n">
        <f aca="false">IFERROR(G15/G$58,0)</f>
        <v>0.0160970837556668</v>
      </c>
      <c r="AF15" s="57" t="n">
        <f aca="false">IFERROR(H15/H$58,0)</f>
        <v>0.0177308093892119</v>
      </c>
      <c r="AG15" s="57" t="n">
        <f aca="false">IFERROR(P15/P$58,0)</f>
        <v>0.0175133416797878</v>
      </c>
      <c r="AH15" s="57" t="n">
        <f aca="false">IFERROR(Q15/Q$58,0)</f>
        <v>0.0184063617859872</v>
      </c>
      <c r="AI15" s="57" t="n">
        <f aca="false">IFERROR(R15/R$58,0)</f>
        <v>0.0181530584883821</v>
      </c>
      <c r="AJ15" s="49" t="n">
        <f aca="false">K15-N15</f>
        <v>372515.96</v>
      </c>
      <c r="AK15" s="57" t="n">
        <f aca="false">IFERROR(I15/I$58,0)</f>
        <v>0.0174914063807585</v>
      </c>
    </row>
    <row r="16" customFormat="false" ht="15" hidden="false" customHeight="false" outlineLevel="0" collapsed="false">
      <c r="A16" s="13" t="n">
        <v>11</v>
      </c>
      <c r="B16" s="53"/>
      <c r="C16" s="54" t="n">
        <v>79737</v>
      </c>
      <c r="D16" s="54" t="n">
        <v>40749</v>
      </c>
      <c r="E16" s="54" t="n">
        <v>9073</v>
      </c>
      <c r="F16" s="54" t="n">
        <v>123373</v>
      </c>
      <c r="G16" s="54" t="n">
        <v>31708</v>
      </c>
      <c r="H16" s="54" t="n">
        <v>21743</v>
      </c>
      <c r="I16" s="55" t="n">
        <f aca="false">SUM(C16:H16)</f>
        <v>306383</v>
      </c>
      <c r="J16" s="54" t="n">
        <v>6775</v>
      </c>
      <c r="K16" s="56" t="n">
        <v>515295.13</v>
      </c>
      <c r="L16" s="54" t="n">
        <v>12428</v>
      </c>
      <c r="M16" s="56" t="n">
        <v>44946.39</v>
      </c>
      <c r="N16" s="56" t="n">
        <v>140254.02</v>
      </c>
      <c r="O16" s="54" t="n">
        <v>2390</v>
      </c>
      <c r="P16" s="56" t="n">
        <v>38124.73</v>
      </c>
      <c r="Q16" s="56" t="n">
        <v>13961.27</v>
      </c>
      <c r="R16" s="56" t="n">
        <v>1842.09</v>
      </c>
      <c r="S16" s="27"/>
      <c r="T16" s="27"/>
      <c r="U16" s="57" t="n">
        <f aca="false">IFERROR(J16/I16,0)</f>
        <v>0.0221128456866079</v>
      </c>
      <c r="V16" s="58" t="n">
        <f aca="false">IFERROR(K16/J16,0)</f>
        <v>76.0583217712177</v>
      </c>
      <c r="W16" s="59" t="n">
        <f aca="false">IFERROR(L16/J16,0)</f>
        <v>1.83439114391144</v>
      </c>
      <c r="X16" s="22" t="n">
        <f aca="false">IFERROR(M16/(K16+M16),0)</f>
        <v>0.080226810037214</v>
      </c>
      <c r="Y16" s="22" t="n">
        <f aca="false">IFERROR(N16/K16,0)</f>
        <v>0.27218192417227</v>
      </c>
      <c r="Z16" s="22" t="n">
        <f aca="false">IFERROR(O16/J16,0)</f>
        <v>0.352767527675277</v>
      </c>
      <c r="AA16" s="58" t="n">
        <f aca="false">IFERROR(P16/C16,0)</f>
        <v>0.478130980598718</v>
      </c>
      <c r="AB16" s="58" t="n">
        <f aca="false">IFERROR(Q16/D16,0)</f>
        <v>0.342616260521731</v>
      </c>
      <c r="AC16" s="58" t="n">
        <f aca="false">IFERROR(R16/E16,0)</f>
        <v>0.203029868841618</v>
      </c>
      <c r="AD16" s="57" t="n">
        <f aca="false">IFERROR(F16/F$58,0)</f>
        <v>0.0188833517233758</v>
      </c>
      <c r="AE16" s="57" t="n">
        <f aca="false">IFERROR(G16/G$58,0)</f>
        <v>0.01598967237006</v>
      </c>
      <c r="AF16" s="57" t="n">
        <f aca="false">IFERROR(H16/H$58,0)</f>
        <v>0.0189977326442436</v>
      </c>
      <c r="AG16" s="57" t="n">
        <f aca="false">IFERROR(P16/P$58,0)</f>
        <v>0.0194073213058808</v>
      </c>
      <c r="AH16" s="57" t="n">
        <f aca="false">IFERROR(Q16/Q$58,0)</f>
        <v>0.0169341133815516</v>
      </c>
      <c r="AI16" s="57" t="n">
        <f aca="false">IFERROR(R16/R$58,0)</f>
        <v>0.0179874492406679</v>
      </c>
      <c r="AJ16" s="49" t="n">
        <f aca="false">K16-N16</f>
        <v>375041.11</v>
      </c>
      <c r="AK16" s="57" t="n">
        <f aca="false">IFERROR(I16/I$58,0)</f>
        <v>0.0185124896752703</v>
      </c>
    </row>
    <row r="17" customFormat="false" ht="15" hidden="false" customHeight="false" outlineLevel="0" collapsed="false">
      <c r="A17" s="13" t="n">
        <v>12</v>
      </c>
      <c r="B17" s="53"/>
      <c r="C17" s="54" t="n">
        <v>75678</v>
      </c>
      <c r="D17" s="54" t="n">
        <v>41772</v>
      </c>
      <c r="E17" s="54" t="n">
        <v>9447</v>
      </c>
      <c r="F17" s="54" t="n">
        <v>113624</v>
      </c>
      <c r="G17" s="54" t="n">
        <v>31814</v>
      </c>
      <c r="H17" s="54" t="n">
        <v>20736</v>
      </c>
      <c r="I17" s="55" t="n">
        <f aca="false">SUM(C17:H17)</f>
        <v>293071</v>
      </c>
      <c r="J17" s="54" t="n">
        <v>5018</v>
      </c>
      <c r="K17" s="56" t="n">
        <v>388305.61</v>
      </c>
      <c r="L17" s="54" t="n">
        <v>9348</v>
      </c>
      <c r="M17" s="56" t="n">
        <v>32385.97</v>
      </c>
      <c r="N17" s="56" t="n">
        <v>100258.73</v>
      </c>
      <c r="O17" s="54" t="n">
        <v>1832</v>
      </c>
      <c r="P17" s="56" t="n">
        <v>36708.65</v>
      </c>
      <c r="Q17" s="56" t="n">
        <v>14687.85</v>
      </c>
      <c r="R17" s="56" t="n">
        <v>2013.77</v>
      </c>
      <c r="S17" s="27" t="s">
        <v>480</v>
      </c>
      <c r="T17" s="27" t="s">
        <v>481</v>
      </c>
      <c r="U17" s="57" t="n">
        <f aca="false">IFERROR(J17/I17,0)</f>
        <v>0.0171221308147173</v>
      </c>
      <c r="V17" s="58" t="n">
        <f aca="false">IFERROR(K17/J17,0)</f>
        <v>77.3825448385811</v>
      </c>
      <c r="W17" s="59" t="n">
        <f aca="false">IFERROR(L17/J17,0)</f>
        <v>1.86289358310084</v>
      </c>
      <c r="X17" s="22" t="n">
        <f aca="false">IFERROR(M17/(K17+M17),0)</f>
        <v>0.0769826912152604</v>
      </c>
      <c r="Y17" s="22" t="n">
        <f aca="false">IFERROR(N17/K17,0)</f>
        <v>0.258195419839543</v>
      </c>
      <c r="Z17" s="22" t="n">
        <f aca="false">IFERROR(O17/J17,0)</f>
        <v>0.365085691510562</v>
      </c>
      <c r="AA17" s="58" t="n">
        <f aca="false">IFERROR(P17/C17,0)</f>
        <v>0.485063690900922</v>
      </c>
      <c r="AB17" s="58" t="n">
        <f aca="false">IFERROR(Q17/D17,0)</f>
        <v>0.351619505889112</v>
      </c>
      <c r="AC17" s="58" t="n">
        <f aca="false">IFERROR(R17/E17,0)</f>
        <v>0.213165025934159</v>
      </c>
      <c r="AD17" s="57" t="n">
        <f aca="false">IFERROR(F17/F$58,0)</f>
        <v>0.0173911792387058</v>
      </c>
      <c r="AE17" s="57" t="n">
        <f aca="false">IFERROR(G17/G$58,0)</f>
        <v>0.0160431259234606</v>
      </c>
      <c r="AF17" s="57" t="n">
        <f aca="false">IFERROR(H17/H$58,0)</f>
        <v>0.0181178762871285</v>
      </c>
      <c r="AG17" s="57" t="n">
        <f aca="false">IFERROR(P17/P$58,0)</f>
        <v>0.0186864684747964</v>
      </c>
      <c r="AH17" s="57" t="n">
        <f aca="false">IFERROR(Q17/Q$58,0)</f>
        <v>0.01781540771228</v>
      </c>
      <c r="AI17" s="57" t="n">
        <f aca="false">IFERROR(R17/R$58,0)</f>
        <v>0.0196638522859251</v>
      </c>
      <c r="AJ17" s="49" t="n">
        <f aca="false">K17-N17</f>
        <v>288046.88</v>
      </c>
      <c r="AK17" s="57" t="n">
        <f aca="false">IFERROR(I17/I$58,0)</f>
        <v>0.0177081426241702</v>
      </c>
    </row>
    <row r="18" customFormat="false" ht="15" hidden="false" customHeight="false" outlineLevel="0" collapsed="false">
      <c r="A18" s="13" t="n">
        <v>13</v>
      </c>
      <c r="B18" s="53"/>
      <c r="C18" s="54" t="n">
        <v>68976</v>
      </c>
      <c r="D18" s="54" t="n">
        <v>42122</v>
      </c>
      <c r="E18" s="54" t="n">
        <v>8763</v>
      </c>
      <c r="F18" s="54" t="n">
        <v>120479</v>
      </c>
      <c r="G18" s="54" t="n">
        <v>29949</v>
      </c>
      <c r="H18" s="54" t="n">
        <v>21102</v>
      </c>
      <c r="I18" s="55" t="n">
        <f aca="false">SUM(C18:H18)</f>
        <v>291391</v>
      </c>
      <c r="J18" s="54" t="n">
        <v>6242</v>
      </c>
      <c r="K18" s="56" t="n">
        <v>484692.01</v>
      </c>
      <c r="L18" s="54" t="n">
        <v>11873</v>
      </c>
      <c r="M18" s="56" t="n">
        <v>44380.15</v>
      </c>
      <c r="N18" s="56" t="n">
        <v>127944.42</v>
      </c>
      <c r="O18" s="54" t="n">
        <v>2192</v>
      </c>
      <c r="P18" s="56" t="n">
        <v>33959.87</v>
      </c>
      <c r="Q18" s="56" t="n">
        <v>14790.54</v>
      </c>
      <c r="R18" s="56" t="n">
        <v>1781.61</v>
      </c>
      <c r="S18" s="27"/>
      <c r="T18" s="27"/>
      <c r="U18" s="57" t="n">
        <f aca="false">IFERROR(J18/I18,0)</f>
        <v>0.0214213891300692</v>
      </c>
      <c r="V18" s="58" t="n">
        <f aca="false">IFERROR(K18/J18,0)</f>
        <v>77.6501137455944</v>
      </c>
      <c r="W18" s="59" t="n">
        <f aca="false">IFERROR(L18/J18,0)</f>
        <v>1.90211470682474</v>
      </c>
      <c r="X18" s="22" t="n">
        <f aca="false">IFERROR(M18/(K18+M18),0)</f>
        <v>0.0838829811041277</v>
      </c>
      <c r="Y18" s="22" t="n">
        <f aca="false">IFERROR(N18/K18,0)</f>
        <v>0.263970557302977</v>
      </c>
      <c r="Z18" s="22" t="n">
        <f aca="false">IFERROR(O18/J18,0)</f>
        <v>0.351169496956104</v>
      </c>
      <c r="AA18" s="58" t="n">
        <f aca="false">IFERROR(P18/C18,0)</f>
        <v>0.492343278821619</v>
      </c>
      <c r="AB18" s="58" t="n">
        <f aca="false">IFERROR(Q18/D18,0)</f>
        <v>0.351135748539955</v>
      </c>
      <c r="AC18" s="58" t="n">
        <f aca="false">IFERROR(R18/E18,0)</f>
        <v>0.203310510099281</v>
      </c>
      <c r="AD18" s="57" t="n">
        <f aca="false">IFERROR(F18/F$58,0)</f>
        <v>0.0184403988901996</v>
      </c>
      <c r="AE18" s="57" t="n">
        <f aca="false">IFERROR(G18/G$58,0)</f>
        <v>0.0151026459508933</v>
      </c>
      <c r="AF18" s="57" t="n">
        <f aca="false">IFERROR(H18/H$58,0)</f>
        <v>0.018437665191502</v>
      </c>
      <c r="AG18" s="57" t="n">
        <f aca="false">IFERROR(P18/P$58,0)</f>
        <v>0.0172872072430662</v>
      </c>
      <c r="AH18" s="57" t="n">
        <f aca="false">IFERROR(Q18/Q$58,0)</f>
        <v>0.0179399640100345</v>
      </c>
      <c r="AI18" s="57" t="n">
        <f aca="false">IFERROR(R18/R$58,0)</f>
        <v>0.0173968804139138</v>
      </c>
      <c r="AJ18" s="49" t="n">
        <f aca="false">K18-N18</f>
        <v>356747.59</v>
      </c>
      <c r="AK18" s="57" t="n">
        <f aca="false">IFERROR(I18/I$58,0)</f>
        <v>0.0176066324795001</v>
      </c>
    </row>
    <row r="19" customFormat="false" ht="15" hidden="false" customHeight="false" outlineLevel="0" collapsed="false">
      <c r="A19" s="13" t="n">
        <v>14</v>
      </c>
      <c r="B19" s="53"/>
      <c r="C19" s="54" t="n">
        <v>79069</v>
      </c>
      <c r="D19" s="54" t="n">
        <v>41609</v>
      </c>
      <c r="E19" s="54" t="n">
        <v>9409</v>
      </c>
      <c r="F19" s="54" t="n">
        <v>126908</v>
      </c>
      <c r="G19" s="54" t="n">
        <v>35315</v>
      </c>
      <c r="H19" s="54" t="n">
        <v>22287</v>
      </c>
      <c r="I19" s="55" t="n">
        <f aca="false">SUM(C19:H19)</f>
        <v>314597</v>
      </c>
      <c r="J19" s="54" t="n">
        <v>7042</v>
      </c>
      <c r="K19" s="56" t="n">
        <v>537919.58</v>
      </c>
      <c r="L19" s="54" t="n">
        <v>13117</v>
      </c>
      <c r="M19" s="56" t="n">
        <v>43291.2</v>
      </c>
      <c r="N19" s="56" t="n">
        <v>139285.69</v>
      </c>
      <c r="O19" s="54" t="n">
        <v>2448</v>
      </c>
      <c r="P19" s="56" t="n">
        <v>37318.58</v>
      </c>
      <c r="Q19" s="56" t="n">
        <v>15323.61</v>
      </c>
      <c r="R19" s="56" t="n">
        <v>1957.93</v>
      </c>
      <c r="S19" s="27"/>
      <c r="T19" s="27"/>
      <c r="U19" s="57" t="n">
        <f aca="false">IFERROR(J19/I19,0)</f>
        <v>0.022384193110551</v>
      </c>
      <c r="V19" s="58" t="n">
        <f aca="false">IFERROR(K19/J19,0)</f>
        <v>76.3873303038909</v>
      </c>
      <c r="W19" s="59" t="n">
        <f aca="false">IFERROR(L19/J19,0)</f>
        <v>1.86268105651803</v>
      </c>
      <c r="X19" s="22" t="n">
        <f aca="false">IFERROR(M19/(K19+M19),0)</f>
        <v>0.0744845097332847</v>
      </c>
      <c r="Y19" s="22" t="n">
        <f aca="false">IFERROR(N19/K19,0)</f>
        <v>0.258934039917268</v>
      </c>
      <c r="Z19" s="22" t="n">
        <f aca="false">IFERROR(O19/J19,0)</f>
        <v>0.347628514626527</v>
      </c>
      <c r="AA19" s="58" t="n">
        <f aca="false">IFERROR(P19/C19,0)</f>
        <v>0.471974857403028</v>
      </c>
      <c r="AB19" s="58" t="n">
        <f aca="false">IFERROR(Q19/D19,0)</f>
        <v>0.368276334446874</v>
      </c>
      <c r="AC19" s="58" t="n">
        <f aca="false">IFERROR(R19/E19,0)</f>
        <v>0.208091189286853</v>
      </c>
      <c r="AD19" s="57" t="n">
        <f aca="false">IFERROR(F19/F$58,0)</f>
        <v>0.0194244153948609</v>
      </c>
      <c r="AE19" s="57" t="n">
        <f aca="false">IFERROR(G19/G$58,0)</f>
        <v>0.0178086060220975</v>
      </c>
      <c r="AF19" s="57" t="n">
        <f aca="false">IFERROR(H19/H$58,0)</f>
        <v>0.0194730472999244</v>
      </c>
      <c r="AG19" s="57" t="n">
        <f aca="false">IFERROR(P19/P$58,0)</f>
        <v>0.0189969521814113</v>
      </c>
      <c r="AH19" s="57" t="n">
        <f aca="false">IFERROR(Q19/Q$58,0)</f>
        <v>0.0185865432840048</v>
      </c>
      <c r="AI19" s="57" t="n">
        <f aca="false">IFERROR(R19/R$58,0)</f>
        <v>0.0191185916495833</v>
      </c>
      <c r="AJ19" s="49" t="n">
        <f aca="false">K19-N19</f>
        <v>398633.89</v>
      </c>
      <c r="AK19" s="57" t="n">
        <f aca="false">IFERROR(I19/I$58,0)</f>
        <v>0.0190088017754608</v>
      </c>
    </row>
    <row r="20" customFormat="false" ht="15" hidden="false" customHeight="false" outlineLevel="0" collapsed="false">
      <c r="A20" s="13" t="n">
        <v>15</v>
      </c>
      <c r="B20" s="53"/>
      <c r="C20" s="54" t="n">
        <v>81451</v>
      </c>
      <c r="D20" s="54" t="n">
        <v>43038</v>
      </c>
      <c r="E20" s="54" t="n">
        <v>9174</v>
      </c>
      <c r="F20" s="54" t="n">
        <v>123412</v>
      </c>
      <c r="G20" s="54" t="n">
        <v>33075</v>
      </c>
      <c r="H20" s="54" t="n">
        <v>21271</v>
      </c>
      <c r="I20" s="55" t="n">
        <f aca="false">SUM(C20:H20)</f>
        <v>311421</v>
      </c>
      <c r="J20" s="54" t="n">
        <v>6900</v>
      </c>
      <c r="K20" s="56" t="n">
        <v>536955.04</v>
      </c>
      <c r="L20" s="54" t="n">
        <v>13542</v>
      </c>
      <c r="M20" s="56" t="n">
        <v>42964.3</v>
      </c>
      <c r="N20" s="56" t="n">
        <v>138783.63</v>
      </c>
      <c r="O20" s="54" t="n">
        <v>2399</v>
      </c>
      <c r="P20" s="56" t="n">
        <v>39714.38</v>
      </c>
      <c r="Q20" s="56" t="n">
        <v>15030.91</v>
      </c>
      <c r="R20" s="56" t="n">
        <v>1976.75</v>
      </c>
      <c r="S20" s="27"/>
      <c r="T20" s="27"/>
      <c r="U20" s="57" t="n">
        <f aca="false">IFERROR(J20/I20,0)</f>
        <v>0.022156501970002</v>
      </c>
      <c r="V20" s="58" t="n">
        <f aca="false">IFERROR(K20/J20,0)</f>
        <v>77.8195710144928</v>
      </c>
      <c r="W20" s="59" t="n">
        <f aca="false">IFERROR(L20/J20,0)</f>
        <v>1.96260869565217</v>
      </c>
      <c r="X20" s="22" t="n">
        <f aca="false">IFERROR(M20/(K20+M20),0)</f>
        <v>0.0740866824686343</v>
      </c>
      <c r="Y20" s="22" t="n">
        <f aca="false">IFERROR(N20/K20,0)</f>
        <v>0.258464153721325</v>
      </c>
      <c r="Z20" s="22" t="n">
        <f aca="false">IFERROR(O20/J20,0)</f>
        <v>0.34768115942029</v>
      </c>
      <c r="AA20" s="58" t="n">
        <f aca="false">IFERROR(P20/C20,0)</f>
        <v>0.487586156093848</v>
      </c>
      <c r="AB20" s="58" t="n">
        <f aca="false">IFERROR(Q20/D20,0)</f>
        <v>0.34924740926623</v>
      </c>
      <c r="AC20" s="58" t="n">
        <f aca="false">IFERROR(R20/E20,0)</f>
        <v>0.215473076084587</v>
      </c>
      <c r="AD20" s="57" t="n">
        <f aca="false">IFERROR(F20/F$58,0)</f>
        <v>0.0188893210255506</v>
      </c>
      <c r="AE20" s="57" t="n">
        <f aca="false">IFERROR(G20/G$58,0)</f>
        <v>0.0166790214974055</v>
      </c>
      <c r="AF20" s="57" t="n">
        <f aca="false">IFERROR(H20/H$58,0)</f>
        <v>0.0185853272812264</v>
      </c>
      <c r="AG20" s="57" t="n">
        <f aca="false">IFERROR(P20/P$58,0)</f>
        <v>0.0202165296153926</v>
      </c>
      <c r="AH20" s="57" t="n">
        <f aca="false">IFERROR(Q20/Q$58,0)</f>
        <v>0.0182315172020811</v>
      </c>
      <c r="AI20" s="57" t="n">
        <f aca="false">IFERROR(R20/R$58,0)</f>
        <v>0.0193023632322472</v>
      </c>
      <c r="AJ20" s="49" t="n">
        <f aca="false">K20-N20</f>
        <v>398171.41</v>
      </c>
      <c r="AK20" s="57" t="n">
        <f aca="false">IFERROR(I20/I$58,0)</f>
        <v>0.0188168992638702</v>
      </c>
    </row>
    <row r="21" customFormat="false" ht="15" hidden="false" customHeight="false" outlineLevel="0" collapsed="false">
      <c r="A21" s="13" t="n">
        <v>16</v>
      </c>
      <c r="B21" s="53"/>
      <c r="C21" s="54" t="n">
        <v>76063</v>
      </c>
      <c r="D21" s="54" t="n">
        <v>42964</v>
      </c>
      <c r="E21" s="54" t="n">
        <v>10225</v>
      </c>
      <c r="F21" s="54" t="n">
        <v>126271</v>
      </c>
      <c r="G21" s="54" t="n">
        <v>36151</v>
      </c>
      <c r="H21" s="54" t="n">
        <v>23437</v>
      </c>
      <c r="I21" s="55" t="n">
        <f aca="false">SUM(C21:H21)</f>
        <v>315111</v>
      </c>
      <c r="J21" s="54" t="n">
        <v>6879</v>
      </c>
      <c r="K21" s="56" t="n">
        <v>539182.89</v>
      </c>
      <c r="L21" s="54" t="n">
        <v>12872</v>
      </c>
      <c r="M21" s="56" t="n">
        <v>50168.48</v>
      </c>
      <c r="N21" s="56" t="n">
        <v>138503.44</v>
      </c>
      <c r="O21" s="54" t="n">
        <v>2369</v>
      </c>
      <c r="P21" s="56" t="n">
        <v>36687.17</v>
      </c>
      <c r="Q21" s="56" t="n">
        <v>15361.74</v>
      </c>
      <c r="R21" s="56" t="n">
        <v>2124.85</v>
      </c>
      <c r="S21" s="27"/>
      <c r="T21" s="27"/>
      <c r="U21" s="57" t="n">
        <f aca="false">IFERROR(J21/I21,0)</f>
        <v>0.0218304026200291</v>
      </c>
      <c r="V21" s="58" t="n">
        <f aca="false">IFERROR(K21/J21,0)</f>
        <v>78.3809986916703</v>
      </c>
      <c r="W21" s="59" t="n">
        <f aca="false">IFERROR(L21/J21,0)</f>
        <v>1.87120220962349</v>
      </c>
      <c r="X21" s="22" t="n">
        <f aca="false">IFERROR(M21/(K21+M21),0)</f>
        <v>0.0851249060471345</v>
      </c>
      <c r="Y21" s="22" t="n">
        <f aca="false">IFERROR(N21/K21,0)</f>
        <v>0.25687654888307</v>
      </c>
      <c r="Z21" s="22" t="n">
        <f aca="false">IFERROR(O21/J21,0)</f>
        <v>0.344381450792266</v>
      </c>
      <c r="AA21" s="58" t="n">
        <f aca="false">IFERROR(P21/C21,0)</f>
        <v>0.482326098102888</v>
      </c>
      <c r="AB21" s="58" t="n">
        <f aca="false">IFERROR(Q21/D21,0)</f>
        <v>0.35754911088353</v>
      </c>
      <c r="AC21" s="58" t="n">
        <f aca="false">IFERROR(R21/E21,0)</f>
        <v>0.207809290953545</v>
      </c>
      <c r="AD21" s="57" t="n">
        <f aca="false">IFERROR(F21/F$58,0)</f>
        <v>0.0193269167926725</v>
      </c>
      <c r="AE21" s="57" t="n">
        <f aca="false">IFERROR(G21/G$58,0)</f>
        <v>0.0182301831036343</v>
      </c>
      <c r="AF21" s="57" t="n">
        <f aca="false">IFERROR(H21/H$58,0)</f>
        <v>0.0204778485021909</v>
      </c>
      <c r="AG21" s="57" t="n">
        <f aca="false">IFERROR(P21/P$58,0)</f>
        <v>0.0186755341216442</v>
      </c>
      <c r="AH21" s="57" t="n">
        <f aca="false">IFERROR(Q21/Q$58,0)</f>
        <v>0.0186327924965219</v>
      </c>
      <c r="AI21" s="57" t="n">
        <f aca="false">IFERROR(R21/R$58,0)</f>
        <v>0.020748514740883</v>
      </c>
      <c r="AJ21" s="49" t="n">
        <f aca="false">K21-N21</f>
        <v>400679.45</v>
      </c>
      <c r="AK21" s="57" t="n">
        <f aca="false">IFERROR(I21/I$58,0)</f>
        <v>0.0190398590459134</v>
      </c>
    </row>
    <row r="22" customFormat="false" ht="15" hidden="false" customHeight="false" outlineLevel="0" collapsed="false">
      <c r="A22" s="13" t="n">
        <v>17</v>
      </c>
      <c r="B22" s="53"/>
      <c r="C22" s="54" t="n">
        <v>83879</v>
      </c>
      <c r="D22" s="54" t="n">
        <v>46238</v>
      </c>
      <c r="E22" s="54" t="n">
        <v>9138</v>
      </c>
      <c r="F22" s="54" t="n">
        <v>123156</v>
      </c>
      <c r="G22" s="54" t="n">
        <v>35429</v>
      </c>
      <c r="H22" s="54" t="n">
        <v>22984</v>
      </c>
      <c r="I22" s="55" t="n">
        <f aca="false">SUM(C22:H22)</f>
        <v>320824</v>
      </c>
      <c r="J22" s="54" t="n">
        <v>6827</v>
      </c>
      <c r="K22" s="56" t="n">
        <v>521572.79</v>
      </c>
      <c r="L22" s="54" t="n">
        <v>13384</v>
      </c>
      <c r="M22" s="56" t="n">
        <v>46213.19</v>
      </c>
      <c r="N22" s="56" t="n">
        <v>139733.46</v>
      </c>
      <c r="O22" s="54" t="n">
        <v>2390</v>
      </c>
      <c r="P22" s="56" t="n">
        <v>40006.56</v>
      </c>
      <c r="Q22" s="56" t="n">
        <v>17160.64</v>
      </c>
      <c r="R22" s="56" t="n">
        <v>1841.85</v>
      </c>
      <c r="S22" s="27"/>
      <c r="T22" s="27"/>
      <c r="U22" s="57" t="n">
        <f aca="false">IFERROR(J22/I22,0)</f>
        <v>0.0212795800812907</v>
      </c>
      <c r="V22" s="58" t="n">
        <f aca="false">IFERROR(K22/J22,0)</f>
        <v>76.3985337629999</v>
      </c>
      <c r="W22" s="59" t="n">
        <f aca="false">IFERROR(L22/J22,0)</f>
        <v>1.9604511498462</v>
      </c>
      <c r="X22" s="22" t="n">
        <f aca="false">IFERROR(M22/(K22+M22),0)</f>
        <v>0.0813919181308422</v>
      </c>
      <c r="Y22" s="22" t="n">
        <f aca="false">IFERROR(N22/K22,0)</f>
        <v>0.267907879166779</v>
      </c>
      <c r="Z22" s="22" t="n">
        <f aca="false">IFERROR(O22/J22,0)</f>
        <v>0.350080562472536</v>
      </c>
      <c r="AA22" s="58" t="n">
        <f aca="false">IFERROR(P22/C22,0)</f>
        <v>0.476955614635368</v>
      </c>
      <c r="AB22" s="58" t="n">
        <f aca="false">IFERROR(Q22/D22,0)</f>
        <v>0.371137159911761</v>
      </c>
      <c r="AC22" s="58" t="n">
        <f aca="false">IFERROR(R22/E22,0)</f>
        <v>0.20155942219304</v>
      </c>
      <c r="AD22" s="57" t="n">
        <f aca="false">IFERROR(F22/F$58,0)</f>
        <v>0.0188501379138391</v>
      </c>
      <c r="AE22" s="57" t="n">
        <f aca="false">IFERROR(G22/G$58,0)</f>
        <v>0.0178660938059434</v>
      </c>
      <c r="AF22" s="57" t="n">
        <f aca="false">IFERROR(H22/H$58,0)</f>
        <v>0.0200820442025155</v>
      </c>
      <c r="AG22" s="57" t="n">
        <f aca="false">IFERROR(P22/P$58,0)</f>
        <v>0.020365263288763</v>
      </c>
      <c r="AH22" s="57" t="n">
        <f aca="false">IFERROR(Q22/Q$58,0)</f>
        <v>0.0208147413136477</v>
      </c>
      <c r="AI22" s="57" t="n">
        <f aca="false">IFERROR(R22/R$58,0)</f>
        <v>0.0179851057135776</v>
      </c>
      <c r="AJ22" s="49" t="n">
        <f aca="false">K22-N22</f>
        <v>381839.33</v>
      </c>
      <c r="AK22" s="57" t="n">
        <f aca="false">IFERROR(I22/I$58,0)</f>
        <v>0.0193850539604968</v>
      </c>
    </row>
    <row r="23" customFormat="false" ht="15" hidden="false" customHeight="false" outlineLevel="0" collapsed="false">
      <c r="A23" s="13" t="n">
        <v>18</v>
      </c>
      <c r="B23" s="53"/>
      <c r="C23" s="54" t="n">
        <v>74687</v>
      </c>
      <c r="D23" s="54" t="n">
        <v>39911</v>
      </c>
      <c r="E23" s="54" t="n">
        <v>8624</v>
      </c>
      <c r="F23" s="54" t="n">
        <v>121196</v>
      </c>
      <c r="G23" s="54" t="n">
        <v>31132</v>
      </c>
      <c r="H23" s="54" t="n">
        <v>20990</v>
      </c>
      <c r="I23" s="55" t="n">
        <f aca="false">SUM(C23:H23)</f>
        <v>296540</v>
      </c>
      <c r="J23" s="54" t="n">
        <v>6316</v>
      </c>
      <c r="K23" s="56" t="n">
        <v>489130.17</v>
      </c>
      <c r="L23" s="54" t="n">
        <v>12479</v>
      </c>
      <c r="M23" s="56" t="n">
        <v>41665.85</v>
      </c>
      <c r="N23" s="56" t="n">
        <v>120892.99</v>
      </c>
      <c r="O23" s="54" t="n">
        <v>2207</v>
      </c>
      <c r="P23" s="56" t="n">
        <v>37057.76</v>
      </c>
      <c r="Q23" s="56" t="n">
        <v>14641.73</v>
      </c>
      <c r="R23" s="56" t="n">
        <v>1865.26</v>
      </c>
      <c r="S23" s="27"/>
      <c r="T23" s="27"/>
      <c r="U23" s="57" t="n">
        <f aca="false">IFERROR(J23/I23,0)</f>
        <v>0.0212989815876442</v>
      </c>
      <c r="V23" s="58" t="n">
        <f aca="false">IFERROR(K23/J23,0)</f>
        <v>77.4430288157061</v>
      </c>
      <c r="W23" s="59" t="n">
        <f aca="false">IFERROR(L23/J23,0)</f>
        <v>1.97577580747308</v>
      </c>
      <c r="X23" s="22" t="n">
        <f aca="false">IFERROR(M23/(K23+M23),0)</f>
        <v>0.0784969148789021</v>
      </c>
      <c r="Y23" s="22" t="n">
        <f aca="false">IFERROR(N23/K23,0)</f>
        <v>0.247159135573257</v>
      </c>
      <c r="Z23" s="22" t="n">
        <f aca="false">IFERROR(O23/J23,0)</f>
        <v>0.349430018999367</v>
      </c>
      <c r="AA23" s="58" t="n">
        <f aca="false">IFERROR(P23/C23,0)</f>
        <v>0.496174166856347</v>
      </c>
      <c r="AB23" s="58" t="n">
        <f aca="false">IFERROR(Q23/D23,0)</f>
        <v>0.366859512415124</v>
      </c>
      <c r="AC23" s="58" t="n">
        <f aca="false">IFERROR(R23/E23,0)</f>
        <v>0.216287105751391</v>
      </c>
      <c r="AD23" s="57" t="n">
        <f aca="false">IFERROR(F23/F$58,0)</f>
        <v>0.0185501422147978</v>
      </c>
      <c r="AE23" s="57" t="n">
        <f aca="false">IFERROR(G23/G$58,0)</f>
        <v>0.0156992077779963</v>
      </c>
      <c r="AF23" s="57" t="n">
        <f aca="false">IFERROR(H23/H$58,0)</f>
        <v>0.018339806291803</v>
      </c>
      <c r="AG23" s="57" t="n">
        <f aca="false">IFERROR(P23/P$58,0)</f>
        <v>0.0188641822564047</v>
      </c>
      <c r="AH23" s="57" t="n">
        <f aca="false">IFERROR(Q23/Q$58,0)</f>
        <v>0.0177594671489102</v>
      </c>
      <c r="AI23" s="57" t="n">
        <f aca="false">IFERROR(R23/R$58,0)</f>
        <v>0.0182136972518434</v>
      </c>
      <c r="AJ23" s="49" t="n">
        <f aca="false">K23-N23</f>
        <v>368237.18</v>
      </c>
      <c r="AK23" s="57" t="n">
        <f aca="false">IFERROR(I23/I$58,0)</f>
        <v>0.0179177489883729</v>
      </c>
    </row>
    <row r="24" customFormat="false" ht="15" hidden="false" customHeight="false" outlineLevel="0" collapsed="false">
      <c r="A24" s="13" t="n">
        <v>19</v>
      </c>
      <c r="B24" s="53"/>
      <c r="C24" s="54" t="n">
        <v>78725</v>
      </c>
      <c r="D24" s="54" t="n">
        <v>46964</v>
      </c>
      <c r="E24" s="54" t="n">
        <v>9964</v>
      </c>
      <c r="F24" s="54" t="n">
        <v>133389</v>
      </c>
      <c r="G24" s="54" t="n">
        <v>34954</v>
      </c>
      <c r="H24" s="54" t="n">
        <v>22178</v>
      </c>
      <c r="I24" s="55" t="n">
        <f aca="false">SUM(C24:H24)</f>
        <v>326174</v>
      </c>
      <c r="J24" s="54" t="n">
        <v>7398</v>
      </c>
      <c r="K24" s="56" t="n">
        <v>571227.56</v>
      </c>
      <c r="L24" s="54" t="n">
        <v>14555</v>
      </c>
      <c r="M24" s="56" t="n">
        <v>49096.65</v>
      </c>
      <c r="N24" s="56" t="n">
        <v>155900.02</v>
      </c>
      <c r="O24" s="54" t="n">
        <v>2578</v>
      </c>
      <c r="P24" s="56" t="n">
        <v>37857.89</v>
      </c>
      <c r="Q24" s="56" t="n">
        <v>17288.64</v>
      </c>
      <c r="R24" s="56" t="n">
        <v>2130.95</v>
      </c>
      <c r="S24" s="27"/>
      <c r="T24" s="27"/>
      <c r="U24" s="57" t="n">
        <f aca="false">IFERROR(J24/I24,0)</f>
        <v>0.0226811456461888</v>
      </c>
      <c r="V24" s="58" t="n">
        <f aca="false">IFERROR(K24/J24,0)</f>
        <v>77.2137821032712</v>
      </c>
      <c r="W24" s="59" t="n">
        <f aca="false">IFERROR(L24/J24,0)</f>
        <v>1.96742362800757</v>
      </c>
      <c r="X24" s="22" t="n">
        <f aca="false">IFERROR(M24/(K24+M24),0)</f>
        <v>0.0791467577897693</v>
      </c>
      <c r="Y24" s="22" t="n">
        <f aca="false">IFERROR(N24/K24,0)</f>
        <v>0.272921040434394</v>
      </c>
      <c r="Z24" s="22" t="n">
        <f aca="false">IFERROR(O24/J24,0)</f>
        <v>0.348472560151392</v>
      </c>
      <c r="AA24" s="58" t="n">
        <f aca="false">IFERROR(P24/C24,0)</f>
        <v>0.480887773896475</v>
      </c>
      <c r="AB24" s="58" t="n">
        <f aca="false">IFERROR(Q24/D24,0)</f>
        <v>0.368125372625841</v>
      </c>
      <c r="AC24" s="58" t="n">
        <f aca="false">IFERROR(R24/E24,0)</f>
        <v>0.213864913689281</v>
      </c>
      <c r="AD24" s="57" t="n">
        <f aca="false">IFERROR(F24/F$58,0)</f>
        <v>0.0204163909690887</v>
      </c>
      <c r="AE24" s="57" t="n">
        <f aca="false">IFERROR(G24/G$58,0)</f>
        <v>0.017626561373252</v>
      </c>
      <c r="AF24" s="57" t="n">
        <f aca="false">IFERROR(H24/H$58,0)</f>
        <v>0.0193778096207531</v>
      </c>
      <c r="AG24" s="57" t="n">
        <f aca="false">IFERROR(P24/P$58,0)</f>
        <v>0.0192714869113222</v>
      </c>
      <c r="AH24" s="57" t="n">
        <f aca="false">IFERROR(Q24/Q$58,0)</f>
        <v>0.0209699969968942</v>
      </c>
      <c r="AI24" s="57" t="n">
        <f aca="false">IFERROR(R24/R$58,0)</f>
        <v>0.0208080793877614</v>
      </c>
      <c r="AJ24" s="49" t="n">
        <f aca="false">K24-N24</f>
        <v>415327.54</v>
      </c>
      <c r="AK24" s="57" t="n">
        <f aca="false">IFERROR(I24/I$58,0)</f>
        <v>0.0197083154331069</v>
      </c>
    </row>
    <row r="25" customFormat="false" ht="15" hidden="false" customHeight="false" outlineLevel="0" collapsed="false">
      <c r="A25" s="13" t="n">
        <v>20</v>
      </c>
      <c r="B25" s="53"/>
      <c r="C25" s="54" t="n">
        <v>83420</v>
      </c>
      <c r="D25" s="54" t="n">
        <v>47218</v>
      </c>
      <c r="E25" s="54" t="n">
        <v>9978</v>
      </c>
      <c r="F25" s="54" t="n">
        <v>135607</v>
      </c>
      <c r="G25" s="54" t="n">
        <v>34022</v>
      </c>
      <c r="H25" s="54" t="n">
        <v>22677</v>
      </c>
      <c r="I25" s="55" t="n">
        <f aca="false">SUM(C25:H25)</f>
        <v>332922</v>
      </c>
      <c r="J25" s="54" t="n">
        <v>7509</v>
      </c>
      <c r="K25" s="56" t="n">
        <v>574259.5</v>
      </c>
      <c r="L25" s="54" t="n">
        <v>14645</v>
      </c>
      <c r="M25" s="56" t="n">
        <v>49926.7</v>
      </c>
      <c r="N25" s="56" t="n">
        <v>146551.69</v>
      </c>
      <c r="O25" s="54" t="n">
        <v>2775</v>
      </c>
      <c r="P25" s="56" t="n">
        <v>40239.85</v>
      </c>
      <c r="Q25" s="56" t="n">
        <v>16415.73</v>
      </c>
      <c r="R25" s="56" t="n">
        <v>2124.03</v>
      </c>
      <c r="S25" s="27"/>
      <c r="T25" s="27"/>
      <c r="U25" s="57" t="n">
        <f aca="false">IFERROR(J25/I25,0)</f>
        <v>0.0225548326635068</v>
      </c>
      <c r="V25" s="58" t="n">
        <f aca="false">IFERROR(K25/J25,0)</f>
        <v>76.4761619390065</v>
      </c>
      <c r="W25" s="59" t="n">
        <f aca="false">IFERROR(L25/J25,0)</f>
        <v>1.9503262751365</v>
      </c>
      <c r="X25" s="22" t="n">
        <f aca="false">IFERROR(M25/(K25+M25),0)</f>
        <v>0.0799868693027818</v>
      </c>
      <c r="Y25" s="22" t="n">
        <f aca="false">IFERROR(N25/K25,0)</f>
        <v>0.255201159057882</v>
      </c>
      <c r="Z25" s="22" t="n">
        <f aca="false">IFERROR(O25/J25,0)</f>
        <v>0.369556532161406</v>
      </c>
      <c r="AA25" s="58" t="n">
        <f aca="false">IFERROR(P25/C25,0)</f>
        <v>0.482376528410453</v>
      </c>
      <c r="AB25" s="58" t="n">
        <f aca="false">IFERROR(Q25/D25,0)</f>
        <v>0.347658308272269</v>
      </c>
      <c r="AC25" s="58" t="n">
        <f aca="false">IFERROR(R25/E25,0)</f>
        <v>0.212871316897174</v>
      </c>
      <c r="AD25" s="57" t="n">
        <f aca="false">IFERROR(F25/F$58,0)</f>
        <v>0.0207558758979017</v>
      </c>
      <c r="AE25" s="57" t="n">
        <f aca="false">IFERROR(G25/G$58,0)</f>
        <v>0.0171565735263713</v>
      </c>
      <c r="AF25" s="57" t="n">
        <f aca="false">IFERROR(H25/H$58,0)</f>
        <v>0.0198138059685191</v>
      </c>
      <c r="AG25" s="57" t="n">
        <f aca="false">IFERROR(P25/P$58,0)</f>
        <v>0.0204840191196226</v>
      </c>
      <c r="AH25" s="57" t="n">
        <f aca="false">IFERROR(Q25/Q$58,0)</f>
        <v>0.0199112138839044</v>
      </c>
      <c r="AI25" s="57" t="n">
        <f aca="false">IFERROR(R25/R$58,0)</f>
        <v>0.0207405076899912</v>
      </c>
      <c r="AJ25" s="49" t="n">
        <f aca="false">K25-N25</f>
        <v>427707.81</v>
      </c>
      <c r="AK25" s="57" t="n">
        <f aca="false">IFERROR(I25/I$58,0)</f>
        <v>0.0201160478475318</v>
      </c>
    </row>
    <row r="26" customFormat="false" ht="15" hidden="false" customHeight="false" outlineLevel="0" collapsed="false">
      <c r="A26" s="13" t="n">
        <v>21</v>
      </c>
      <c r="B26" s="53" t="s">
        <v>426</v>
      </c>
      <c r="C26" s="54" t="n">
        <v>110686</v>
      </c>
      <c r="D26" s="54" t="n">
        <v>61916</v>
      </c>
      <c r="E26" s="54" t="n">
        <v>12113</v>
      </c>
      <c r="F26" s="54" t="n">
        <v>169677</v>
      </c>
      <c r="G26" s="54" t="n">
        <v>77811</v>
      </c>
      <c r="H26" s="54" t="n">
        <v>30558</v>
      </c>
      <c r="I26" s="55" t="n">
        <f aca="false">SUM(C26:H26)</f>
        <v>462761</v>
      </c>
      <c r="J26" s="54" t="n">
        <v>12648</v>
      </c>
      <c r="K26" s="56" t="n">
        <v>875216.58</v>
      </c>
      <c r="L26" s="54" t="n">
        <v>23807</v>
      </c>
      <c r="M26" s="56" t="n">
        <v>396076.59</v>
      </c>
      <c r="N26" s="56" t="n">
        <v>201529.39</v>
      </c>
      <c r="O26" s="54" t="n">
        <v>5765</v>
      </c>
      <c r="P26" s="56" t="n">
        <v>50550.92</v>
      </c>
      <c r="Q26" s="56" t="n">
        <v>22274.08</v>
      </c>
      <c r="R26" s="56" t="n">
        <v>2566.68</v>
      </c>
      <c r="S26" s="27"/>
      <c r="T26" s="27"/>
      <c r="U26" s="57" t="n">
        <f aca="false">IFERROR(J26/I26,0)</f>
        <v>0.0273316031385532</v>
      </c>
      <c r="V26" s="58" t="n">
        <f aca="false">IFERROR(K26/J26,0)</f>
        <v>69.1980218216319</v>
      </c>
      <c r="W26" s="59" t="n">
        <f aca="false">IFERROR(L26/J26,0)</f>
        <v>1.88227387729285</v>
      </c>
      <c r="X26" s="22" t="n">
        <f aca="false">IFERROR(M26/(K26+M26),0)</f>
        <v>0.311554092593764</v>
      </c>
      <c r="Y26" s="22" t="n">
        <f aca="false">IFERROR(N26/K26,0)</f>
        <v>0.230262308330585</v>
      </c>
      <c r="Z26" s="22" t="n">
        <f aca="false">IFERROR(O26/J26,0)</f>
        <v>0.455803289057559</v>
      </c>
      <c r="AA26" s="58" t="n">
        <f aca="false">IFERROR(P26/C26,0)</f>
        <v>0.456705635762427</v>
      </c>
      <c r="AB26" s="58" t="n">
        <f aca="false">IFERROR(Q26/D26,0)</f>
        <v>0.359746753666258</v>
      </c>
      <c r="AC26" s="58" t="n">
        <f aca="false">IFERROR(R26/E26,0)</f>
        <v>0.211894658631223</v>
      </c>
      <c r="AD26" s="57" t="n">
        <f aca="false">IFERROR(F26/F$58,0)</f>
        <v>0.0259705970541953</v>
      </c>
      <c r="AE26" s="57" t="n">
        <f aca="false">IFERROR(G26/G$58,0)</f>
        <v>0.0392384381476831</v>
      </c>
      <c r="AF26" s="57" t="n">
        <f aca="false">IFERROR(H26/H$58,0)</f>
        <v>0.0266997522946601</v>
      </c>
      <c r="AG26" s="57" t="n">
        <f aca="false">IFERROR(P26/P$58,0)</f>
        <v>0.0257328496948799</v>
      </c>
      <c r="AH26" s="57" t="n">
        <f aca="false">IFERROR(Q26/Q$58,0)</f>
        <v>0.0270170117897406</v>
      </c>
      <c r="AI26" s="57" t="n">
        <f aca="false">IFERROR(R26/R$58,0)</f>
        <v>0.0250628504671528</v>
      </c>
      <c r="AJ26" s="49" t="n">
        <f aca="false">K26-N26</f>
        <v>673687.19</v>
      </c>
      <c r="AK26" s="57" t="n">
        <f aca="false">IFERROR(I26/I$58,0)</f>
        <v>0.0279612714629002</v>
      </c>
    </row>
    <row r="27" customFormat="false" ht="15" hidden="false" customHeight="false" outlineLevel="0" collapsed="false">
      <c r="A27" s="13" t="n">
        <v>22</v>
      </c>
      <c r="B27" s="53" t="s">
        <v>428</v>
      </c>
      <c r="C27" s="54" t="n">
        <v>91895</v>
      </c>
      <c r="D27" s="54" t="n">
        <v>51301</v>
      </c>
      <c r="E27" s="54" t="n">
        <v>11528</v>
      </c>
      <c r="F27" s="54" t="n">
        <v>157304</v>
      </c>
      <c r="G27" s="54" t="n">
        <v>43119</v>
      </c>
      <c r="H27" s="54" t="n">
        <v>28530</v>
      </c>
      <c r="I27" s="55" t="n">
        <f aca="false">SUM(C27:H27)</f>
        <v>383677</v>
      </c>
      <c r="J27" s="54" t="n">
        <v>10340</v>
      </c>
      <c r="K27" s="56" t="n">
        <v>701065.12</v>
      </c>
      <c r="L27" s="54" t="n">
        <v>19097</v>
      </c>
      <c r="M27" s="56" t="n">
        <v>332355.47</v>
      </c>
      <c r="N27" s="56" t="n">
        <v>165983.86</v>
      </c>
      <c r="O27" s="54" t="n">
        <v>4525</v>
      </c>
      <c r="P27" s="56" t="n">
        <v>42955.64</v>
      </c>
      <c r="Q27" s="56" t="n">
        <v>18078.64</v>
      </c>
      <c r="R27" s="56" t="n">
        <v>2318.61</v>
      </c>
      <c r="S27" s="27"/>
      <c r="T27" s="27"/>
      <c r="U27" s="57" t="n">
        <f aca="false">IFERROR(J27/I27,0)</f>
        <v>0.0269497520049417</v>
      </c>
      <c r="V27" s="58" t="n">
        <f aca="false">IFERROR(K27/J27,0)</f>
        <v>67.8012688588008</v>
      </c>
      <c r="W27" s="59" t="n">
        <f aca="false">IFERROR(L27/J27,0)</f>
        <v>1.84690522243714</v>
      </c>
      <c r="X27" s="22" t="n">
        <f aca="false">IFERROR(M27/(K27+M27),0)</f>
        <v>0.321607168674663</v>
      </c>
      <c r="Y27" s="22" t="n">
        <f aca="false">IFERROR(N27/K27,0)</f>
        <v>0.236759546673781</v>
      </c>
      <c r="Z27" s="22" t="n">
        <f aca="false">IFERROR(O27/J27,0)</f>
        <v>0.437620889748549</v>
      </c>
      <c r="AA27" s="58" t="n">
        <f aca="false">IFERROR(P27/C27,0)</f>
        <v>0.467442624734752</v>
      </c>
      <c r="AB27" s="58" t="n">
        <f aca="false">IFERROR(Q27/D27,0)</f>
        <v>0.352403266992846</v>
      </c>
      <c r="AC27" s="58" t="n">
        <f aca="false">IFERROR(R27/E27,0)</f>
        <v>0.201128556557946</v>
      </c>
      <c r="AD27" s="57" t="n">
        <f aca="false">IFERROR(F27/F$58,0)</f>
        <v>0.0240767976744823</v>
      </c>
      <c r="AE27" s="57" t="n">
        <f aca="false">IFERROR(G27/G$58,0)</f>
        <v>0.0217439978215156</v>
      </c>
      <c r="AF27" s="57" t="n">
        <f aca="false">IFERROR(H27/H$58,0)</f>
        <v>0.0249278072179676</v>
      </c>
      <c r="AG27" s="57" t="n">
        <f aca="false">IFERROR(P27/P$58,0)</f>
        <v>0.0218664868545888</v>
      </c>
      <c r="AH27" s="57" t="n">
        <f aca="false">IFERROR(Q27/Q$58,0)</f>
        <v>0.0219282156669311</v>
      </c>
      <c r="AI27" s="57" t="n">
        <f aca="false">IFERROR(R27/R$58,0)</f>
        <v>0.0226405222784473</v>
      </c>
      <c r="AJ27" s="49" t="n">
        <f aca="false">K27-N27</f>
        <v>535081.26</v>
      </c>
      <c r="AK27" s="57" t="n">
        <f aca="false">IFERROR(I27/I$58,0)</f>
        <v>0.0231828022479663</v>
      </c>
    </row>
    <row r="28" customFormat="false" ht="15" hidden="false" customHeight="false" outlineLevel="0" collapsed="false">
      <c r="A28" s="13" t="n">
        <v>23</v>
      </c>
      <c r="B28" s="53" t="s">
        <v>428</v>
      </c>
      <c r="C28" s="54" t="n">
        <v>88503</v>
      </c>
      <c r="D28" s="54" t="n">
        <v>50360</v>
      </c>
      <c r="E28" s="54" t="n">
        <v>11660</v>
      </c>
      <c r="F28" s="54" t="n">
        <v>154100</v>
      </c>
      <c r="G28" s="54" t="n">
        <v>39957</v>
      </c>
      <c r="H28" s="54" t="n">
        <v>25327</v>
      </c>
      <c r="I28" s="55" t="n">
        <f aca="false">SUM(C28:H28)</f>
        <v>369907</v>
      </c>
      <c r="J28" s="54" t="n">
        <v>8964</v>
      </c>
      <c r="K28" s="56" t="n">
        <v>614438</v>
      </c>
      <c r="L28" s="54" t="n">
        <v>17163</v>
      </c>
      <c r="M28" s="56" t="n">
        <v>246007.14</v>
      </c>
      <c r="N28" s="56" t="n">
        <v>149825.87</v>
      </c>
      <c r="O28" s="54" t="n">
        <v>4145</v>
      </c>
      <c r="P28" s="56" t="n">
        <v>44456.68</v>
      </c>
      <c r="Q28" s="56" t="n">
        <v>18404.89</v>
      </c>
      <c r="R28" s="56" t="n">
        <v>2454.67</v>
      </c>
      <c r="S28" s="27"/>
      <c r="T28" s="27"/>
      <c r="U28" s="57" t="n">
        <f aca="false">IFERROR(J28/I28,0)</f>
        <v>0.0242331180539974</v>
      </c>
      <c r="V28" s="58" t="n">
        <f aca="false">IFERROR(K28/J28,0)</f>
        <v>68.5450691655511</v>
      </c>
      <c r="W28" s="59" t="n">
        <f aca="false">IFERROR(L28/J28,0)</f>
        <v>1.91465863453815</v>
      </c>
      <c r="X28" s="22" t="n">
        <f aca="false">IFERROR(M28/(K28+M28),0)</f>
        <v>0.285906827249905</v>
      </c>
      <c r="Y28" s="22" t="n">
        <f aca="false">IFERROR(N28/K28,0)</f>
        <v>0.243842128904788</v>
      </c>
      <c r="Z28" s="22" t="n">
        <f aca="false">IFERROR(O28/J28,0)</f>
        <v>0.462405176260598</v>
      </c>
      <c r="AA28" s="58" t="n">
        <f aca="false">IFERROR(P28/C28,0)</f>
        <v>0.502318339491317</v>
      </c>
      <c r="AB28" s="58" t="n">
        <f aca="false">IFERROR(Q28/D28,0)</f>
        <v>0.365466441620334</v>
      </c>
      <c r="AC28" s="58" t="n">
        <f aca="false">IFERROR(R28/E28,0)</f>
        <v>0.210520583190395</v>
      </c>
      <c r="AD28" s="57" t="n">
        <f aca="false">IFERROR(F28/F$58,0)</f>
        <v>0.0235863965419679</v>
      </c>
      <c r="AE28" s="57" t="n">
        <f aca="false">IFERROR(G28/G$58,0)</f>
        <v>0.0201494682379994</v>
      </c>
      <c r="AF28" s="57" t="n">
        <f aca="false">IFERROR(H28/H$58,0)</f>
        <v>0.0221292174346115</v>
      </c>
      <c r="AG28" s="57" t="n">
        <f aca="false">IFERROR(P28/P$58,0)</f>
        <v>0.0226305884121075</v>
      </c>
      <c r="AH28" s="57" t="n">
        <f aca="false">IFERROR(Q28/Q$58,0)</f>
        <v>0.0223239357189558</v>
      </c>
      <c r="AI28" s="57" t="n">
        <f aca="false">IFERROR(R28/R$58,0)</f>
        <v>0.02396910684472</v>
      </c>
      <c r="AJ28" s="49" t="n">
        <f aca="false">K28-N28</f>
        <v>464612.13</v>
      </c>
      <c r="AK28" s="57" t="n">
        <f aca="false">IFERROR(I28/I$58,0)</f>
        <v>0.0223507815979026</v>
      </c>
    </row>
    <row r="29" customFormat="false" ht="15" hidden="false" customHeight="false" outlineLevel="0" collapsed="false">
      <c r="A29" s="13" t="n">
        <v>24</v>
      </c>
      <c r="B29" s="53"/>
      <c r="C29" s="54" t="n">
        <v>69290</v>
      </c>
      <c r="D29" s="54" t="n">
        <v>42313</v>
      </c>
      <c r="E29" s="54" t="n">
        <v>8963</v>
      </c>
      <c r="F29" s="54" t="n">
        <v>120164</v>
      </c>
      <c r="G29" s="54" t="n">
        <v>30956</v>
      </c>
      <c r="H29" s="54" t="n">
        <v>20996</v>
      </c>
      <c r="I29" s="55" t="n">
        <f aca="false">SUM(C29:H29)</f>
        <v>292682</v>
      </c>
      <c r="J29" s="54" t="n">
        <v>6272</v>
      </c>
      <c r="K29" s="56" t="n">
        <v>476797.44</v>
      </c>
      <c r="L29" s="54" t="n">
        <v>11772</v>
      </c>
      <c r="M29" s="56" t="n">
        <v>38844.23</v>
      </c>
      <c r="N29" s="56" t="n">
        <v>126091.2</v>
      </c>
      <c r="O29" s="54" t="n">
        <v>2143</v>
      </c>
      <c r="P29" s="56" t="n">
        <v>32278.28</v>
      </c>
      <c r="Q29" s="56" t="n">
        <v>14536.58</v>
      </c>
      <c r="R29" s="56" t="n">
        <v>1920.71</v>
      </c>
      <c r="S29" s="27"/>
      <c r="T29" s="27"/>
      <c r="U29" s="57" t="n">
        <f aca="false">IFERROR(J29/I29,0)</f>
        <v>0.0214294011931038</v>
      </c>
      <c r="V29" s="58" t="n">
        <f aca="false">IFERROR(K29/J29,0)</f>
        <v>76.02</v>
      </c>
      <c r="W29" s="59" t="n">
        <f aca="false">IFERROR(L29/J29,0)</f>
        <v>1.87691326530612</v>
      </c>
      <c r="X29" s="22" t="n">
        <f aca="false">IFERROR(M29/(K29+M29),0)</f>
        <v>0.0753318287872274</v>
      </c>
      <c r="Y29" s="22" t="n">
        <f aca="false">IFERROR(N29/K29,0)</f>
        <v>0.264454440023839</v>
      </c>
      <c r="Z29" s="22" t="n">
        <f aca="false">IFERROR(O29/J29,0)</f>
        <v>0.341677295918367</v>
      </c>
      <c r="AA29" s="58" t="n">
        <f aca="false">IFERROR(P29/C29,0)</f>
        <v>0.465843267426757</v>
      </c>
      <c r="AB29" s="58" t="n">
        <f aca="false">IFERROR(Q29/D29,0)</f>
        <v>0.343548791151656</v>
      </c>
      <c r="AC29" s="58" t="n">
        <f aca="false">IFERROR(R29/E29,0)</f>
        <v>0.214293205399978</v>
      </c>
      <c r="AD29" s="57" t="n">
        <f aca="false">IFERROR(F29/F$58,0)</f>
        <v>0.0183921852957108</v>
      </c>
      <c r="AE29" s="57" t="n">
        <f aca="false">IFERROR(G29/G$58,0)</f>
        <v>0.0156104547081991</v>
      </c>
      <c r="AF29" s="57" t="n">
        <f aca="false">IFERROR(H29/H$58,0)</f>
        <v>0.0183450487328583</v>
      </c>
      <c r="AG29" s="57" t="n">
        <f aca="false">IFERROR(P29/P$58,0)</f>
        <v>0.0164311970513939</v>
      </c>
      <c r="AH29" s="57" t="n">
        <f aca="false">IFERROR(Q29/Q$58,0)</f>
        <v>0.0176319270309933</v>
      </c>
      <c r="AI29" s="57" t="n">
        <f aca="false">IFERROR(R29/R$58,0)</f>
        <v>0.0187551496566635</v>
      </c>
      <c r="AJ29" s="49" t="n">
        <f aca="false">K29-N29</f>
        <v>350706.24</v>
      </c>
      <c r="AK29" s="57" t="n">
        <f aca="false">IFERROR(I29/I$58,0)</f>
        <v>0.0176846381918626</v>
      </c>
    </row>
    <row r="30" customFormat="false" ht="15" hidden="false" customHeight="false" outlineLevel="0" collapsed="false">
      <c r="A30" s="13" t="n">
        <v>25</v>
      </c>
      <c r="B30" s="53"/>
      <c r="C30" s="54" t="n">
        <v>66535</v>
      </c>
      <c r="D30" s="54" t="n">
        <v>39437</v>
      </c>
      <c r="E30" s="54" t="n">
        <v>7774</v>
      </c>
      <c r="F30" s="54" t="n">
        <v>104240</v>
      </c>
      <c r="G30" s="54" t="n">
        <v>31821</v>
      </c>
      <c r="H30" s="54" t="n">
        <v>19945</v>
      </c>
      <c r="I30" s="55" t="n">
        <f aca="false">SUM(C30:H30)</f>
        <v>269752</v>
      </c>
      <c r="J30" s="54" t="n">
        <v>5763</v>
      </c>
      <c r="K30" s="56" t="n">
        <v>441798.86</v>
      </c>
      <c r="L30" s="54" t="n">
        <v>10794</v>
      </c>
      <c r="M30" s="56" t="n">
        <v>37129.24</v>
      </c>
      <c r="N30" s="56" t="n">
        <v>114974.07</v>
      </c>
      <c r="O30" s="54" t="n">
        <v>2047</v>
      </c>
      <c r="P30" s="56" t="n">
        <v>33008.3</v>
      </c>
      <c r="Q30" s="56" t="n">
        <v>14042.97</v>
      </c>
      <c r="R30" s="56" t="n">
        <v>1696.52</v>
      </c>
      <c r="S30" s="27"/>
      <c r="T30" s="27"/>
      <c r="U30" s="57" t="n">
        <f aca="false">IFERROR(J30/I30,0)</f>
        <v>0.0213640677362911</v>
      </c>
      <c r="V30" s="58" t="n">
        <f aca="false">IFERROR(K30/J30,0)</f>
        <v>76.6612632309561</v>
      </c>
      <c r="W30" s="59" t="n">
        <f aca="false">IFERROR(L30/J30,0)</f>
        <v>1.87298282144716</v>
      </c>
      <c r="X30" s="22" t="n">
        <f aca="false">IFERROR(M30/(K30+M30),0)</f>
        <v>0.0775257079298542</v>
      </c>
      <c r="Y30" s="22" t="n">
        <f aca="false">IFERROR(N30/K30,0)</f>
        <v>0.260240757524816</v>
      </c>
      <c r="Z30" s="22" t="n">
        <f aca="false">IFERROR(O30/J30,0)</f>
        <v>0.355196946035051</v>
      </c>
      <c r="AA30" s="58" t="n">
        <f aca="false">IFERROR(P30/C30,0)</f>
        <v>0.496104306004359</v>
      </c>
      <c r="AB30" s="58" t="n">
        <f aca="false">IFERROR(Q30/D30,0)</f>
        <v>0.356086162740574</v>
      </c>
      <c r="AC30" s="58" t="n">
        <f aca="false">IFERROR(R30/E30,0)</f>
        <v>0.218229997427322</v>
      </c>
      <c r="AD30" s="57" t="n">
        <f aca="false">IFERROR(F30/F$58,0)</f>
        <v>0.0159548733000307</v>
      </c>
      <c r="AE30" s="57" t="n">
        <f aca="false">IFERROR(G30/G$58,0)</f>
        <v>0.0160466558751002</v>
      </c>
      <c r="AF30" s="57" t="n">
        <f aca="false">IFERROR(H30/H$58,0)</f>
        <v>0.0174267478080043</v>
      </c>
      <c r="AG30" s="57" t="n">
        <f aca="false">IFERROR(P30/P$58,0)</f>
        <v>0.0168028123441374</v>
      </c>
      <c r="AH30" s="57" t="n">
        <f aca="false">IFERROR(Q30/Q$58,0)</f>
        <v>0.0170332101731238</v>
      </c>
      <c r="AI30" s="57" t="n">
        <f aca="false">IFERROR(R30/R$58,0)</f>
        <v>0.0165660024134423</v>
      </c>
      <c r="AJ30" s="49" t="n">
        <f aca="false">K30-N30</f>
        <v>326824.79</v>
      </c>
      <c r="AK30" s="57" t="n">
        <f aca="false">IFERROR(I30/I$58,0)</f>
        <v>0.0162991455625263</v>
      </c>
    </row>
    <row r="31" customFormat="false" ht="15" hidden="false" customHeight="false" outlineLevel="0" collapsed="false">
      <c r="A31" s="13" t="n">
        <v>26</v>
      </c>
      <c r="B31" s="53"/>
      <c r="C31" s="54" t="n">
        <v>88862</v>
      </c>
      <c r="D31" s="54" t="n">
        <v>47303</v>
      </c>
      <c r="E31" s="54" t="n">
        <v>10641</v>
      </c>
      <c r="F31" s="54" t="n">
        <v>134991</v>
      </c>
      <c r="G31" s="54" t="n">
        <v>36360</v>
      </c>
      <c r="H31" s="54" t="n">
        <v>23017</v>
      </c>
      <c r="I31" s="55" t="n">
        <f aca="false">SUM(C31:H31)</f>
        <v>341174</v>
      </c>
      <c r="J31" s="54" t="n">
        <v>7398</v>
      </c>
      <c r="K31" s="56" t="n">
        <v>571997.47</v>
      </c>
      <c r="L31" s="54" t="n">
        <v>14533</v>
      </c>
      <c r="M31" s="56" t="n">
        <v>48916.71</v>
      </c>
      <c r="N31" s="56" t="n">
        <v>154626.29</v>
      </c>
      <c r="O31" s="54" t="n">
        <v>2463</v>
      </c>
      <c r="P31" s="56" t="n">
        <v>41913.61</v>
      </c>
      <c r="Q31" s="56" t="n">
        <v>17226.75</v>
      </c>
      <c r="R31" s="56" t="n">
        <v>2210.58</v>
      </c>
      <c r="S31" s="27" t="s">
        <v>480</v>
      </c>
      <c r="T31" s="27" t="s">
        <v>482</v>
      </c>
      <c r="U31" s="57" t="n">
        <f aca="false">IFERROR(J31/I31,0)</f>
        <v>0.0216839501251561</v>
      </c>
      <c r="V31" s="58" t="n">
        <f aca="false">IFERROR(K31/J31,0)</f>
        <v>77.3178521221952</v>
      </c>
      <c r="W31" s="59" t="n">
        <f aca="false">IFERROR(L31/J31,0)</f>
        <v>1.96444985131117</v>
      </c>
      <c r="X31" s="22" t="n">
        <f aca="false">IFERROR(M31/(K31+M31),0)</f>
        <v>0.0787817569249264</v>
      </c>
      <c r="Y31" s="22" t="n">
        <f aca="false">IFERROR(N31/K31,0)</f>
        <v>0.270326877494755</v>
      </c>
      <c r="Z31" s="22" t="n">
        <f aca="false">IFERROR(O31/J31,0)</f>
        <v>0.332927818329278</v>
      </c>
      <c r="AA31" s="58" t="n">
        <f aca="false">IFERROR(P31/C31,0)</f>
        <v>0.471670792914857</v>
      </c>
      <c r="AB31" s="58" t="n">
        <f aca="false">IFERROR(Q31/D31,0)</f>
        <v>0.364178804726973</v>
      </c>
      <c r="AC31" s="58" t="n">
        <f aca="false">IFERROR(R31/E31,0)</f>
        <v>0.207741753594587</v>
      </c>
      <c r="AD31" s="57" t="n">
        <f aca="false">IFERROR(F31/F$58,0)</f>
        <v>0.0206615915353458</v>
      </c>
      <c r="AE31" s="57" t="n">
        <f aca="false">IFERROR(G31/G$58,0)</f>
        <v>0.0183355773740185</v>
      </c>
      <c r="AF31" s="57" t="n">
        <f aca="false">IFERROR(H31/H$58,0)</f>
        <v>0.0201108776283197</v>
      </c>
      <c r="AG31" s="57" t="n">
        <f aca="false">IFERROR(P31/P$58,0)</f>
        <v>0.021336043464685</v>
      </c>
      <c r="AH31" s="57" t="n">
        <f aca="false">IFERROR(Q31/Q$58,0)</f>
        <v>0.0208949284481744</v>
      </c>
      <c r="AI31" s="57" t="n">
        <f aca="false">IFERROR(R31/R$58,0)</f>
        <v>0.0215856421469286</v>
      </c>
      <c r="AJ31" s="49" t="n">
        <f aca="false">K31-N31</f>
        <v>417371.18</v>
      </c>
      <c r="AK31" s="57" t="n">
        <f aca="false">IFERROR(I31/I$58,0)</f>
        <v>0.0206146560105184</v>
      </c>
    </row>
    <row r="32" customFormat="false" ht="15" hidden="false" customHeight="false" outlineLevel="0" collapsed="false">
      <c r="A32" s="13" t="n">
        <v>27</v>
      </c>
      <c r="B32" s="53"/>
      <c r="C32" s="54" t="n">
        <v>67437</v>
      </c>
      <c r="D32" s="54" t="n">
        <v>38782</v>
      </c>
      <c r="E32" s="54" t="n">
        <v>8079</v>
      </c>
      <c r="F32" s="54" t="n">
        <v>106494</v>
      </c>
      <c r="G32" s="54" t="n">
        <v>30232</v>
      </c>
      <c r="H32" s="54" t="n">
        <v>17815</v>
      </c>
      <c r="I32" s="55" t="n">
        <f aca="false">SUM(C32:H32)</f>
        <v>268839</v>
      </c>
      <c r="J32" s="54" t="n">
        <v>5682</v>
      </c>
      <c r="K32" s="56" t="n">
        <v>426128.96</v>
      </c>
      <c r="L32" s="54" t="n">
        <v>11209</v>
      </c>
      <c r="M32" s="56" t="n">
        <v>37958.81</v>
      </c>
      <c r="N32" s="56" t="n">
        <v>116124.24</v>
      </c>
      <c r="O32" s="54" t="n">
        <v>2041</v>
      </c>
      <c r="P32" s="56" t="n">
        <v>31353.06</v>
      </c>
      <c r="Q32" s="56" t="n">
        <v>13980.34</v>
      </c>
      <c r="R32" s="56" t="n">
        <v>1617.62</v>
      </c>
      <c r="S32" s="27"/>
      <c r="T32" s="27"/>
      <c r="U32" s="57" t="n">
        <f aca="false">IFERROR(J32/I32,0)</f>
        <v>0.0211353263477397</v>
      </c>
      <c r="V32" s="58" t="n">
        <f aca="false">IFERROR(K32/J32,0)</f>
        <v>74.9962970784935</v>
      </c>
      <c r="W32" s="59" t="n">
        <f aca="false">IFERROR(L32/J32,0)</f>
        <v>1.97272087293207</v>
      </c>
      <c r="X32" s="22" t="n">
        <f aca="false">IFERROR(M32/(K32+M32),0)</f>
        <v>0.0817923083816667</v>
      </c>
      <c r="Y32" s="22" t="n">
        <f aca="false">IFERROR(N32/K32,0)</f>
        <v>0.272509617745764</v>
      </c>
      <c r="Z32" s="22" t="n">
        <f aca="false">IFERROR(O32/J32,0)</f>
        <v>0.359204505455825</v>
      </c>
      <c r="AA32" s="58" t="n">
        <f aca="false">IFERROR(P32/C32,0)</f>
        <v>0.464923706570577</v>
      </c>
      <c r="AB32" s="58" t="n">
        <f aca="false">IFERROR(Q32/D32,0)</f>
        <v>0.360485276674746</v>
      </c>
      <c r="AC32" s="58" t="n">
        <f aca="false">IFERROR(R32/E32,0)</f>
        <v>0.200225275405372</v>
      </c>
      <c r="AD32" s="57" t="n">
        <f aca="false">IFERROR(F32/F$58,0)</f>
        <v>0.0162998683539282</v>
      </c>
      <c r="AE32" s="57" t="n">
        <f aca="false">IFERROR(G32/G$58,0)</f>
        <v>0.0152453568528968</v>
      </c>
      <c r="AF32" s="57" t="n">
        <f aca="false">IFERROR(H32/H$58,0)</f>
        <v>0.0155656812333716</v>
      </c>
      <c r="AG32" s="57" t="n">
        <f aca="false">IFERROR(P32/P$58,0)</f>
        <v>0.0159602155698561</v>
      </c>
      <c r="AH32" s="57" t="n">
        <f aca="false">IFERROR(Q32/Q$58,0)</f>
        <v>0.0169572440524853</v>
      </c>
      <c r="AI32" s="57" t="n">
        <f aca="false">IFERROR(R32/R$58,0)</f>
        <v>0.0157955678825081</v>
      </c>
      <c r="AJ32" s="49" t="n">
        <f aca="false">K32-N32</f>
        <v>310004.72</v>
      </c>
      <c r="AK32" s="57" t="n">
        <f aca="false">IFERROR(I32/I$58,0)</f>
        <v>0.0162439796327145</v>
      </c>
    </row>
    <row r="33" customFormat="false" ht="15" hidden="false" customHeight="false" outlineLevel="0" collapsed="false">
      <c r="A33" s="13" t="n">
        <v>28</v>
      </c>
      <c r="B33" s="53"/>
      <c r="C33" s="54" t="n">
        <v>71834</v>
      </c>
      <c r="D33" s="54" t="n">
        <v>38963</v>
      </c>
      <c r="E33" s="54" t="n">
        <v>7774</v>
      </c>
      <c r="F33" s="54" t="n">
        <v>106943</v>
      </c>
      <c r="G33" s="54" t="n">
        <v>31035</v>
      </c>
      <c r="H33" s="54" t="n">
        <v>19174</v>
      </c>
      <c r="I33" s="55" t="n">
        <f aca="false">SUM(C33:H33)</f>
        <v>275723</v>
      </c>
      <c r="J33" s="54" t="n">
        <v>5993</v>
      </c>
      <c r="K33" s="56" t="n">
        <v>472263.26</v>
      </c>
      <c r="L33" s="54" t="n">
        <v>11224</v>
      </c>
      <c r="M33" s="56" t="n">
        <v>41039.58</v>
      </c>
      <c r="N33" s="56" t="n">
        <v>119698.7</v>
      </c>
      <c r="O33" s="54" t="n">
        <v>2058</v>
      </c>
      <c r="P33" s="56" t="n">
        <v>36158.59</v>
      </c>
      <c r="Q33" s="56" t="n">
        <v>14479.8</v>
      </c>
      <c r="R33" s="56" t="n">
        <v>1604.16</v>
      </c>
      <c r="S33" s="27"/>
      <c r="T33" s="27"/>
      <c r="U33" s="57" t="n">
        <f aca="false">IFERROR(J33/I33,0)</f>
        <v>0.0217355824505029</v>
      </c>
      <c r="V33" s="58" t="n">
        <f aca="false">IFERROR(K33/J33,0)</f>
        <v>78.8024795594861</v>
      </c>
      <c r="W33" s="59" t="n">
        <f aca="false">IFERROR(L33/J33,0)</f>
        <v>1.87285166027032</v>
      </c>
      <c r="X33" s="22" t="n">
        <f aca="false">IFERROR(M33/(K33+M33),0)</f>
        <v>0.0799519831216987</v>
      </c>
      <c r="Y33" s="22" t="n">
        <f aca="false">IFERROR(N33/K33,0)</f>
        <v>0.253457573642294</v>
      </c>
      <c r="Z33" s="22" t="n">
        <f aca="false">IFERROR(O33/J33,0)</f>
        <v>0.343400634073085</v>
      </c>
      <c r="AA33" s="58" t="n">
        <f aca="false">IFERROR(P33/C33,0)</f>
        <v>0.503363170643428</v>
      </c>
      <c r="AB33" s="58" t="n">
        <f aca="false">IFERROR(Q33/D33,0)</f>
        <v>0.371629494648769</v>
      </c>
      <c r="AC33" s="58" t="n">
        <f aca="false">IFERROR(R33/E33,0)</f>
        <v>0.206349369693851</v>
      </c>
      <c r="AD33" s="57" t="n">
        <f aca="false">IFERROR(F33/F$58,0)</f>
        <v>0.0163685918584535</v>
      </c>
      <c r="AE33" s="57" t="n">
        <f aca="false">IFERROR(G33/G$58,0)</f>
        <v>0.0156502927338467</v>
      </c>
      <c r="AF33" s="57" t="n">
        <f aca="false">IFERROR(H33/H$58,0)</f>
        <v>0.0167530941323979</v>
      </c>
      <c r="AG33" s="57" t="n">
        <f aca="false">IFERROR(P33/P$58,0)</f>
        <v>0.0184064614778284</v>
      </c>
      <c r="AH33" s="57" t="n">
        <f aca="false">IFERROR(Q33/Q$58,0)</f>
        <v>0.0175630565802532</v>
      </c>
      <c r="AI33" s="57" t="n">
        <f aca="false">IFERROR(R33/R$58,0)</f>
        <v>0.0156641350715274</v>
      </c>
      <c r="AJ33" s="49" t="n">
        <f aca="false">K33-N33</f>
        <v>352564.56</v>
      </c>
      <c r="AK33" s="57" t="n">
        <f aca="false">IFERROR(I33/I$58,0)</f>
        <v>0.0166599295350412</v>
      </c>
    </row>
    <row r="34" customFormat="false" ht="15" hidden="false" customHeight="false" outlineLevel="0" collapsed="false">
      <c r="A34" s="13" t="n">
        <v>29</v>
      </c>
      <c r="B34" s="53"/>
      <c r="C34" s="54" t="n">
        <v>71295</v>
      </c>
      <c r="D34" s="54" t="n">
        <v>37455</v>
      </c>
      <c r="E34" s="54" t="n">
        <v>7924</v>
      </c>
      <c r="F34" s="54" t="n">
        <v>112466</v>
      </c>
      <c r="G34" s="54" t="n">
        <v>30170</v>
      </c>
      <c r="H34" s="54" t="n">
        <v>18364</v>
      </c>
      <c r="I34" s="55" t="n">
        <f aca="false">SUM(C34:H34)</f>
        <v>277674</v>
      </c>
      <c r="J34" s="54" t="n">
        <v>5972</v>
      </c>
      <c r="K34" s="56" t="n">
        <v>457419.32</v>
      </c>
      <c r="L34" s="54" t="n">
        <v>11753</v>
      </c>
      <c r="M34" s="56" t="n">
        <v>42415.53</v>
      </c>
      <c r="N34" s="56" t="n">
        <v>123920.15</v>
      </c>
      <c r="O34" s="54" t="n">
        <v>2022</v>
      </c>
      <c r="P34" s="56" t="n">
        <v>34877.82</v>
      </c>
      <c r="Q34" s="56" t="n">
        <v>13701.44</v>
      </c>
      <c r="R34" s="56" t="n">
        <v>1601.74</v>
      </c>
      <c r="S34" s="27"/>
      <c r="T34" s="27"/>
      <c r="U34" s="57" t="n">
        <f aca="false">IFERROR(J34/I34,0)</f>
        <v>0.0215072351030345</v>
      </c>
      <c r="V34" s="58" t="n">
        <f aca="false">IFERROR(K34/J34,0)</f>
        <v>76.5939919624916</v>
      </c>
      <c r="W34" s="59" t="n">
        <f aca="false">IFERROR(L34/J34,0)</f>
        <v>1.96801741460147</v>
      </c>
      <c r="X34" s="22" t="n">
        <f aca="false">IFERROR(M34/(K34+M34),0)</f>
        <v>0.0848590889570825</v>
      </c>
      <c r="Y34" s="22" t="n">
        <f aca="false">IFERROR(N34/K34,0)</f>
        <v>0.270911491014415</v>
      </c>
      <c r="Z34" s="22" t="n">
        <f aca="false">IFERROR(O34/J34,0)</f>
        <v>0.338580040187542</v>
      </c>
      <c r="AA34" s="58" t="n">
        <f aca="false">IFERROR(P34/C34,0)</f>
        <v>0.489204292026089</v>
      </c>
      <c r="AB34" s="58" t="n">
        <f aca="false">IFERROR(Q34/D34,0)</f>
        <v>0.36581070618075</v>
      </c>
      <c r="AC34" s="58" t="n">
        <f aca="false">IFERROR(R34/E34,0)</f>
        <v>0.202137809187279</v>
      </c>
      <c r="AD34" s="57" t="n">
        <f aca="false">IFERROR(F34/F$58,0)</f>
        <v>0.0172139368818233</v>
      </c>
      <c r="AE34" s="57" t="n">
        <f aca="false">IFERROR(G34/G$58,0)</f>
        <v>0.0152140915669455</v>
      </c>
      <c r="AF34" s="57" t="n">
        <f aca="false">IFERROR(H34/H$58,0)</f>
        <v>0.0160453645899319</v>
      </c>
      <c r="AG34" s="57" t="n">
        <f aca="false">IFERROR(P34/P$58,0)</f>
        <v>0.0177544879449291</v>
      </c>
      <c r="AH34" s="57" t="n">
        <f aca="false">IFERROR(Q34/Q$58,0)</f>
        <v>0.0166189564739115</v>
      </c>
      <c r="AI34" s="57" t="n">
        <f aca="false">IFERROR(R34/R$58,0)</f>
        <v>0.0156405045067002</v>
      </c>
      <c r="AJ34" s="49" t="n">
        <f aca="false">K34-N34</f>
        <v>333499.17</v>
      </c>
      <c r="AK34" s="57" t="n">
        <f aca="false">IFERROR(I34/I$58,0)</f>
        <v>0.0167778142328099</v>
      </c>
    </row>
    <row r="35" customFormat="false" ht="15" hidden="false" customHeight="false" outlineLevel="0" collapsed="false">
      <c r="A35" s="13" t="n">
        <v>30</v>
      </c>
      <c r="B35" s="53"/>
      <c r="C35" s="54" t="n">
        <v>64176</v>
      </c>
      <c r="D35" s="54" t="n">
        <v>37149</v>
      </c>
      <c r="E35" s="54" t="n">
        <v>7710</v>
      </c>
      <c r="F35" s="54" t="n">
        <v>109698</v>
      </c>
      <c r="G35" s="54" t="n">
        <v>27941</v>
      </c>
      <c r="H35" s="54" t="n">
        <v>18589</v>
      </c>
      <c r="I35" s="55" t="n">
        <f aca="false">SUM(C35:H35)</f>
        <v>265263</v>
      </c>
      <c r="J35" s="54" t="n">
        <v>5838</v>
      </c>
      <c r="K35" s="56" t="n">
        <v>442407.61</v>
      </c>
      <c r="L35" s="54" t="n">
        <v>11359</v>
      </c>
      <c r="M35" s="56" t="n">
        <v>35653.77</v>
      </c>
      <c r="N35" s="56" t="n">
        <v>112624.66</v>
      </c>
      <c r="O35" s="54" t="n">
        <v>2081</v>
      </c>
      <c r="P35" s="56" t="n">
        <v>30750.38</v>
      </c>
      <c r="Q35" s="56" t="n">
        <v>13760.23</v>
      </c>
      <c r="R35" s="56" t="n">
        <v>1588.49</v>
      </c>
      <c r="S35" s="27"/>
      <c r="T35" s="27"/>
      <c r="U35" s="57" t="n">
        <f aca="false">IFERROR(J35/I35,0)</f>
        <v>0.0220083464335395</v>
      </c>
      <c r="V35" s="58" t="n">
        <f aca="false">IFERROR(K35/J35,0)</f>
        <v>75.7806800274067</v>
      </c>
      <c r="W35" s="59" t="n">
        <f aca="false">IFERROR(L35/J35,0)</f>
        <v>1.94570058239123</v>
      </c>
      <c r="X35" s="22" t="n">
        <f aca="false">IFERROR(M35/(K35+M35),0)</f>
        <v>0.0745799001793452</v>
      </c>
      <c r="Y35" s="22" t="n">
        <f aca="false">IFERROR(N35/K35,0)</f>
        <v>0.254572158015094</v>
      </c>
      <c r="Z35" s="22" t="n">
        <f aca="false">IFERROR(O35/J35,0)</f>
        <v>0.356457690990065</v>
      </c>
      <c r="AA35" s="58" t="n">
        <f aca="false">IFERROR(P35/C35,0)</f>
        <v>0.479157005734231</v>
      </c>
      <c r="AB35" s="58" t="n">
        <f aca="false">IFERROR(Q35/D35,0)</f>
        <v>0.370406471237449</v>
      </c>
      <c r="AC35" s="58" t="n">
        <f aca="false">IFERROR(R35/E35,0)</f>
        <v>0.206029831387808</v>
      </c>
      <c r="AD35" s="57" t="n">
        <f aca="false">IFERROR(F35/F$58,0)</f>
        <v>0.0167902694864426</v>
      </c>
      <c r="AE35" s="57" t="n">
        <f aca="false">IFERROR(G35/G$58,0)</f>
        <v>0.0140900541091158</v>
      </c>
      <c r="AF35" s="57" t="n">
        <f aca="false">IFERROR(H35/H$58,0)</f>
        <v>0.0162419561295058</v>
      </c>
      <c r="AG35" s="57" t="n">
        <f aca="false">IFERROR(P35/P$58,0)</f>
        <v>0.015653422461954</v>
      </c>
      <c r="AH35" s="57" t="n">
        <f aca="false">IFERROR(Q35/Q$58,0)</f>
        <v>0.0166902649240526</v>
      </c>
      <c r="AI35" s="57" t="n">
        <f aca="false">IFERROR(R35/R$58,0)</f>
        <v>0.0155111222819236</v>
      </c>
      <c r="AJ35" s="49" t="n">
        <f aca="false">K35-N35</f>
        <v>329782.95</v>
      </c>
      <c r="AK35" s="57" t="n">
        <f aca="false">IFERROR(I35/I$58,0)</f>
        <v>0.0160279080390597</v>
      </c>
    </row>
    <row r="36" customFormat="false" ht="15" hidden="false" customHeight="false" outlineLevel="0" collapsed="false">
      <c r="A36" s="13" t="n">
        <v>31</v>
      </c>
      <c r="B36" s="53"/>
      <c r="C36" s="54" t="n">
        <v>69750</v>
      </c>
      <c r="D36" s="54" t="n">
        <v>39387</v>
      </c>
      <c r="E36" s="54" t="n">
        <v>8621</v>
      </c>
      <c r="F36" s="54" t="n">
        <v>114738</v>
      </c>
      <c r="G36" s="54" t="n">
        <v>30513</v>
      </c>
      <c r="H36" s="54" t="n">
        <v>20953</v>
      </c>
      <c r="I36" s="55" t="n">
        <f aca="false">SUM(C36:H36)</f>
        <v>283962</v>
      </c>
      <c r="J36" s="54" t="n">
        <v>6273</v>
      </c>
      <c r="K36" s="56" t="n">
        <v>487127.09</v>
      </c>
      <c r="L36" s="54" t="n">
        <v>11899</v>
      </c>
      <c r="M36" s="56" t="n">
        <v>42314.94</v>
      </c>
      <c r="N36" s="56" t="n">
        <v>127248.8</v>
      </c>
      <c r="O36" s="54" t="n">
        <v>2134</v>
      </c>
      <c r="P36" s="56" t="n">
        <v>31948.91</v>
      </c>
      <c r="Q36" s="56" t="n">
        <v>14240.43</v>
      </c>
      <c r="R36" s="56" t="n">
        <v>1833.82</v>
      </c>
      <c r="S36" s="27"/>
      <c r="T36" s="27"/>
      <c r="U36" s="57" t="n">
        <f aca="false">IFERROR(J36/I36,0)</f>
        <v>0.0220909840049021</v>
      </c>
      <c r="V36" s="58" t="n">
        <f aca="false">IFERROR(K36/J36,0)</f>
        <v>77.6545655985972</v>
      </c>
      <c r="W36" s="59" t="n">
        <f aca="false">IFERROR(L36/J36,0)</f>
        <v>1.89685955683086</v>
      </c>
      <c r="X36" s="22" t="n">
        <f aca="false">IFERROR(M36/(K36+M36),0)</f>
        <v>0.0799236509424837</v>
      </c>
      <c r="Y36" s="22" t="n">
        <f aca="false">IFERROR(N36/K36,0)</f>
        <v>0.261223000346788</v>
      </c>
      <c r="Z36" s="22" t="n">
        <f aca="false">IFERROR(O36/J36,0)</f>
        <v>0.340188107763431</v>
      </c>
      <c r="AA36" s="58" t="n">
        <f aca="false">IFERROR(P36/C36,0)</f>
        <v>0.458048888888889</v>
      </c>
      <c r="AB36" s="58" t="n">
        <f aca="false">IFERROR(Q36/D36,0)</f>
        <v>0.361551527153629</v>
      </c>
      <c r="AC36" s="58" t="n">
        <f aca="false">IFERROR(R36/E36,0)</f>
        <v>0.212715462243359</v>
      </c>
      <c r="AD36" s="57" t="n">
        <f aca="false">IFERROR(F36/F$58,0)</f>
        <v>0.0175616869982629</v>
      </c>
      <c r="AE36" s="57" t="n">
        <f aca="false">IFERROR(G36/G$58,0)</f>
        <v>0.015387059197289</v>
      </c>
      <c r="AF36" s="57" t="n">
        <f aca="false">IFERROR(H36/H$58,0)</f>
        <v>0.0183074779052953</v>
      </c>
      <c r="AG36" s="57" t="n">
        <f aca="false">IFERROR(P36/P$58,0)</f>
        <v>0.0162635318792466</v>
      </c>
      <c r="AH36" s="57" t="n">
        <f aca="false">IFERROR(Q36/Q$58,0)</f>
        <v>0.017272716323232</v>
      </c>
      <c r="AI36" s="57" t="n">
        <f aca="false">IFERROR(R36/R$58,0)</f>
        <v>0.0179066952030149</v>
      </c>
      <c r="AJ36" s="49" t="n">
        <f aca="false">K36-N36</f>
        <v>359878.29</v>
      </c>
      <c r="AK36" s="57" t="n">
        <f aca="false">IFERROR(I36/I$58,0)</f>
        <v>0.0171577522028608</v>
      </c>
    </row>
    <row r="37" customFormat="false" ht="15" hidden="false" customHeight="false" outlineLevel="0" collapsed="false">
      <c r="A37" s="13" t="n">
        <v>32</v>
      </c>
      <c r="B37" s="53"/>
      <c r="C37" s="54" t="n">
        <v>72353</v>
      </c>
      <c r="D37" s="54" t="n">
        <v>37362</v>
      </c>
      <c r="E37" s="54" t="n">
        <v>8085</v>
      </c>
      <c r="F37" s="54" t="n">
        <v>113378</v>
      </c>
      <c r="G37" s="54" t="n">
        <v>32669</v>
      </c>
      <c r="H37" s="54" t="n">
        <v>18943</v>
      </c>
      <c r="I37" s="55" t="n">
        <f aca="false">SUM(C37:H37)</f>
        <v>282790</v>
      </c>
      <c r="J37" s="54" t="n">
        <v>6332</v>
      </c>
      <c r="K37" s="56" t="n">
        <v>482389.83</v>
      </c>
      <c r="L37" s="54" t="n">
        <v>11582</v>
      </c>
      <c r="M37" s="56" t="n">
        <v>41316.51</v>
      </c>
      <c r="N37" s="56" t="n">
        <v>121822.48</v>
      </c>
      <c r="O37" s="54" t="n">
        <v>2169</v>
      </c>
      <c r="P37" s="56" t="n">
        <v>33845.24</v>
      </c>
      <c r="Q37" s="56" t="n">
        <v>13976.46</v>
      </c>
      <c r="R37" s="56" t="n">
        <v>1750.75</v>
      </c>
      <c r="S37" s="27"/>
      <c r="T37" s="27"/>
      <c r="U37" s="57" t="n">
        <f aca="false">IFERROR(J37/I37,0)</f>
        <v>0.022391173662435</v>
      </c>
      <c r="V37" s="58" t="n">
        <f aca="false">IFERROR(K37/J37,0)</f>
        <v>76.182853758686</v>
      </c>
      <c r="W37" s="59" t="n">
        <f aca="false">IFERROR(L37/J37,0)</f>
        <v>1.8291219204043</v>
      </c>
      <c r="X37" s="22" t="n">
        <f aca="false">IFERROR(M37/(K37+M37),0)</f>
        <v>0.0788925144576252</v>
      </c>
      <c r="Y37" s="22" t="n">
        <f aca="false">IFERROR(N37/K37,0)</f>
        <v>0.252539486580801</v>
      </c>
      <c r="Z37" s="22" t="n">
        <f aca="false">IFERROR(O37/J37,0)</f>
        <v>0.342545799115603</v>
      </c>
      <c r="AA37" s="58" t="n">
        <f aca="false">IFERROR(P37/C37,0)</f>
        <v>0.467779359528976</v>
      </c>
      <c r="AB37" s="58" t="n">
        <f aca="false">IFERROR(Q37/D37,0)</f>
        <v>0.374082222579091</v>
      </c>
      <c r="AC37" s="58" t="n">
        <f aca="false">IFERROR(R37/E37,0)</f>
        <v>0.216542980828695</v>
      </c>
      <c r="AD37" s="57" t="n">
        <f aca="false">IFERROR(F37/F$58,0)</f>
        <v>0.0173535267172955</v>
      </c>
      <c r="AE37" s="57" t="n">
        <f aca="false">IFERROR(G37/G$58,0)</f>
        <v>0.0164742843023051</v>
      </c>
      <c r="AF37" s="57" t="n">
        <f aca="false">IFERROR(H37/H$58,0)</f>
        <v>0.0165512601517687</v>
      </c>
      <c r="AG37" s="57" t="n">
        <f aca="false">IFERROR(P37/P$58,0)</f>
        <v>0.0172288550595545</v>
      </c>
      <c r="AH37" s="57" t="n">
        <f aca="false">IFERROR(Q37/Q$58,0)</f>
        <v>0.0169525378645869</v>
      </c>
      <c r="AI37" s="57" t="n">
        <f aca="false">IFERROR(R37/R$58,0)</f>
        <v>0.0170955418888867</v>
      </c>
      <c r="AJ37" s="49" t="n">
        <f aca="false">K37-N37</f>
        <v>360567.35</v>
      </c>
      <c r="AK37" s="57" t="n">
        <f aca="false">IFERROR(I37/I$58,0)</f>
        <v>0.0170869367924124</v>
      </c>
    </row>
    <row r="38" customFormat="false" ht="15" hidden="false" customHeight="false" outlineLevel="0" collapsed="false">
      <c r="A38" s="13" t="n">
        <v>33</v>
      </c>
      <c r="B38" s="53"/>
      <c r="C38" s="54" t="n">
        <v>69120</v>
      </c>
      <c r="D38" s="54" t="n">
        <v>37457</v>
      </c>
      <c r="E38" s="54" t="n">
        <v>7978</v>
      </c>
      <c r="F38" s="54" t="n">
        <v>107464</v>
      </c>
      <c r="G38" s="54" t="n">
        <v>30553</v>
      </c>
      <c r="H38" s="54" t="n">
        <v>19225</v>
      </c>
      <c r="I38" s="55" t="n">
        <f aca="false">SUM(C38:H38)</f>
        <v>271797</v>
      </c>
      <c r="J38" s="54" t="n">
        <v>6212</v>
      </c>
      <c r="K38" s="56" t="n">
        <v>491427.88</v>
      </c>
      <c r="L38" s="54" t="n">
        <v>11830</v>
      </c>
      <c r="M38" s="56" t="n">
        <v>45924</v>
      </c>
      <c r="N38" s="56" t="n">
        <v>128852.41</v>
      </c>
      <c r="O38" s="54" t="n">
        <v>2232</v>
      </c>
      <c r="P38" s="56" t="n">
        <v>33503.33</v>
      </c>
      <c r="Q38" s="56" t="n">
        <v>13009.62</v>
      </c>
      <c r="R38" s="56" t="n">
        <v>1651.59</v>
      </c>
      <c r="S38" s="27"/>
      <c r="T38" s="27"/>
      <c r="U38" s="57" t="n">
        <f aca="false">IFERROR(J38/I38,0)</f>
        <v>0.0228552927368588</v>
      </c>
      <c r="V38" s="58" t="n">
        <f aca="false">IFERROR(K38/J38,0)</f>
        <v>79.1094462330972</v>
      </c>
      <c r="W38" s="59" t="n">
        <f aca="false">IFERROR(L38/J38,0)</f>
        <v>1.90437862202189</v>
      </c>
      <c r="X38" s="22" t="n">
        <f aca="false">IFERROR(M38/(K38+M38),0)</f>
        <v>0.0854635513697282</v>
      </c>
      <c r="Y38" s="22" t="n">
        <f aca="false">IFERROR(N38/K38,0)</f>
        <v>0.262200040420987</v>
      </c>
      <c r="Z38" s="22" t="n">
        <f aca="false">IFERROR(O38/J38,0)</f>
        <v>0.359304571796523</v>
      </c>
      <c r="AA38" s="58" t="n">
        <f aca="false">IFERROR(P38/C38,0)</f>
        <v>0.484712528935185</v>
      </c>
      <c r="AB38" s="58" t="n">
        <f aca="false">IFERROR(Q38/D38,0)</f>
        <v>0.347321461943028</v>
      </c>
      <c r="AC38" s="58" t="n">
        <f aca="false">IFERROR(R38/E38,0)</f>
        <v>0.2070180496365</v>
      </c>
      <c r="AD38" s="57" t="n">
        <f aca="false">IFERROR(F38/F$58,0)</f>
        <v>0.0164483356131476</v>
      </c>
      <c r="AE38" s="57" t="n">
        <f aca="false">IFERROR(G38/G$58,0)</f>
        <v>0.0154072303495156</v>
      </c>
      <c r="AF38" s="57" t="n">
        <f aca="false">IFERROR(H38/H$58,0)</f>
        <v>0.0167976548813679</v>
      </c>
      <c r="AG38" s="57" t="n">
        <f aca="false">IFERROR(P38/P$58,0)</f>
        <v>0.0170548064242542</v>
      </c>
      <c r="AH38" s="57" t="n">
        <f aca="false">IFERROR(Q38/Q$58,0)</f>
        <v>0.0157798237646648</v>
      </c>
      <c r="AI38" s="57" t="n">
        <f aca="false">IFERROR(R38/R$58,0)</f>
        <v>0.0161272746127468</v>
      </c>
      <c r="AJ38" s="49" t="n">
        <f aca="false">K38-N38</f>
        <v>362575.47</v>
      </c>
      <c r="AK38" s="57" t="n">
        <f aca="false">IFERROR(I38/I$58,0)</f>
        <v>0.0164227099945801</v>
      </c>
    </row>
    <row r="39" customFormat="false" ht="15" hidden="false" customHeight="false" outlineLevel="0" collapsed="false">
      <c r="A39" s="13" t="n">
        <v>34</v>
      </c>
      <c r="B39" s="53"/>
      <c r="C39" s="54" t="n">
        <v>68814</v>
      </c>
      <c r="D39" s="54" t="n">
        <v>38890</v>
      </c>
      <c r="E39" s="54" t="n">
        <v>7745</v>
      </c>
      <c r="F39" s="54" t="n">
        <v>101549</v>
      </c>
      <c r="G39" s="54" t="n">
        <v>28000</v>
      </c>
      <c r="H39" s="54" t="n">
        <v>18223</v>
      </c>
      <c r="I39" s="55" t="n">
        <f aca="false">SUM(C39:H39)</f>
        <v>263221</v>
      </c>
      <c r="J39" s="54" t="n">
        <v>5639</v>
      </c>
      <c r="K39" s="56" t="n">
        <v>431388.24</v>
      </c>
      <c r="L39" s="54" t="n">
        <v>10819</v>
      </c>
      <c r="M39" s="56" t="n">
        <v>35498.41</v>
      </c>
      <c r="N39" s="56" t="n">
        <v>108341.11</v>
      </c>
      <c r="O39" s="54" t="n">
        <v>1904</v>
      </c>
      <c r="P39" s="56" t="n">
        <v>33040.37</v>
      </c>
      <c r="Q39" s="56" t="n">
        <v>13653.4</v>
      </c>
      <c r="R39" s="56" t="n">
        <v>1655.8</v>
      </c>
      <c r="S39" s="27"/>
      <c r="T39" s="27"/>
      <c r="U39" s="57" t="n">
        <f aca="false">IFERROR(J39/I39,0)</f>
        <v>0.0214230627495527</v>
      </c>
      <c r="V39" s="58" t="n">
        <f aca="false">IFERROR(K39/J39,0)</f>
        <v>76.50084057457</v>
      </c>
      <c r="W39" s="59" t="n">
        <f aca="false">IFERROR(L39/J39,0)</f>
        <v>1.91860258911154</v>
      </c>
      <c r="X39" s="22" t="n">
        <f aca="false">IFERROR(M39/(K39+M39),0)</f>
        <v>0.076032180401817</v>
      </c>
      <c r="Y39" s="22" t="n">
        <f aca="false">IFERROR(N39/K39,0)</f>
        <v>0.251145256069104</v>
      </c>
      <c r="Z39" s="22" t="n">
        <f aca="false">IFERROR(O39/J39,0)</f>
        <v>0.337648519241</v>
      </c>
      <c r="AA39" s="58" t="n">
        <f aca="false">IFERROR(P39/C39,0)</f>
        <v>0.480140233092103</v>
      </c>
      <c r="AB39" s="58" t="n">
        <f aca="false">IFERROR(Q39/D39,0)</f>
        <v>0.351077397788635</v>
      </c>
      <c r="AC39" s="58" t="n">
        <f aca="false">IFERROR(R39/E39,0)</f>
        <v>0.213789541639768</v>
      </c>
      <c r="AD39" s="57" t="n">
        <f aca="false">IFERROR(F39/F$58,0)</f>
        <v>0.0155429914499695</v>
      </c>
      <c r="AE39" s="57" t="n">
        <f aca="false">IFERROR(G39/G$58,0)</f>
        <v>0.0141198065586501</v>
      </c>
      <c r="AF39" s="57" t="n">
        <f aca="false">IFERROR(H39/H$58,0)</f>
        <v>0.0159221672251323</v>
      </c>
      <c r="AG39" s="57" t="n">
        <f aca="false">IFERROR(P39/P$58,0)</f>
        <v>0.0168191375166509</v>
      </c>
      <c r="AH39" s="57" t="n">
        <f aca="false">IFERROR(Q39/Q$58,0)</f>
        <v>0.0165606870752931</v>
      </c>
      <c r="AI39" s="57" t="n">
        <f aca="false">IFERROR(R39/R$58,0)</f>
        <v>0.016168383983789</v>
      </c>
      <c r="AJ39" s="49" t="n">
        <f aca="false">K39-N39</f>
        <v>323047.13</v>
      </c>
      <c r="AK39" s="57" t="n">
        <f aca="false">IFERROR(I39/I$58,0)</f>
        <v>0.0159045248751214</v>
      </c>
    </row>
    <row r="40" customFormat="false" ht="15" hidden="false" customHeight="false" outlineLevel="0" collapsed="false">
      <c r="A40" s="13" t="n">
        <v>35</v>
      </c>
      <c r="B40" s="53"/>
      <c r="C40" s="54" t="n">
        <v>67485</v>
      </c>
      <c r="D40" s="54" t="n">
        <v>36206</v>
      </c>
      <c r="E40" s="54" t="n">
        <v>7495</v>
      </c>
      <c r="F40" s="54" t="n">
        <v>103448</v>
      </c>
      <c r="G40" s="54" t="n">
        <v>27937</v>
      </c>
      <c r="H40" s="54" t="n">
        <v>18670</v>
      </c>
      <c r="I40" s="55" t="n">
        <f aca="false">SUM(C40:H40)</f>
        <v>261241</v>
      </c>
      <c r="J40" s="54" t="n">
        <v>5863</v>
      </c>
      <c r="K40" s="56" t="n">
        <v>447695.04</v>
      </c>
      <c r="L40" s="54" t="n">
        <v>10747</v>
      </c>
      <c r="M40" s="56" t="n">
        <v>41573.2</v>
      </c>
      <c r="N40" s="56" t="n">
        <v>117277.59</v>
      </c>
      <c r="O40" s="54" t="n">
        <v>2114</v>
      </c>
      <c r="P40" s="56" t="n">
        <v>31552.13</v>
      </c>
      <c r="Q40" s="56" t="n">
        <v>13628.48</v>
      </c>
      <c r="R40" s="56" t="n">
        <v>1584.64</v>
      </c>
      <c r="S40" s="27"/>
      <c r="T40" s="27"/>
      <c r="U40" s="57" t="n">
        <f aca="false">IFERROR(J40/I40,0)</f>
        <v>0.0224428784149502</v>
      </c>
      <c r="V40" s="58" t="n">
        <f aca="false">IFERROR(K40/J40,0)</f>
        <v>76.3593791574279</v>
      </c>
      <c r="W40" s="59" t="n">
        <f aca="false">IFERROR(L40/J40,0)</f>
        <v>1.83302063789869</v>
      </c>
      <c r="X40" s="22" t="n">
        <f aca="false">IFERROR(M40/(K40+M40),0)</f>
        <v>0.0849701587006751</v>
      </c>
      <c r="Y40" s="22" t="n">
        <f aca="false">IFERROR(N40/K40,0)</f>
        <v>0.26195865381935</v>
      </c>
      <c r="Z40" s="22" t="n">
        <f aca="false">IFERROR(O40/J40,0)</f>
        <v>0.360566263005287</v>
      </c>
      <c r="AA40" s="58" t="n">
        <f aca="false">IFERROR(P40/C40,0)</f>
        <v>0.467542861376602</v>
      </c>
      <c r="AB40" s="58" t="n">
        <f aca="false">IFERROR(Q40/D40,0)</f>
        <v>0.3764149588466</v>
      </c>
      <c r="AC40" s="58" t="n">
        <f aca="false">IFERROR(R40/E40,0)</f>
        <v>0.21142628418946</v>
      </c>
      <c r="AD40" s="57" t="n">
        <f aca="false">IFERROR(F40/F$58,0)</f>
        <v>0.0158336505481733</v>
      </c>
      <c r="AE40" s="57" t="n">
        <f aca="false">IFERROR(G40/G$58,0)</f>
        <v>0.0140880369938932</v>
      </c>
      <c r="AF40" s="57" t="n">
        <f aca="false">IFERROR(H40/H$58,0)</f>
        <v>0.0163127290837524</v>
      </c>
      <c r="AG40" s="57" t="n">
        <f aca="false">IFERROR(P40/P$58,0)</f>
        <v>0.0160615517747909</v>
      </c>
      <c r="AH40" s="57" t="n">
        <f aca="false">IFERROR(Q40/Q$58,0)</f>
        <v>0.016530460734461</v>
      </c>
      <c r="AI40" s="57" t="n">
        <f aca="false">IFERROR(R40/R$58,0)</f>
        <v>0.0154735282015168</v>
      </c>
      <c r="AJ40" s="49" t="n">
        <f aca="false">K40-N40</f>
        <v>330417.45</v>
      </c>
      <c r="AK40" s="57" t="n">
        <f aca="false">IFERROR(I40/I$58,0)</f>
        <v>0.0157848879189031</v>
      </c>
    </row>
    <row r="41" customFormat="false" ht="15" hidden="false" customHeight="false" outlineLevel="0" collapsed="false">
      <c r="A41" s="13" t="n">
        <v>36</v>
      </c>
      <c r="B41" s="53" t="s">
        <v>433</v>
      </c>
      <c r="C41" s="54" t="n">
        <v>79307</v>
      </c>
      <c r="D41" s="54" t="n">
        <v>45885</v>
      </c>
      <c r="E41" s="54" t="n">
        <v>9488</v>
      </c>
      <c r="F41" s="54" t="n">
        <v>125722</v>
      </c>
      <c r="G41" s="54" t="n">
        <v>58946</v>
      </c>
      <c r="H41" s="54" t="n">
        <v>22151</v>
      </c>
      <c r="I41" s="55" t="n">
        <f aca="false">SUM(C41:H41)</f>
        <v>341499</v>
      </c>
      <c r="J41" s="54" t="n">
        <v>8566</v>
      </c>
      <c r="K41" s="56" t="n">
        <v>607686.46</v>
      </c>
      <c r="L41" s="54" t="n">
        <v>16410</v>
      </c>
      <c r="M41" s="56" t="n">
        <v>167820.32</v>
      </c>
      <c r="N41" s="56" t="n">
        <v>152627.68</v>
      </c>
      <c r="O41" s="54" t="n">
        <v>3967</v>
      </c>
      <c r="P41" s="56" t="n">
        <v>37885.74</v>
      </c>
      <c r="Q41" s="56" t="n">
        <v>15980.36</v>
      </c>
      <c r="R41" s="56" t="n">
        <v>2063.56</v>
      </c>
      <c r="S41" s="27"/>
      <c r="T41" s="27"/>
      <c r="U41" s="57" t="n">
        <f aca="false">IFERROR(J41/I41,0)</f>
        <v>0.0250835287951063</v>
      </c>
      <c r="V41" s="58" t="n">
        <f aca="false">IFERROR(K41/J41,0)</f>
        <v>70.9416833994863</v>
      </c>
      <c r="W41" s="59" t="n">
        <f aca="false">IFERROR(L41/J41,0)</f>
        <v>1.91571328508055</v>
      </c>
      <c r="X41" s="22" t="n">
        <f aca="false">IFERROR(M41/(K41+M41),0)</f>
        <v>0.216400841782454</v>
      </c>
      <c r="Y41" s="22" t="n">
        <f aca="false">IFERROR(N41/K41,0)</f>
        <v>0.251161890294544</v>
      </c>
      <c r="Z41" s="22" t="n">
        <f aca="false">IFERROR(O41/J41,0)</f>
        <v>0.463109969647443</v>
      </c>
      <c r="AA41" s="58" t="n">
        <f aca="false">IFERROR(P41/C41,0)</f>
        <v>0.477709912113685</v>
      </c>
      <c r="AB41" s="58" t="n">
        <f aca="false">IFERROR(Q41/D41,0)</f>
        <v>0.348269804947151</v>
      </c>
      <c r="AC41" s="58" t="n">
        <f aca="false">IFERROR(R41/E41,0)</f>
        <v>0.217491568296796</v>
      </c>
      <c r="AD41" s="57" t="n">
        <f aca="false">IFERROR(F41/F$58,0)</f>
        <v>0.0192428873851349</v>
      </c>
      <c r="AE41" s="57" t="n">
        <f aca="false">IFERROR(G41/G$58,0)</f>
        <v>0.0297252184787926</v>
      </c>
      <c r="AF41" s="57" t="n">
        <f aca="false">IFERROR(H41/H$58,0)</f>
        <v>0.0193542186360042</v>
      </c>
      <c r="AG41" s="57" t="n">
        <f aca="false">IFERROR(P41/P$58,0)</f>
        <v>0.0192856639008607</v>
      </c>
      <c r="AH41" s="57" t="n">
        <f aca="false">IFERROR(Q41/Q$58,0)</f>
        <v>0.0193831383619121</v>
      </c>
      <c r="AI41" s="57" t="n">
        <f aca="false">IFERROR(R41/R$58,0)</f>
        <v>0.0201500365101991</v>
      </c>
      <c r="AJ41" s="49" t="n">
        <f aca="false">K41-N41</f>
        <v>455058.78</v>
      </c>
      <c r="AK41" s="57" t="n">
        <f aca="false">IFERROR(I41/I$58,0)</f>
        <v>0.0206342933896956</v>
      </c>
    </row>
    <row r="42" customFormat="false" ht="15" hidden="false" customHeight="false" outlineLevel="0" collapsed="false">
      <c r="A42" s="13" t="n">
        <v>37</v>
      </c>
      <c r="B42" s="53"/>
      <c r="C42" s="54" t="n">
        <v>69726</v>
      </c>
      <c r="D42" s="54" t="n">
        <v>43499</v>
      </c>
      <c r="E42" s="54" t="n">
        <v>8442</v>
      </c>
      <c r="F42" s="54" t="n">
        <v>116851</v>
      </c>
      <c r="G42" s="54" t="n">
        <v>32518</v>
      </c>
      <c r="H42" s="54" t="n">
        <v>19526</v>
      </c>
      <c r="I42" s="55" t="n">
        <f aca="false">SUM(C42:H42)</f>
        <v>290562</v>
      </c>
      <c r="J42" s="54" t="n">
        <v>6514</v>
      </c>
      <c r="K42" s="56" t="n">
        <v>494629.75</v>
      </c>
      <c r="L42" s="54" t="n">
        <v>12429</v>
      </c>
      <c r="M42" s="56" t="n">
        <v>43372.52</v>
      </c>
      <c r="N42" s="56" t="n">
        <v>129328.43</v>
      </c>
      <c r="O42" s="54" t="n">
        <v>2217</v>
      </c>
      <c r="P42" s="56" t="n">
        <v>33132.71</v>
      </c>
      <c r="Q42" s="56" t="n">
        <v>15757.14</v>
      </c>
      <c r="R42" s="56" t="n">
        <v>1718.92</v>
      </c>
      <c r="S42" s="27"/>
      <c r="T42" s="27"/>
      <c r="U42" s="57" t="n">
        <f aca="false">IFERROR(J42/I42,0)</f>
        <v>0.0224186232198292</v>
      </c>
      <c r="V42" s="58" t="n">
        <f aca="false">IFERROR(K42/J42,0)</f>
        <v>75.9333358919251</v>
      </c>
      <c r="W42" s="59" t="n">
        <f aca="false">IFERROR(L42/J42,0)</f>
        <v>1.90804421246546</v>
      </c>
      <c r="X42" s="22" t="n">
        <f aca="false">IFERROR(M42/(K42+M42),0)</f>
        <v>0.0806177267616361</v>
      </c>
      <c r="Y42" s="22" t="n">
        <f aca="false">IFERROR(N42/K42,0)</f>
        <v>0.26146512618782</v>
      </c>
      <c r="Z42" s="22" t="n">
        <f aca="false">IFERROR(O42/J42,0)</f>
        <v>0.340343874731348</v>
      </c>
      <c r="AA42" s="58" t="n">
        <f aca="false">IFERROR(P42/C42,0)</f>
        <v>0.475184436221782</v>
      </c>
      <c r="AB42" s="58" t="n">
        <f aca="false">IFERROR(Q42/D42,0)</f>
        <v>0.362241430837491</v>
      </c>
      <c r="AC42" s="58" t="n">
        <f aca="false">IFERROR(R42/E42,0)</f>
        <v>0.203615257048093</v>
      </c>
      <c r="AD42" s="57" t="n">
        <f aca="false">IFERROR(F42/F$58,0)</f>
        <v>0.017885100728913</v>
      </c>
      <c r="AE42" s="57" t="n">
        <f aca="false">IFERROR(G42/G$58,0)</f>
        <v>0.0163981382026495</v>
      </c>
      <c r="AF42" s="57" t="n">
        <f aca="false">IFERROR(H42/H$58,0)</f>
        <v>0.017060650674309</v>
      </c>
      <c r="AG42" s="57" t="n">
        <f aca="false">IFERROR(P42/P$58,0)</f>
        <v>0.0168661430180508</v>
      </c>
      <c r="AH42" s="57" t="n">
        <f aca="false">IFERROR(Q42/Q$58,0)</f>
        <v>0.0191123870055505</v>
      </c>
      <c r="AI42" s="57" t="n">
        <f aca="false">IFERROR(R42/R$58,0)</f>
        <v>0.0167847316085365</v>
      </c>
      <c r="AJ42" s="49" t="n">
        <f aca="false">K42-N42</f>
        <v>365301.32</v>
      </c>
      <c r="AK42" s="57" t="n">
        <f aca="false">IFERROR(I42/I$58,0)</f>
        <v>0.0175565420569218</v>
      </c>
    </row>
    <row r="43" customFormat="false" ht="15" hidden="false" customHeight="false" outlineLevel="0" collapsed="false">
      <c r="A43" s="13" t="n">
        <v>38</v>
      </c>
      <c r="B43" s="53"/>
      <c r="C43" s="54" t="n">
        <v>85922</v>
      </c>
      <c r="D43" s="54" t="n">
        <v>47440</v>
      </c>
      <c r="E43" s="54" t="n">
        <v>9450</v>
      </c>
      <c r="F43" s="54" t="n">
        <v>134996</v>
      </c>
      <c r="G43" s="54" t="n">
        <v>34561</v>
      </c>
      <c r="H43" s="54" t="n">
        <v>23364</v>
      </c>
      <c r="I43" s="55" t="n">
        <f aca="false">SUM(C43:H43)</f>
        <v>335733</v>
      </c>
      <c r="J43" s="54" t="n">
        <v>7205</v>
      </c>
      <c r="K43" s="56" t="n">
        <v>543433.49</v>
      </c>
      <c r="L43" s="54" t="n">
        <v>13869</v>
      </c>
      <c r="M43" s="56" t="n">
        <v>46009.19</v>
      </c>
      <c r="N43" s="56" t="n">
        <v>143988.94</v>
      </c>
      <c r="O43" s="54" t="n">
        <v>2374</v>
      </c>
      <c r="P43" s="56" t="n">
        <v>39427.43</v>
      </c>
      <c r="Q43" s="56" t="n">
        <v>17129.66</v>
      </c>
      <c r="R43" s="56" t="n">
        <v>1923.51</v>
      </c>
      <c r="S43" s="27"/>
      <c r="T43" s="27"/>
      <c r="U43" s="57" t="n">
        <f aca="false">IFERROR(J43/I43,0)</f>
        <v>0.0214605058186118</v>
      </c>
      <c r="V43" s="58" t="n">
        <f aca="false">IFERROR(K43/J43,0)</f>
        <v>75.4244954892436</v>
      </c>
      <c r="W43" s="59" t="n">
        <f aca="false">IFERROR(L43/J43,0)</f>
        <v>1.92491325468425</v>
      </c>
      <c r="X43" s="22" t="n">
        <f aca="false">IFERROR(M43/(K43+M43),0)</f>
        <v>0.0780554099000771</v>
      </c>
      <c r="Y43" s="22" t="n">
        <f aca="false">IFERROR(N43/K43,0)</f>
        <v>0.264961476702512</v>
      </c>
      <c r="Z43" s="22" t="n">
        <f aca="false">IFERROR(O43/J43,0)</f>
        <v>0.329493407356003</v>
      </c>
      <c r="AA43" s="58" t="n">
        <f aca="false">IFERROR(P43/C43,0)</f>
        <v>0.458874677032658</v>
      </c>
      <c r="AB43" s="58" t="n">
        <f aca="false">IFERROR(Q43/D43,0)</f>
        <v>0.361080522765599</v>
      </c>
      <c r="AC43" s="58" t="n">
        <f aca="false">IFERROR(R43/E43,0)</f>
        <v>0.203546031746032</v>
      </c>
      <c r="AD43" s="57" t="n">
        <f aca="false">IFERROR(F43/F$58,0)</f>
        <v>0.0206623568304965</v>
      </c>
      <c r="AE43" s="57" t="n">
        <f aca="false">IFERROR(G43/G$58,0)</f>
        <v>0.0174283798026253</v>
      </c>
      <c r="AF43" s="57" t="n">
        <f aca="false">IFERROR(H43/H$58,0)</f>
        <v>0.0204140654693514</v>
      </c>
      <c r="AG43" s="57" t="n">
        <f aca="false">IFERROR(P43/P$58,0)</f>
        <v>0.0200704582635766</v>
      </c>
      <c r="AH43" s="57" t="n">
        <f aca="false">IFERROR(Q43/Q$58,0)</f>
        <v>0.0207771645865619</v>
      </c>
      <c r="AI43" s="57" t="n">
        <f aca="false">IFERROR(R43/R$58,0)</f>
        <v>0.0187824908060503</v>
      </c>
      <c r="AJ43" s="49" t="n">
        <f aca="false">K43-N43</f>
        <v>399444.55</v>
      </c>
      <c r="AK43" s="57" t="n">
        <f aca="false">IFERROR(I43/I$58,0)</f>
        <v>0.0202858960717387</v>
      </c>
    </row>
    <row r="44" customFormat="false" ht="15" hidden="false" customHeight="false" outlineLevel="0" collapsed="false">
      <c r="A44" s="13" t="n">
        <v>39</v>
      </c>
      <c r="B44" s="53"/>
      <c r="C44" s="54" t="n">
        <v>77220</v>
      </c>
      <c r="D44" s="54" t="n">
        <v>47087</v>
      </c>
      <c r="E44" s="54" t="n">
        <v>9301</v>
      </c>
      <c r="F44" s="54" t="n">
        <v>121178</v>
      </c>
      <c r="G44" s="54" t="n">
        <v>33853</v>
      </c>
      <c r="H44" s="54" t="n">
        <v>22554</v>
      </c>
      <c r="I44" s="55" t="n">
        <f aca="false">SUM(C44:H44)</f>
        <v>311193</v>
      </c>
      <c r="J44" s="54" t="n">
        <v>6807</v>
      </c>
      <c r="K44" s="56" t="n">
        <v>533176.2</v>
      </c>
      <c r="L44" s="54" t="n">
        <v>12709</v>
      </c>
      <c r="M44" s="56" t="n">
        <v>49103.49</v>
      </c>
      <c r="N44" s="56" t="n">
        <v>145142.57</v>
      </c>
      <c r="O44" s="54" t="n">
        <v>2249</v>
      </c>
      <c r="P44" s="56" t="n">
        <v>37271.68</v>
      </c>
      <c r="Q44" s="56" t="n">
        <v>16329.16</v>
      </c>
      <c r="R44" s="56" t="n">
        <v>1925.89</v>
      </c>
      <c r="S44" s="27"/>
      <c r="T44" s="27"/>
      <c r="U44" s="57" t="n">
        <f aca="false">IFERROR(J44/I44,0)</f>
        <v>0.0218738853380378</v>
      </c>
      <c r="V44" s="58" t="n">
        <f aca="false">IFERROR(K44/J44,0)</f>
        <v>78.3276333186426</v>
      </c>
      <c r="W44" s="59" t="n">
        <f aca="false">IFERROR(L44/J44,0)</f>
        <v>1.86704862641399</v>
      </c>
      <c r="X44" s="22" t="n">
        <f aca="false">IFERROR(M44/(K44+M44),0)</f>
        <v>0.084329731644942</v>
      </c>
      <c r="Y44" s="22" t="n">
        <f aca="false">IFERROR(N44/K44,0)</f>
        <v>0.272222522310636</v>
      </c>
      <c r="Z44" s="22" t="n">
        <f aca="false">IFERROR(O44/J44,0)</f>
        <v>0.33039518143088</v>
      </c>
      <c r="AA44" s="58" t="n">
        <f aca="false">IFERROR(P44/C44,0)</f>
        <v>0.482668738668739</v>
      </c>
      <c r="AB44" s="58" t="n">
        <f aca="false">IFERROR(Q44/D44,0)</f>
        <v>0.346787011276998</v>
      </c>
      <c r="AC44" s="58" t="n">
        <f aca="false">IFERROR(R44/E44,0)</f>
        <v>0.207062681432104</v>
      </c>
      <c r="AD44" s="57" t="n">
        <f aca="false">IFERROR(F44/F$58,0)</f>
        <v>0.0185473871522556</v>
      </c>
      <c r="AE44" s="57" t="n">
        <f aca="false">IFERROR(G44/G$58,0)</f>
        <v>0.0170713504082137</v>
      </c>
      <c r="AF44" s="57" t="n">
        <f aca="false">IFERROR(H44/H$58,0)</f>
        <v>0.0197063359268854</v>
      </c>
      <c r="AG44" s="57" t="n">
        <f aca="false">IFERROR(P44/P$58,0)</f>
        <v>0.0189730778255996</v>
      </c>
      <c r="AH44" s="57" t="n">
        <f aca="false">IFERROR(Q44/Q$58,0)</f>
        <v>0.0198062100987587</v>
      </c>
      <c r="AI44" s="57" t="n">
        <f aca="false">IFERROR(R44/R$58,0)</f>
        <v>0.018805730783029</v>
      </c>
      <c r="AJ44" s="49" t="n">
        <f aca="false">K44-N44</f>
        <v>388033.63</v>
      </c>
      <c r="AK44" s="57" t="n">
        <f aca="false">IFERROR(I44/I$58,0)</f>
        <v>0.0188031228870935</v>
      </c>
    </row>
    <row r="45" customFormat="false" ht="15" hidden="false" customHeight="false" outlineLevel="0" collapsed="false">
      <c r="A45" s="13" t="n">
        <v>40</v>
      </c>
      <c r="B45" s="53"/>
      <c r="C45" s="54" t="n">
        <v>77242</v>
      </c>
      <c r="D45" s="54" t="n">
        <v>40976</v>
      </c>
      <c r="E45" s="54" t="n">
        <v>9225</v>
      </c>
      <c r="F45" s="54" t="n">
        <v>125961</v>
      </c>
      <c r="G45" s="54" t="n">
        <v>33607</v>
      </c>
      <c r="H45" s="54" t="n">
        <v>21689</v>
      </c>
      <c r="I45" s="55" t="n">
        <f aca="false">SUM(C45:H45)</f>
        <v>308700</v>
      </c>
      <c r="J45" s="54" t="n">
        <v>6624</v>
      </c>
      <c r="K45" s="56" t="n">
        <v>511719.04</v>
      </c>
      <c r="L45" s="54" t="n">
        <v>12534</v>
      </c>
      <c r="M45" s="56" t="n">
        <v>47979.3</v>
      </c>
      <c r="N45" s="56" t="n">
        <v>128635.01</v>
      </c>
      <c r="O45" s="54" t="n">
        <v>2257</v>
      </c>
      <c r="P45" s="56" t="n">
        <v>38185.64</v>
      </c>
      <c r="Q45" s="56" t="n">
        <v>14601.92</v>
      </c>
      <c r="R45" s="56" t="n">
        <v>2014.29</v>
      </c>
      <c r="S45" s="27"/>
      <c r="T45" s="27"/>
      <c r="U45" s="57" t="n">
        <f aca="false">IFERROR(J45/I45,0)</f>
        <v>0.0214577259475219</v>
      </c>
      <c r="V45" s="58" t="n">
        <f aca="false">IFERROR(K45/J45,0)</f>
        <v>77.252270531401</v>
      </c>
      <c r="W45" s="59" t="n">
        <f aca="false">IFERROR(L45/J45,0)</f>
        <v>1.89221014492754</v>
      </c>
      <c r="X45" s="22" t="n">
        <f aca="false">IFERROR(M45/(K45+M45),0)</f>
        <v>0.0857234988404647</v>
      </c>
      <c r="Y45" s="22" t="n">
        <f aca="false">IFERROR(N45/K45,0)</f>
        <v>0.251378197692234</v>
      </c>
      <c r="Z45" s="22" t="n">
        <f aca="false">IFERROR(O45/J45,0)</f>
        <v>0.340730676328502</v>
      </c>
      <c r="AA45" s="58" t="n">
        <f aca="false">IFERROR(P45/C45,0)</f>
        <v>0.494363688148935</v>
      </c>
      <c r="AB45" s="58" t="n">
        <f aca="false">IFERROR(Q45/D45,0)</f>
        <v>0.356352987114408</v>
      </c>
      <c r="AC45" s="58" t="n">
        <f aca="false">IFERROR(R45/E45,0)</f>
        <v>0.218351219512195</v>
      </c>
      <c r="AD45" s="57" t="n">
        <f aca="false">IFERROR(F45/F$58,0)</f>
        <v>0.0192794684933344</v>
      </c>
      <c r="AE45" s="57" t="n">
        <f aca="false">IFERROR(G45/G$58,0)</f>
        <v>0.0169472978220198</v>
      </c>
      <c r="AF45" s="57" t="n">
        <f aca="false">IFERROR(H45/H$58,0)</f>
        <v>0.0189505506747459</v>
      </c>
      <c r="AG45" s="57" t="n">
        <f aca="false">IFERROR(P45/P$58,0)</f>
        <v>0.0194383274255502</v>
      </c>
      <c r="AH45" s="57" t="n">
        <f aca="false">IFERROR(Q45/Q$58,0)</f>
        <v>0.0177111802055505</v>
      </c>
      <c r="AI45" s="57" t="n">
        <f aca="false">IFERROR(R45/R$58,0)</f>
        <v>0.0196689299279541</v>
      </c>
      <c r="AJ45" s="49" t="n">
        <f aca="false">K45-N45</f>
        <v>383084.03</v>
      </c>
      <c r="AK45" s="57" t="n">
        <f aca="false">IFERROR(I45/I$58,0)</f>
        <v>0.0186524890831277</v>
      </c>
    </row>
    <row r="46" customFormat="false" ht="15" hidden="false" customHeight="false" outlineLevel="0" collapsed="false">
      <c r="A46" s="13" t="n">
        <v>41</v>
      </c>
      <c r="B46" s="53"/>
      <c r="C46" s="54" t="n">
        <v>74594</v>
      </c>
      <c r="D46" s="54" t="n">
        <v>43316</v>
      </c>
      <c r="E46" s="54" t="n">
        <v>8617</v>
      </c>
      <c r="F46" s="54" t="n">
        <v>127846</v>
      </c>
      <c r="G46" s="54" t="n">
        <v>34370</v>
      </c>
      <c r="H46" s="54" t="n">
        <v>20547</v>
      </c>
      <c r="I46" s="55" t="n">
        <f aca="false">SUM(C46:H46)</f>
        <v>309290</v>
      </c>
      <c r="J46" s="54" t="n">
        <v>6845</v>
      </c>
      <c r="K46" s="56" t="n">
        <v>521292.52</v>
      </c>
      <c r="L46" s="54" t="n">
        <v>13427</v>
      </c>
      <c r="M46" s="56" t="n">
        <v>43249.9</v>
      </c>
      <c r="N46" s="56" t="n">
        <v>130079.56</v>
      </c>
      <c r="O46" s="54" t="n">
        <v>2401</v>
      </c>
      <c r="P46" s="56" t="n">
        <v>34939.46</v>
      </c>
      <c r="Q46" s="56" t="n">
        <v>15929.36</v>
      </c>
      <c r="R46" s="56" t="n">
        <v>1737.05</v>
      </c>
      <c r="S46" s="27"/>
      <c r="T46" s="27"/>
      <c r="U46" s="57" t="n">
        <f aca="false">IFERROR(J46/I46,0)</f>
        <v>0.0221313330531217</v>
      </c>
      <c r="V46" s="58" t="n">
        <f aca="false">IFERROR(K46/J46,0)</f>
        <v>76.1566866325785</v>
      </c>
      <c r="W46" s="59" t="n">
        <f aca="false">IFERROR(L46/J46,0)</f>
        <v>1.96157779401023</v>
      </c>
      <c r="X46" s="22" t="n">
        <f aca="false">IFERROR(M46/(K46+M46),0)</f>
        <v>0.0766105406215533</v>
      </c>
      <c r="Y46" s="22" t="n">
        <f aca="false">IFERROR(N46/K46,0)</f>
        <v>0.249532757538896</v>
      </c>
      <c r="Z46" s="22" t="n">
        <f aca="false">IFERROR(O46/J46,0)</f>
        <v>0.350766983199416</v>
      </c>
      <c r="AA46" s="58" t="n">
        <f aca="false">IFERROR(P46/C46,0)</f>
        <v>0.468395045177896</v>
      </c>
      <c r="AB46" s="58" t="n">
        <f aca="false">IFERROR(Q46/D46,0)</f>
        <v>0.367747714470404</v>
      </c>
      <c r="AC46" s="58" t="n">
        <f aca="false">IFERROR(R46/E46,0)</f>
        <v>0.201584077985378</v>
      </c>
      <c r="AD46" s="57" t="n">
        <f aca="false">IFERROR(F46/F$58,0)</f>
        <v>0.0195679847651164</v>
      </c>
      <c r="AE46" s="57" t="n">
        <f aca="false">IFERROR(G46/G$58,0)</f>
        <v>0.0173320625507431</v>
      </c>
      <c r="AF46" s="57" t="n">
        <f aca="false">IFERROR(H46/H$58,0)</f>
        <v>0.0179527393938864</v>
      </c>
      <c r="AG46" s="57" t="n">
        <f aca="false">IFERROR(P46/P$58,0)</f>
        <v>0.0177858656697102</v>
      </c>
      <c r="AH46" s="57" t="n">
        <f aca="false">IFERROR(Q46/Q$58,0)</f>
        <v>0.0193212786756186</v>
      </c>
      <c r="AI46" s="57" t="n">
        <f aca="false">IFERROR(R46/R$58,0)</f>
        <v>0.0169617655508158</v>
      </c>
      <c r="AJ46" s="49" t="n">
        <f aca="false">K46-N46</f>
        <v>391212.96</v>
      </c>
      <c r="AK46" s="57" t="n">
        <f aca="false">IFERROR(I46/I$58,0)</f>
        <v>0.0186881384791726</v>
      </c>
    </row>
    <row r="47" customFormat="false" ht="15" hidden="false" customHeight="false" outlineLevel="0" collapsed="false">
      <c r="A47" s="13" t="n">
        <v>42</v>
      </c>
      <c r="B47" s="53"/>
      <c r="C47" s="54" t="n">
        <v>72281</v>
      </c>
      <c r="D47" s="54" t="n">
        <v>43826</v>
      </c>
      <c r="E47" s="54" t="n">
        <v>9463</v>
      </c>
      <c r="F47" s="54" t="n">
        <v>114999</v>
      </c>
      <c r="G47" s="54" t="n">
        <v>33211</v>
      </c>
      <c r="H47" s="54" t="n">
        <v>19774</v>
      </c>
      <c r="I47" s="55" t="n">
        <f aca="false">SUM(C47:H47)</f>
        <v>293554</v>
      </c>
      <c r="J47" s="54" t="n">
        <v>6362</v>
      </c>
      <c r="K47" s="56" t="n">
        <v>500784.52</v>
      </c>
      <c r="L47" s="54" t="n">
        <v>12252</v>
      </c>
      <c r="M47" s="56" t="n">
        <v>44301.02</v>
      </c>
      <c r="N47" s="56" t="n">
        <v>132450.99</v>
      </c>
      <c r="O47" s="54" t="n">
        <v>2216</v>
      </c>
      <c r="P47" s="56" t="n">
        <v>33609.47</v>
      </c>
      <c r="Q47" s="56" t="n">
        <v>16377.84</v>
      </c>
      <c r="R47" s="56" t="n">
        <v>1977.48</v>
      </c>
      <c r="S47" s="27"/>
      <c r="T47" s="27"/>
      <c r="U47" s="57" t="n">
        <f aca="false">IFERROR(J47/I47,0)</f>
        <v>0.0216723328586904</v>
      </c>
      <c r="V47" s="58" t="n">
        <f aca="false">IFERROR(K47/J47,0)</f>
        <v>78.7149512731845</v>
      </c>
      <c r="W47" s="59" t="n">
        <f aca="false">IFERROR(L47/J47,0)</f>
        <v>1.92580949386985</v>
      </c>
      <c r="X47" s="22" t="n">
        <f aca="false">IFERROR(M47/(K47+M47),0)</f>
        <v>0.0812735190150155</v>
      </c>
      <c r="Y47" s="22" t="n">
        <f aca="false">IFERROR(N47/K47,0)</f>
        <v>0.264486989334255</v>
      </c>
      <c r="Z47" s="22" t="n">
        <f aca="false">IFERROR(O47/J47,0)</f>
        <v>0.348318138950016</v>
      </c>
      <c r="AA47" s="58" t="n">
        <f aca="false">IFERROR(P47/C47,0)</f>
        <v>0.464983467301227</v>
      </c>
      <c r="AB47" s="58" t="n">
        <f aca="false">IFERROR(Q47/D47,0)</f>
        <v>0.373701455756857</v>
      </c>
      <c r="AC47" s="58" t="n">
        <f aca="false">IFERROR(R47/E47,0)</f>
        <v>0.20896967135158</v>
      </c>
      <c r="AD47" s="57" t="n">
        <f aca="false">IFERROR(F47/F$58,0)</f>
        <v>0.0176016354051251</v>
      </c>
      <c r="AE47" s="57" t="n">
        <f aca="false">IFERROR(G47/G$58,0)</f>
        <v>0.0167476034149761</v>
      </c>
      <c r="AF47" s="57" t="n">
        <f aca="false">IFERROR(H47/H$58,0)</f>
        <v>0.0172773382379282</v>
      </c>
      <c r="AG47" s="57" t="n">
        <f aca="false">IFERROR(P47/P$58,0)</f>
        <v>0.017108836789411</v>
      </c>
      <c r="AH47" s="57" t="n">
        <f aca="false">IFERROR(Q47/Q$58,0)</f>
        <v>0.0198652557757934</v>
      </c>
      <c r="AI47" s="57" t="n">
        <f aca="false">IFERROR(R47/R$58,0)</f>
        <v>0.0193094914604802</v>
      </c>
      <c r="AJ47" s="49" t="n">
        <f aca="false">K47-N47</f>
        <v>368333.53</v>
      </c>
      <c r="AK47" s="57" t="n">
        <f aca="false">IFERROR(I47/I$58,0)</f>
        <v>0.0177373267907628</v>
      </c>
    </row>
    <row r="48" customFormat="false" ht="15" hidden="false" customHeight="false" outlineLevel="0" collapsed="false">
      <c r="A48" s="13" t="n">
        <v>43</v>
      </c>
      <c r="B48" s="53" t="s">
        <v>438</v>
      </c>
      <c r="C48" s="54" t="n">
        <v>160104</v>
      </c>
      <c r="D48" s="54" t="n">
        <v>86526</v>
      </c>
      <c r="E48" s="54" t="n">
        <v>17793</v>
      </c>
      <c r="F48" s="54" t="n">
        <v>236874</v>
      </c>
      <c r="G48" s="54" t="n">
        <v>109866</v>
      </c>
      <c r="H48" s="54" t="n">
        <v>43946</v>
      </c>
      <c r="I48" s="55" t="n">
        <f aca="false">SUM(C48:H48)</f>
        <v>655109</v>
      </c>
      <c r="J48" s="54" t="n">
        <v>19715</v>
      </c>
      <c r="K48" s="56" t="n">
        <v>1402367.26</v>
      </c>
      <c r="L48" s="54" t="n">
        <v>36806</v>
      </c>
      <c r="M48" s="56" t="n">
        <v>444279.65</v>
      </c>
      <c r="N48" s="56" t="n">
        <v>385519.4</v>
      </c>
      <c r="O48" s="54" t="n">
        <v>8773</v>
      </c>
      <c r="P48" s="56" t="n">
        <v>76256.36</v>
      </c>
      <c r="Q48" s="56" t="n">
        <v>31155.22</v>
      </c>
      <c r="R48" s="56" t="n">
        <v>3593.97</v>
      </c>
      <c r="S48" s="27"/>
      <c r="T48" s="27"/>
      <c r="U48" s="57" t="n">
        <f aca="false">IFERROR(J48/I48,0)</f>
        <v>0.0300942285940202</v>
      </c>
      <c r="V48" s="58" t="n">
        <f aca="false">IFERROR(K48/J48,0)</f>
        <v>71.131993913264</v>
      </c>
      <c r="W48" s="59" t="n">
        <f aca="false">IFERROR(L48/J48,0)</f>
        <v>1.86690337306619</v>
      </c>
      <c r="X48" s="22" t="n">
        <f aca="false">IFERROR(M48/(K48+M48),0)</f>
        <v>0.240587221950297</v>
      </c>
      <c r="Y48" s="22" t="n">
        <f aca="false">IFERROR(N48/K48,0)</f>
        <v>0.274906161172074</v>
      </c>
      <c r="Z48" s="22" t="n">
        <f aca="false">IFERROR(O48/J48,0)</f>
        <v>0.444991123510018</v>
      </c>
      <c r="AA48" s="58" t="n">
        <f aca="false">IFERROR(P48/C48,0)</f>
        <v>0.476292659771149</v>
      </c>
      <c r="AB48" s="58" t="n">
        <f aca="false">IFERROR(Q48/D48,0)</f>
        <v>0.360067725308</v>
      </c>
      <c r="AC48" s="58" t="n">
        <f aca="false">IFERROR(R48/E48,0)</f>
        <v>0.201987860394537</v>
      </c>
      <c r="AD48" s="57" t="n">
        <f aca="false">IFERROR(F48/F$58,0)</f>
        <v>0.0362557047013765</v>
      </c>
      <c r="AE48" s="57" t="n">
        <f aca="false">IFERROR(G48/G$58,0)</f>
        <v>0.0554030952633092</v>
      </c>
      <c r="AF48" s="57" t="n">
        <f aca="false">IFERROR(H48/H$58,0)</f>
        <v>0.0383973857693938</v>
      </c>
      <c r="AG48" s="57" t="n">
        <f aca="false">IFERROR(P48/P$58,0)</f>
        <v>0.0388181550436402</v>
      </c>
      <c r="AH48" s="57" t="n">
        <f aca="false">IFERROR(Q48/Q$58,0)</f>
        <v>0.0377892575608942</v>
      </c>
      <c r="AI48" s="57" t="n">
        <f aca="false">IFERROR(R48/R$58,0)</f>
        <v>0.0350940252362715</v>
      </c>
      <c r="AJ48" s="49" t="n">
        <f aca="false">K48-N48</f>
        <v>1016847.86</v>
      </c>
      <c r="AK48" s="57" t="n">
        <f aca="false">IFERROR(I48/I$58,0)</f>
        <v>0.0395834579551627</v>
      </c>
    </row>
    <row r="49" customFormat="false" ht="15" hidden="false" customHeight="false" outlineLevel="0" collapsed="false">
      <c r="A49" s="13" t="n">
        <v>44</v>
      </c>
      <c r="B49" s="53" t="s">
        <v>440</v>
      </c>
      <c r="C49" s="54" t="n">
        <v>122388</v>
      </c>
      <c r="D49" s="54" t="n">
        <v>67282</v>
      </c>
      <c r="E49" s="54" t="n">
        <v>14390</v>
      </c>
      <c r="F49" s="54" t="n">
        <v>178799</v>
      </c>
      <c r="G49" s="54" t="n">
        <v>85571</v>
      </c>
      <c r="H49" s="54" t="n">
        <v>32630</v>
      </c>
      <c r="I49" s="55" t="n">
        <f aca="false">SUM(C49:H49)</f>
        <v>501060</v>
      </c>
      <c r="J49" s="54" t="n">
        <v>13271</v>
      </c>
      <c r="K49" s="56" t="n">
        <v>1020144.95</v>
      </c>
      <c r="L49" s="54" t="n">
        <v>24503</v>
      </c>
      <c r="M49" s="56" t="n">
        <v>282129.43</v>
      </c>
      <c r="N49" s="56" t="n">
        <v>293328.91</v>
      </c>
      <c r="O49" s="54" t="n">
        <v>5843</v>
      </c>
      <c r="P49" s="56" t="n">
        <v>58261.13</v>
      </c>
      <c r="Q49" s="56" t="n">
        <v>23675.46</v>
      </c>
      <c r="R49" s="56" t="n">
        <v>2914.76</v>
      </c>
      <c r="S49" s="27"/>
      <c r="T49" s="27"/>
      <c r="U49" s="57" t="n">
        <f aca="false">IFERROR(J49/I49,0)</f>
        <v>0.0264858499980042</v>
      </c>
      <c r="V49" s="58" t="n">
        <f aca="false">IFERROR(K49/J49,0)</f>
        <v>76.8702396202246</v>
      </c>
      <c r="W49" s="59" t="n">
        <f aca="false">IFERROR(L49/J49,0)</f>
        <v>1.84635671765504</v>
      </c>
      <c r="X49" s="22" t="n">
        <f aca="false">IFERROR(M49/(K49+M49),0)</f>
        <v>0.216643615456829</v>
      </c>
      <c r="Y49" s="22" t="n">
        <f aca="false">IFERROR(N49/K49,0)</f>
        <v>0.287536501553039</v>
      </c>
      <c r="Z49" s="22" t="n">
        <f aca="false">IFERROR(O49/J49,0)</f>
        <v>0.440283324542235</v>
      </c>
      <c r="AA49" s="58" t="n">
        <f aca="false">IFERROR(P49/C49,0)</f>
        <v>0.476036294407949</v>
      </c>
      <c r="AB49" s="58" t="n">
        <f aca="false">IFERROR(Q49/D49,0)</f>
        <v>0.351884010582325</v>
      </c>
      <c r="AC49" s="58" t="n">
        <f aca="false">IFERROR(R49/E49,0)</f>
        <v>0.202554551772064</v>
      </c>
      <c r="AD49" s="57" t="n">
        <f aca="false">IFERROR(F49/F$58,0)</f>
        <v>0.0273668015269781</v>
      </c>
      <c r="AE49" s="57" t="n">
        <f aca="false">IFERROR(G49/G$58,0)</f>
        <v>0.0431516416796518</v>
      </c>
      <c r="AF49" s="57" t="n">
        <f aca="false">IFERROR(H49/H$58,0)</f>
        <v>0.0285101419390916</v>
      </c>
      <c r="AG49" s="57" t="n">
        <f aca="false">IFERROR(P49/P$58,0)</f>
        <v>0.0296577174331121</v>
      </c>
      <c r="AH49" s="57" t="n">
        <f aca="false">IFERROR(Q49/Q$58,0)</f>
        <v>0.028716794675584</v>
      </c>
      <c r="AI49" s="57" t="n">
        <f aca="false">IFERROR(R49/R$58,0)</f>
        <v>0.0284617459237764</v>
      </c>
      <c r="AJ49" s="49" t="n">
        <f aca="false">K49-N49</f>
        <v>726816.04</v>
      </c>
      <c r="AK49" s="57" t="n">
        <f aca="false">IFERROR(I49/I$58,0)</f>
        <v>0.0302754006478522</v>
      </c>
    </row>
    <row r="50" customFormat="false" ht="15" hidden="false" customHeight="false" outlineLevel="0" collapsed="false">
      <c r="A50" s="13" t="n">
        <v>45</v>
      </c>
      <c r="B50" s="53"/>
      <c r="C50" s="54" t="n">
        <v>108000</v>
      </c>
      <c r="D50" s="54" t="n">
        <v>58537</v>
      </c>
      <c r="E50" s="54" t="n">
        <v>13436</v>
      </c>
      <c r="F50" s="54" t="n">
        <v>167032</v>
      </c>
      <c r="G50" s="54" t="n">
        <v>44632</v>
      </c>
      <c r="H50" s="54" t="n">
        <v>28571</v>
      </c>
      <c r="I50" s="55" t="n">
        <f aca="false">SUM(C50:H50)</f>
        <v>420208</v>
      </c>
      <c r="J50" s="54" t="n">
        <v>10117</v>
      </c>
      <c r="K50" s="56" t="n">
        <v>862383.92</v>
      </c>
      <c r="L50" s="54" t="n">
        <v>18563</v>
      </c>
      <c r="M50" s="56" t="n">
        <v>69402.16</v>
      </c>
      <c r="N50" s="56" t="n">
        <v>230000.57</v>
      </c>
      <c r="O50" s="54" t="n">
        <v>3703</v>
      </c>
      <c r="P50" s="56" t="n">
        <v>51163.9</v>
      </c>
      <c r="Q50" s="56" t="n">
        <v>21015.98</v>
      </c>
      <c r="R50" s="56" t="n">
        <v>2930.05</v>
      </c>
      <c r="S50" s="27"/>
      <c r="T50" s="27"/>
      <c r="U50" s="57" t="n">
        <f aca="false">IFERROR(J50/I50,0)</f>
        <v>0.0240761718006321</v>
      </c>
      <c r="V50" s="58" t="n">
        <f aca="false">IFERROR(K50/J50,0)</f>
        <v>85.2410714638727</v>
      </c>
      <c r="W50" s="59" t="n">
        <f aca="false">IFERROR(L50/J50,0)</f>
        <v>1.83483246021548</v>
      </c>
      <c r="X50" s="22" t="n">
        <f aca="false">IFERROR(M50/(K50+M50),0)</f>
        <v>0.0744829328208037</v>
      </c>
      <c r="Y50" s="22" t="n">
        <f aca="false">IFERROR(N50/K50,0)</f>
        <v>0.266703221924639</v>
      </c>
      <c r="Z50" s="22" t="n">
        <f aca="false">IFERROR(O50/J50,0)</f>
        <v>0.366017594148463</v>
      </c>
      <c r="AA50" s="58" t="n">
        <f aca="false">IFERROR(P50/C50,0)</f>
        <v>0.473739814814815</v>
      </c>
      <c r="AB50" s="58" t="n">
        <f aca="false">IFERROR(Q50/D50,0)</f>
        <v>0.359020448605156</v>
      </c>
      <c r="AC50" s="58" t="n">
        <f aca="false">IFERROR(R50/E50,0)</f>
        <v>0.218074575766597</v>
      </c>
      <c r="AD50" s="57" t="n">
        <f aca="false">IFERROR(F50/F$58,0)</f>
        <v>0.0255657559195197</v>
      </c>
      <c r="AE50" s="57" t="n">
        <f aca="false">IFERROR(G50/G$58,0)</f>
        <v>0.0225069716544883</v>
      </c>
      <c r="AF50" s="57" t="n">
        <f aca="false">IFERROR(H50/H$58,0)</f>
        <v>0.0249636305651788</v>
      </c>
      <c r="AG50" s="57" t="n">
        <f aca="false">IFERROR(P50/P$58,0)</f>
        <v>0.0260448859981948</v>
      </c>
      <c r="AH50" s="57" t="n">
        <f aca="false">IFERROR(Q50/Q$58,0)</f>
        <v>0.0254910182343312</v>
      </c>
      <c r="AI50" s="57" t="n">
        <f aca="false">IFERROR(R50/R$58,0)</f>
        <v>0.0286110481288206</v>
      </c>
      <c r="AJ50" s="49" t="n">
        <f aca="false">K50-N50</f>
        <v>632383.35</v>
      </c>
      <c r="AK50" s="57" t="n">
        <f aca="false">IFERROR(I50/I$58,0)</f>
        <v>0.0253901040901942</v>
      </c>
    </row>
    <row r="51" customFormat="false" ht="15" hidden="false" customHeight="false" outlineLevel="0" collapsed="false">
      <c r="A51" s="13" t="n">
        <v>46</v>
      </c>
      <c r="B51" s="53"/>
      <c r="C51" s="54" t="n">
        <v>92458</v>
      </c>
      <c r="D51" s="54" t="n">
        <v>51868</v>
      </c>
      <c r="E51" s="54" t="n">
        <v>11810</v>
      </c>
      <c r="F51" s="54" t="n">
        <v>160529</v>
      </c>
      <c r="G51" s="54" t="n">
        <v>41580</v>
      </c>
      <c r="H51" s="54" t="n">
        <v>26148</v>
      </c>
      <c r="I51" s="55" t="n">
        <f aca="false">SUM(C51:H51)</f>
        <v>384393</v>
      </c>
      <c r="J51" s="54" t="n">
        <v>9059</v>
      </c>
      <c r="K51" s="56" t="n">
        <v>770908.4</v>
      </c>
      <c r="L51" s="54" t="n">
        <v>17531</v>
      </c>
      <c r="M51" s="56" t="n">
        <v>63629.02</v>
      </c>
      <c r="N51" s="56" t="n">
        <v>216255.43</v>
      </c>
      <c r="O51" s="54" t="n">
        <v>3122</v>
      </c>
      <c r="P51" s="56" t="n">
        <v>45763.85</v>
      </c>
      <c r="Q51" s="56" t="n">
        <v>19179.39</v>
      </c>
      <c r="R51" s="56" t="n">
        <v>2550.57</v>
      </c>
      <c r="S51" s="27"/>
      <c r="T51" s="27"/>
      <c r="U51" s="57" t="n">
        <f aca="false">IFERROR(J51/I51,0)</f>
        <v>0.0235670264546961</v>
      </c>
      <c r="V51" s="58" t="n">
        <f aca="false">IFERROR(K51/J51,0)</f>
        <v>85.0986201567502</v>
      </c>
      <c r="W51" s="59" t="n">
        <f aca="false">IFERROR(L51/J51,0)</f>
        <v>1.93520256098907</v>
      </c>
      <c r="X51" s="22" t="n">
        <f aca="false">IFERROR(M51/(K51+M51),0)</f>
        <v>0.0762446577889821</v>
      </c>
      <c r="Y51" s="22" t="n">
        <f aca="false">IFERROR(N51/K51,0)</f>
        <v>0.280520266739862</v>
      </c>
      <c r="Z51" s="22" t="n">
        <f aca="false">IFERROR(O51/J51,0)</f>
        <v>0.344629650071752</v>
      </c>
      <c r="AA51" s="58" t="n">
        <f aca="false">IFERROR(P51/C51,0)</f>
        <v>0.494969067035843</v>
      </c>
      <c r="AB51" s="58" t="n">
        <f aca="false">IFERROR(Q51/D51,0)</f>
        <v>0.36977307781291</v>
      </c>
      <c r="AC51" s="58" t="n">
        <f aca="false">IFERROR(R51/E51,0)</f>
        <v>0.215966977138019</v>
      </c>
      <c r="AD51" s="57" t="n">
        <f aca="false">IFERROR(F51/F$58,0)</f>
        <v>0.0245704130466293</v>
      </c>
      <c r="AE51" s="57" t="n">
        <f aca="false">IFERROR(G51/G$58,0)</f>
        <v>0.0209679127395955</v>
      </c>
      <c r="AF51" s="57" t="n">
        <f aca="false">IFERROR(H51/H$58,0)</f>
        <v>0.0228465581190122</v>
      </c>
      <c r="AG51" s="57" t="n">
        <f aca="false">IFERROR(P51/P$58,0)</f>
        <v>0.0232960008148027</v>
      </c>
      <c r="AH51" s="57" t="n">
        <f aca="false">IFERROR(Q51/Q$58,0)</f>
        <v>0.0232633538960995</v>
      </c>
      <c r="AI51" s="57" t="n">
        <f aca="false">IFERROR(R51/R$58,0)</f>
        <v>0.0249055412112168</v>
      </c>
      <c r="AJ51" s="49" t="n">
        <f aca="false">K51-N51</f>
        <v>554652.97</v>
      </c>
      <c r="AK51" s="57" t="n">
        <f aca="false">IFERROR(I51/I$58,0)</f>
        <v>0.0232260649048614</v>
      </c>
    </row>
    <row r="52" customFormat="false" ht="15" hidden="false" customHeight="false" outlineLevel="0" collapsed="false">
      <c r="A52" s="13" t="n">
        <v>47</v>
      </c>
      <c r="B52" s="53"/>
      <c r="C52" s="54" t="n">
        <v>70638</v>
      </c>
      <c r="D52" s="54" t="n">
        <v>39349</v>
      </c>
      <c r="E52" s="54" t="n">
        <v>8464</v>
      </c>
      <c r="F52" s="54" t="n">
        <v>108013</v>
      </c>
      <c r="G52" s="54" t="n">
        <v>31574</v>
      </c>
      <c r="H52" s="54" t="n">
        <v>19458</v>
      </c>
      <c r="I52" s="55" t="n">
        <f aca="false">SUM(C52:H52)</f>
        <v>277496</v>
      </c>
      <c r="J52" s="54" t="n">
        <v>6295</v>
      </c>
      <c r="K52" s="56" t="n">
        <v>494082.3</v>
      </c>
      <c r="L52" s="54" t="n">
        <v>12078</v>
      </c>
      <c r="M52" s="56" t="n">
        <v>45764.6</v>
      </c>
      <c r="N52" s="56" t="n">
        <v>133669.73</v>
      </c>
      <c r="O52" s="54" t="n">
        <v>2113</v>
      </c>
      <c r="P52" s="56" t="n">
        <v>35459.1</v>
      </c>
      <c r="Q52" s="56" t="n">
        <v>13976.39</v>
      </c>
      <c r="R52" s="56" t="n">
        <v>1697.24</v>
      </c>
      <c r="S52" s="27"/>
      <c r="T52" s="27"/>
      <c r="U52" s="57" t="n">
        <f aca="false">IFERROR(J52/I52,0)</f>
        <v>0.022685011675844</v>
      </c>
      <c r="V52" s="58" t="n">
        <f aca="false">IFERROR(K52/J52,0)</f>
        <v>78.4880540111199</v>
      </c>
      <c r="W52" s="59" t="n">
        <f aca="false">IFERROR(L52/J52,0)</f>
        <v>1.9186656076251</v>
      </c>
      <c r="X52" s="22" t="n">
        <f aca="false">IFERROR(M52/(K52+M52),0)</f>
        <v>0.0847732940580005</v>
      </c>
      <c r="Y52" s="22" t="n">
        <f aca="false">IFERROR(N52/K52,0)</f>
        <v>0.2705414259932</v>
      </c>
      <c r="Z52" s="22" t="n">
        <f aca="false">IFERROR(O52/J52,0)</f>
        <v>0.335663224781573</v>
      </c>
      <c r="AA52" s="58" t="n">
        <f aca="false">IFERROR(P52/C52,0)</f>
        <v>0.501983351737025</v>
      </c>
      <c r="AB52" s="58" t="n">
        <f aca="false">IFERROR(Q52/D52,0)</f>
        <v>0.355190474980304</v>
      </c>
      <c r="AC52" s="58" t="n">
        <f aca="false">IFERROR(R52/E52,0)</f>
        <v>0.200524574669187</v>
      </c>
      <c r="AD52" s="57" t="n">
        <f aca="false">IFERROR(F52/F$58,0)</f>
        <v>0.0165323650206852</v>
      </c>
      <c r="AE52" s="57" t="n">
        <f aca="false">IFERROR(G52/G$58,0)</f>
        <v>0.0159220990101007</v>
      </c>
      <c r="AF52" s="57" t="n">
        <f aca="false">IFERROR(H52/H$58,0)</f>
        <v>0.0170012363423489</v>
      </c>
      <c r="AG52" s="57" t="n">
        <f aca="false">IFERROR(P52/P$58,0)</f>
        <v>0.0180503874235269</v>
      </c>
      <c r="AH52" s="57" t="n">
        <f aca="false">IFERROR(Q52/Q$58,0)</f>
        <v>0.0169524529591351</v>
      </c>
      <c r="AI52" s="57" t="n">
        <f aca="false">IFERROR(R52/R$58,0)</f>
        <v>0.0165730329947132</v>
      </c>
      <c r="AJ52" s="49" t="n">
        <f aca="false">K52-N52</f>
        <v>360412.57</v>
      </c>
      <c r="AK52" s="57" t="n">
        <f aca="false">IFERROR(I52/I$58,0)</f>
        <v>0.0167670589912913</v>
      </c>
    </row>
    <row r="53" customFormat="false" ht="15" hidden="false" customHeight="false" outlineLevel="0" collapsed="false">
      <c r="A53" s="13" t="n">
        <v>48</v>
      </c>
      <c r="B53" s="53" t="s">
        <v>442</v>
      </c>
      <c r="C53" s="54" t="n">
        <v>118295</v>
      </c>
      <c r="D53" s="54" t="n">
        <v>64239</v>
      </c>
      <c r="E53" s="54" t="n">
        <v>14605</v>
      </c>
      <c r="F53" s="54" t="n">
        <v>186839</v>
      </c>
      <c r="G53" s="54" t="n">
        <v>88385</v>
      </c>
      <c r="H53" s="54" t="n">
        <v>31693</v>
      </c>
      <c r="I53" s="55" t="n">
        <f aca="false">SUM(C53:H53)</f>
        <v>504056</v>
      </c>
      <c r="J53" s="54" t="n">
        <v>14387</v>
      </c>
      <c r="K53" s="56" t="n">
        <v>982798.44</v>
      </c>
      <c r="L53" s="54" t="n">
        <v>26260</v>
      </c>
      <c r="M53" s="56" t="n">
        <v>468537.19</v>
      </c>
      <c r="N53" s="56" t="n">
        <v>234269.71</v>
      </c>
      <c r="O53" s="54" t="n">
        <v>6261</v>
      </c>
      <c r="P53" s="56" t="n">
        <v>54425.7</v>
      </c>
      <c r="Q53" s="56" t="n">
        <v>23813.17</v>
      </c>
      <c r="R53" s="56" t="n">
        <v>3100.19</v>
      </c>
      <c r="S53" s="27"/>
      <c r="T53" s="27"/>
      <c r="U53" s="57" t="n">
        <f aca="false">IFERROR(J53/I53,0)</f>
        <v>0.0285424635357976</v>
      </c>
      <c r="V53" s="58" t="n">
        <f aca="false">IFERROR(K53/J53,0)</f>
        <v>68.3115618266491</v>
      </c>
      <c r="W53" s="59" t="n">
        <f aca="false">IFERROR(L53/J53,0)</f>
        <v>1.82525891429763</v>
      </c>
      <c r="X53" s="22" t="n">
        <f aca="false">IFERROR(M53/(K53+M53),0)</f>
        <v>0.322831728454155</v>
      </c>
      <c r="Y53" s="22" t="n">
        <f aca="false">IFERROR(N53/K53,0)</f>
        <v>0.238370046659822</v>
      </c>
      <c r="Z53" s="22" t="n">
        <f aca="false">IFERROR(O53/J53,0)</f>
        <v>0.435184541600056</v>
      </c>
      <c r="AA53" s="58" t="n">
        <f aca="false">IFERROR(P53/C53,0)</f>
        <v>0.460084534426645</v>
      </c>
      <c r="AB53" s="58" t="n">
        <f aca="false">IFERROR(Q53/D53,0)</f>
        <v>0.370696461651022</v>
      </c>
      <c r="AC53" s="58" t="n">
        <f aca="false">IFERROR(R53/E53,0)</f>
        <v>0.212269085929476</v>
      </c>
      <c r="AD53" s="57" t="n">
        <f aca="false">IFERROR(F53/F$58,0)</f>
        <v>0.0285973961291677</v>
      </c>
      <c r="AE53" s="57" t="n">
        <f aca="false">IFERROR(G53/G$58,0)</f>
        <v>0.0445706822387962</v>
      </c>
      <c r="AF53" s="57" t="n">
        <f aca="false">IFERROR(H53/H$58,0)</f>
        <v>0.0276914473942884</v>
      </c>
      <c r="AG53" s="57" t="n">
        <f aca="false">IFERROR(P53/P$58,0)</f>
        <v>0.0277052990853307</v>
      </c>
      <c r="AH53" s="57" t="n">
        <f aca="false">IFERROR(Q53/Q$58,0)</f>
        <v>0.0288838279579267</v>
      </c>
      <c r="AI53" s="57" t="n">
        <f aca="false">IFERROR(R53/R$58,0)</f>
        <v>0.0302724135419151</v>
      </c>
      <c r="AJ53" s="49" t="n">
        <f aca="false">K53-N53</f>
        <v>748528.73</v>
      </c>
      <c r="AK53" s="57" t="n">
        <f aca="false">IFERROR(I53/I$58,0)</f>
        <v>0.0304564270725139</v>
      </c>
    </row>
    <row r="54" customFormat="false" ht="15" hidden="false" customHeight="false" outlineLevel="0" collapsed="false">
      <c r="A54" s="13" t="n">
        <v>49</v>
      </c>
      <c r="B54" s="53" t="s">
        <v>443</v>
      </c>
      <c r="C54" s="54" t="n">
        <v>95899</v>
      </c>
      <c r="D54" s="54" t="n">
        <v>56463</v>
      </c>
      <c r="E54" s="54" t="n">
        <v>11511</v>
      </c>
      <c r="F54" s="54" t="n">
        <v>160402</v>
      </c>
      <c r="G54" s="54" t="n">
        <v>69536</v>
      </c>
      <c r="H54" s="54" t="n">
        <v>27272</v>
      </c>
      <c r="I54" s="55" t="n">
        <f aca="false">SUM(C54:H54)</f>
        <v>421083</v>
      </c>
      <c r="J54" s="54" t="n">
        <v>11050</v>
      </c>
      <c r="K54" s="56" t="n">
        <v>736729.53</v>
      </c>
      <c r="L54" s="54" t="n">
        <v>21199</v>
      </c>
      <c r="M54" s="56" t="n">
        <v>327423.75</v>
      </c>
      <c r="N54" s="56" t="n">
        <v>175267.85</v>
      </c>
      <c r="O54" s="54" t="n">
        <v>5162</v>
      </c>
      <c r="P54" s="56" t="n">
        <v>45704.88</v>
      </c>
      <c r="Q54" s="56" t="n">
        <v>20789.79</v>
      </c>
      <c r="R54" s="56" t="n">
        <v>2452.57</v>
      </c>
      <c r="S54" s="27"/>
      <c r="T54" s="27"/>
      <c r="U54" s="57" t="n">
        <f aca="false">IFERROR(J54/I54,0)</f>
        <v>0.0262418573060418</v>
      </c>
      <c r="V54" s="58" t="n">
        <f aca="false">IFERROR(K54/J54,0)</f>
        <v>66.6723556561086</v>
      </c>
      <c r="W54" s="59" t="n">
        <f aca="false">IFERROR(L54/J54,0)</f>
        <v>1.91846153846154</v>
      </c>
      <c r="X54" s="22" t="n">
        <f aca="false">IFERROR(M54/(K54+M54),0)</f>
        <v>0.307684763232605</v>
      </c>
      <c r="Y54" s="22" t="n">
        <f aca="false">IFERROR(N54/K54,0)</f>
        <v>0.237899857224401</v>
      </c>
      <c r="Z54" s="22" t="n">
        <f aca="false">IFERROR(O54/J54,0)</f>
        <v>0.467149321266968</v>
      </c>
      <c r="AA54" s="58" t="n">
        <f aca="false">IFERROR(P54/C54,0)</f>
        <v>0.476593916516335</v>
      </c>
      <c r="AB54" s="58" t="n">
        <f aca="false">IFERROR(Q54/D54,0)</f>
        <v>0.368202008394878</v>
      </c>
      <c r="AC54" s="58" t="n">
        <f aca="false">IFERROR(R54/E54,0)</f>
        <v>0.21306315698028</v>
      </c>
      <c r="AD54" s="57" t="n">
        <f aca="false">IFERROR(F54/F$58,0)</f>
        <v>0.0245509745498036</v>
      </c>
      <c r="AE54" s="57" t="n">
        <f aca="false">IFERROR(G54/G$58,0)</f>
        <v>0.0350655310307963</v>
      </c>
      <c r="AF54" s="57" t="n">
        <f aca="false">IFERROR(H54/H$58,0)</f>
        <v>0.0238286420767057</v>
      </c>
      <c r="AG54" s="57" t="n">
        <f aca="false">IFERROR(P54/P$58,0)</f>
        <v>0.0232659822484442</v>
      </c>
      <c r="AH54" s="57" t="n">
        <f aca="false">IFERROR(Q54/Q$58,0)</f>
        <v>0.0252166644609443</v>
      </c>
      <c r="AI54" s="57" t="n">
        <f aca="false">IFERROR(R54/R$58,0)</f>
        <v>0.02394860098268</v>
      </c>
      <c r="AJ54" s="49" t="n">
        <f aca="false">K54-N54</f>
        <v>561461.68</v>
      </c>
      <c r="AK54" s="57" t="n">
        <f aca="false">IFERROR(I54/I$58,0)</f>
        <v>0.0254429739572099</v>
      </c>
    </row>
    <row r="55" customFormat="false" ht="15" hidden="false" customHeight="false" outlineLevel="0" collapsed="false">
      <c r="A55" s="13" t="n">
        <v>50</v>
      </c>
      <c r="B55" s="53" t="s">
        <v>443</v>
      </c>
      <c r="C55" s="54" t="n">
        <v>83064</v>
      </c>
      <c r="D55" s="54" t="n">
        <v>47477</v>
      </c>
      <c r="E55" s="54" t="n">
        <v>9551</v>
      </c>
      <c r="F55" s="54" t="n">
        <v>129762</v>
      </c>
      <c r="G55" s="54" t="n">
        <v>38383</v>
      </c>
      <c r="H55" s="54" t="n">
        <v>24328</v>
      </c>
      <c r="I55" s="55" t="n">
        <f aca="false">SUM(C55:H55)</f>
        <v>332565</v>
      </c>
      <c r="J55" s="54" t="n">
        <v>8165</v>
      </c>
      <c r="K55" s="56" t="n">
        <v>548915.62</v>
      </c>
      <c r="L55" s="54" t="n">
        <v>15402</v>
      </c>
      <c r="M55" s="56" t="n">
        <v>208706.72</v>
      </c>
      <c r="N55" s="56" t="n">
        <v>133342.66</v>
      </c>
      <c r="O55" s="54" t="n">
        <v>3473</v>
      </c>
      <c r="P55" s="56" t="n">
        <v>39724.7</v>
      </c>
      <c r="Q55" s="56" t="n">
        <v>17201.62</v>
      </c>
      <c r="R55" s="56" t="n">
        <v>1984.77</v>
      </c>
      <c r="S55" s="27"/>
      <c r="T55" s="27"/>
      <c r="U55" s="57" t="n">
        <f aca="false">IFERROR(J55/I55,0)</f>
        <v>0.024551591418219</v>
      </c>
      <c r="V55" s="58" t="n">
        <f aca="false">IFERROR(K55/J55,0)</f>
        <v>67.2278775260257</v>
      </c>
      <c r="W55" s="59" t="n">
        <f aca="false">IFERROR(L55/J55,0)</f>
        <v>1.88634415186773</v>
      </c>
      <c r="X55" s="22" t="n">
        <f aca="false">IFERROR(M55/(K55+M55),0)</f>
        <v>0.27547593171553</v>
      </c>
      <c r="Y55" s="22" t="n">
        <f aca="false">IFERROR(N55/K55,0)</f>
        <v>0.242920141350687</v>
      </c>
      <c r="Z55" s="22" t="n">
        <f aca="false">IFERROR(O55/J55,0)</f>
        <v>0.425352112676056</v>
      </c>
      <c r="AA55" s="58" t="n">
        <f aca="false">IFERROR(P55/C55,0)</f>
        <v>0.47824207839738</v>
      </c>
      <c r="AB55" s="58" t="n">
        <f aca="false">IFERROR(Q55/D55,0)</f>
        <v>0.362314805063504</v>
      </c>
      <c r="AC55" s="58" t="n">
        <f aca="false">IFERROR(R55/E55,0)</f>
        <v>0.207807559417862</v>
      </c>
      <c r="AD55" s="57" t="n">
        <f aca="false">IFERROR(F55/F$58,0)</f>
        <v>0.0198612458668322</v>
      </c>
      <c r="AE55" s="57" t="n">
        <f aca="false">IFERROR(G55/G$58,0)</f>
        <v>0.019355733397881</v>
      </c>
      <c r="AF55" s="57" t="n">
        <f aca="false">IFERROR(H55/H$58,0)</f>
        <v>0.0212563509989035</v>
      </c>
      <c r="AG55" s="57" t="n">
        <f aca="false">IFERROR(P55/P$58,0)</f>
        <v>0.0202217829917674</v>
      </c>
      <c r="AH55" s="57" t="n">
        <f aca="false">IFERROR(Q55/Q$58,0)</f>
        <v>0.0208644473909871</v>
      </c>
      <c r="AI55" s="57" t="n">
        <f aca="false">IFERROR(R55/R$58,0)</f>
        <v>0.0193806760958479</v>
      </c>
      <c r="AJ55" s="49" t="n">
        <f aca="false">K55-N55</f>
        <v>415572.96</v>
      </c>
      <c r="AK55" s="57" t="n">
        <f aca="false">IFERROR(I55/I$58,0)</f>
        <v>0.0200944769417894</v>
      </c>
    </row>
    <row r="56" customFormat="false" ht="15" hidden="false" customHeight="false" outlineLevel="0" collapsed="false">
      <c r="A56" s="13" t="n">
        <v>51</v>
      </c>
      <c r="B56" s="53"/>
      <c r="C56" s="54" t="n">
        <v>69213</v>
      </c>
      <c r="D56" s="54" t="n">
        <v>36067</v>
      </c>
      <c r="E56" s="54" t="n">
        <v>7650</v>
      </c>
      <c r="F56" s="54" t="n">
        <v>103466</v>
      </c>
      <c r="G56" s="54" t="n">
        <v>30914</v>
      </c>
      <c r="H56" s="54" t="n">
        <v>17793</v>
      </c>
      <c r="I56" s="55" t="n">
        <f aca="false">SUM(C56:H56)</f>
        <v>265103</v>
      </c>
      <c r="J56" s="54" t="n">
        <v>5978</v>
      </c>
      <c r="K56" s="56" t="n">
        <v>461616.62</v>
      </c>
      <c r="L56" s="54" t="n">
        <v>11546</v>
      </c>
      <c r="M56" s="56" t="n">
        <v>68089.57</v>
      </c>
      <c r="N56" s="56" t="n">
        <v>117993.94</v>
      </c>
      <c r="O56" s="54" t="n">
        <v>2171</v>
      </c>
      <c r="P56" s="56" t="n">
        <v>34134.48</v>
      </c>
      <c r="Q56" s="56" t="n">
        <v>12965.18</v>
      </c>
      <c r="R56" s="56" t="n">
        <v>1672.66</v>
      </c>
      <c r="S56" s="27"/>
      <c r="T56" s="27"/>
      <c r="U56" s="57" t="n">
        <f aca="false">IFERROR(J56/I56,0)</f>
        <v>0.022549725955572</v>
      </c>
      <c r="V56" s="58" t="n">
        <f aca="false">IFERROR(K56/J56,0)</f>
        <v>77.2192405486785</v>
      </c>
      <c r="W56" s="59" t="n">
        <f aca="false">IFERROR(L56/J56,0)</f>
        <v>1.93141518902643</v>
      </c>
      <c r="X56" s="22" t="n">
        <f aca="false">IFERROR(M56/(K56+M56),0)</f>
        <v>0.128542145222052</v>
      </c>
      <c r="Y56" s="22" t="n">
        <f aca="false">IFERROR(N56/K56,0)</f>
        <v>0.255610250774766</v>
      </c>
      <c r="Z56" s="22" t="n">
        <f aca="false">IFERROR(O56/J56,0)</f>
        <v>0.36316493810639</v>
      </c>
      <c r="AA56" s="58" t="n">
        <f aca="false">IFERROR(P56/C56,0)</f>
        <v>0.493180182913615</v>
      </c>
      <c r="AB56" s="58" t="n">
        <f aca="false">IFERROR(Q56/D56,0)</f>
        <v>0.359474866221199</v>
      </c>
      <c r="AC56" s="58" t="n">
        <f aca="false">IFERROR(R56/E56,0)</f>
        <v>0.218648366013072</v>
      </c>
      <c r="AD56" s="57" t="n">
        <f aca="false">IFERROR(F56/F$58,0)</f>
        <v>0.0158364056107155</v>
      </c>
      <c r="AE56" s="57" t="n">
        <f aca="false">IFERROR(G56/G$58,0)</f>
        <v>0.0155892749983611</v>
      </c>
      <c r="AF56" s="57" t="n">
        <f aca="false">IFERROR(H56/H$58,0)</f>
        <v>0.0155464589495022</v>
      </c>
      <c r="AG56" s="57" t="n">
        <f aca="false">IFERROR(P56/P$58,0)</f>
        <v>0.0173760921315158</v>
      </c>
      <c r="AH56" s="57" t="n">
        <f aca="false">IFERROR(Q56/Q$58,0)</f>
        <v>0.0157259209321377</v>
      </c>
      <c r="AI56" s="57" t="n">
        <f aca="false">IFERROR(R56/R$58,0)</f>
        <v>0.0163330167618822</v>
      </c>
      <c r="AJ56" s="49" t="n">
        <f aca="false">K56-N56</f>
        <v>343622.68</v>
      </c>
      <c r="AK56" s="57" t="n">
        <f aca="false">IFERROR(I56/I$58,0)</f>
        <v>0.0160182404062339</v>
      </c>
    </row>
    <row r="57" customFormat="false" ht="15" hidden="false" customHeight="false" outlineLevel="0" collapsed="false">
      <c r="A57" s="13" t="n">
        <v>52</v>
      </c>
      <c r="B57" s="53"/>
      <c r="C57" s="54" t="n">
        <v>61366</v>
      </c>
      <c r="D57" s="54" t="n">
        <v>32650</v>
      </c>
      <c r="E57" s="54" t="n">
        <v>7865</v>
      </c>
      <c r="F57" s="54" t="n">
        <v>95893</v>
      </c>
      <c r="G57" s="54" t="n">
        <v>27014</v>
      </c>
      <c r="H57" s="54" t="n">
        <v>16402</v>
      </c>
      <c r="I57" s="55" t="n">
        <f aca="false">SUM(C57:H57)</f>
        <v>241190</v>
      </c>
      <c r="J57" s="54" t="n">
        <v>5411</v>
      </c>
      <c r="K57" s="56" t="n">
        <v>406845.54</v>
      </c>
      <c r="L57" s="54" t="n">
        <v>10545</v>
      </c>
      <c r="M57" s="56" t="n">
        <v>34163.52</v>
      </c>
      <c r="N57" s="56" t="n">
        <v>104777.04</v>
      </c>
      <c r="O57" s="54" t="n">
        <v>2004</v>
      </c>
      <c r="P57" s="56" t="n">
        <v>28007.9</v>
      </c>
      <c r="Q57" s="56" t="n">
        <v>11169.99</v>
      </c>
      <c r="R57" s="56" t="n">
        <v>1599.16</v>
      </c>
      <c r="S57" s="27"/>
      <c r="T57" s="27"/>
      <c r="U57" s="57" t="n">
        <f aca="false">IFERROR(J57/I57,0)</f>
        <v>0.0224345951324682</v>
      </c>
      <c r="V57" s="58" t="n">
        <f aca="false">IFERROR(K57/J57,0)</f>
        <v>75.1886046941416</v>
      </c>
      <c r="W57" s="59" t="n">
        <f aca="false">IFERROR(L57/J57,0)</f>
        <v>1.94880798373683</v>
      </c>
      <c r="X57" s="22" t="n">
        <f aca="false">IFERROR(M57/(K57+M57),0)</f>
        <v>0.0774667078268188</v>
      </c>
      <c r="Y57" s="22" t="n">
        <f aca="false">IFERROR(N57/K57,0)</f>
        <v>0.257535181533513</v>
      </c>
      <c r="Z57" s="22" t="n">
        <f aca="false">IFERROR(O57/J57,0)</f>
        <v>0.370356680835335</v>
      </c>
      <c r="AA57" s="58" t="n">
        <f aca="false">IFERROR(P57/C57,0)</f>
        <v>0.456407456897957</v>
      </c>
      <c r="AB57" s="58" t="n">
        <f aca="false">IFERROR(Q57/D57,0)</f>
        <v>0.342113016845329</v>
      </c>
      <c r="AC57" s="58" t="n">
        <f aca="false">IFERROR(R57/E57,0)</f>
        <v>0.203326128417038</v>
      </c>
      <c r="AD57" s="57" t="n">
        <f aca="false">IFERROR(F57/F$58,0)</f>
        <v>0.0146772895755933</v>
      </c>
      <c r="AE57" s="57" t="n">
        <f aca="false">IFERROR(G57/G$58,0)</f>
        <v>0.0136225876562634</v>
      </c>
      <c r="AF57" s="57" t="n">
        <f aca="false">IFERROR(H57/H$58,0)</f>
        <v>0.0143310863648477</v>
      </c>
      <c r="AG57" s="57" t="n">
        <f aca="false">IFERROR(P57/P$58,0)</f>
        <v>0.0142573682332434</v>
      </c>
      <c r="AH57" s="57" t="n">
        <f aca="false">IFERROR(Q57/Q$58,0)</f>
        <v>0.013548472103956</v>
      </c>
      <c r="AI57" s="57" t="n">
        <f aca="false">IFERROR(R57/R$58,0)</f>
        <v>0.0156153115904796</v>
      </c>
      <c r="AJ57" s="49" t="n">
        <f aca="false">K57-N57</f>
        <v>302068.5</v>
      </c>
      <c r="AK57" s="57" t="n">
        <f aca="false">IFERROR(I57/I$58,0)</f>
        <v>0.0145733522577246</v>
      </c>
    </row>
    <row r="58" customFormat="false" ht="15" hidden="false" customHeight="false" outlineLevel="0" collapsed="false">
      <c r="A58" s="60" t="s">
        <v>483</v>
      </c>
      <c r="B58" s="61"/>
      <c r="C58" s="62" t="n">
        <f aca="false">SUM(C6:C57)</f>
        <v>4110498</v>
      </c>
      <c r="D58" s="62" t="n">
        <f aca="false">SUM(D6:D57)</f>
        <v>2289076</v>
      </c>
      <c r="E58" s="62" t="n">
        <f aca="false">SUM(E6:E57)</f>
        <v>489534</v>
      </c>
      <c r="F58" s="62" t="n">
        <f aca="false">SUM(F6:F57)</f>
        <v>6533427</v>
      </c>
      <c r="G58" s="62" t="n">
        <f aca="false">SUM(G6:G57)</f>
        <v>1983030</v>
      </c>
      <c r="H58" s="62" t="n">
        <f aca="false">SUM(H6:H57)</f>
        <v>1144505</v>
      </c>
      <c r="I58" s="62" t="n">
        <f aca="false">SUM(I6:I57)</f>
        <v>16550070</v>
      </c>
      <c r="J58" s="62" t="n">
        <f aca="false">SUM(J6:J57)</f>
        <v>382961</v>
      </c>
      <c r="K58" s="63" t="n">
        <f aca="false">SUM(K6:K57)</f>
        <v>28891352.46</v>
      </c>
      <c r="L58" s="62" t="n">
        <f aca="false">SUM(L6:L57)</f>
        <v>727306</v>
      </c>
      <c r="M58" s="63" t="n">
        <f aca="false">SUM(M6:M57)</f>
        <v>4757820.66</v>
      </c>
      <c r="N58" s="63" t="n">
        <f aca="false">SUM(N6:N57)</f>
        <v>7466242.49</v>
      </c>
      <c r="O58" s="62" t="n">
        <f aca="false">SUM(O6:O57)</f>
        <v>145175</v>
      </c>
      <c r="P58" s="63" t="n">
        <f aca="false">SUM(P6:P57)</f>
        <v>1964450.91</v>
      </c>
      <c r="Q58" s="63" t="n">
        <f aca="false">SUM(Q6:Q57)</f>
        <v>824446.47</v>
      </c>
      <c r="R58" s="63" t="n">
        <f aca="false">SUM(R6:R57)</f>
        <v>102409.74</v>
      </c>
      <c r="S58" s="61"/>
      <c r="T58" s="61"/>
      <c r="U58" s="64" t="n">
        <f aca="false">IFERROR(J58/I58,0)</f>
        <v>0.0231395395910712</v>
      </c>
      <c r="V58" s="65" t="n">
        <f aca="false">IFERROR(K58/J58,0)</f>
        <v>75.4420227124955</v>
      </c>
      <c r="W58" s="66" t="n">
        <f aca="false">IFERROR(L58/J58,0)</f>
        <v>1.8991646668982</v>
      </c>
      <c r="X58" s="67" t="n">
        <f aca="false">IFERROR(M58/(K58+M58),0)</f>
        <v>0.141394875976079</v>
      </c>
      <c r="Y58" s="67" t="n">
        <f aca="false">IFERROR(N58/K58,0)</f>
        <v>0.258424817610633</v>
      </c>
      <c r="Z58" s="67" t="n">
        <f aca="false">IFERROR(O58/J58,0)</f>
        <v>0.379085598794655</v>
      </c>
      <c r="AA58" s="65" t="n">
        <f aca="false">IFERROR(P58/C58,0)</f>
        <v>0.477910683814954</v>
      </c>
      <c r="AB58" s="65" t="n">
        <f aca="false">IFERROR(Q58/D58,0)</f>
        <v>0.360165617043733</v>
      </c>
      <c r="AC58" s="65" t="n">
        <f aca="false">IFERROR(R58/E58,0)</f>
        <v>0.20919842135582</v>
      </c>
      <c r="AD58" s="68"/>
      <c r="AE58" s="68"/>
      <c r="AF58" s="68"/>
      <c r="AG58" s="68"/>
      <c r="AH58" s="68"/>
      <c r="AI58" s="68"/>
      <c r="AJ58" s="63" t="n">
        <f aca="false">SUM(AJ6:AJ57)</f>
        <v>21425109.97</v>
      </c>
      <c r="AK58" s="68"/>
    </row>
  </sheetData>
  <sheetProtection sheet="true" formatColumns="false" formatRows="false"/>
  <dataValidations count="1">
    <dataValidation allowBlank="true" errorStyle="stop" operator="between" showDropDown="false" showErrorMessage="false" showInputMessage="false" sqref="S6:S57" type="list">
      <formula1>"Y"</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K5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8"/>
    <col collapsed="false" customWidth="true" hidden="false" outlineLevel="0" max="18" min="3" style="0" width="12"/>
    <col collapsed="false" customWidth="true" hidden="false" outlineLevel="0" max="19" min="19" style="0" width="10"/>
    <col collapsed="false" customWidth="true" hidden="false" outlineLevel="0" max="20" min="20" style="0" width="60"/>
    <col collapsed="false" customWidth="true" hidden="false" outlineLevel="0" max="37" min="21" style="0" width="12"/>
  </cols>
  <sheetData>
    <row r="1" customFormat="false" ht="17.35" hidden="false" customHeight="false" outlineLevel="0" collapsed="false">
      <c r="A1" s="1" t="s">
        <v>484</v>
      </c>
      <c r="D1" s="52" t="str">
        <f aca="false">Settings!B8</f>
        <v>FY2025</v>
      </c>
    </row>
    <row r="2" customFormat="false" ht="15" hidden="false" customHeight="false" outlineLevel="0" collapsed="false">
      <c r="A2" s="2" t="s">
        <v>445</v>
      </c>
    </row>
    <row r="5" customFormat="false" ht="42" hidden="false" customHeight="true" outlineLevel="0" collapsed="false">
      <c r="A5" s="19" t="s">
        <v>410</v>
      </c>
      <c r="B5" s="19" t="s">
        <v>446</v>
      </c>
      <c r="C5" s="19" t="s">
        <v>447</v>
      </c>
      <c r="D5" s="19" t="s">
        <v>448</v>
      </c>
      <c r="E5" s="19" t="s">
        <v>449</v>
      </c>
      <c r="F5" s="19" t="s">
        <v>450</v>
      </c>
      <c r="G5" s="19" t="s">
        <v>451</v>
      </c>
      <c r="H5" s="19" t="s">
        <v>452</v>
      </c>
      <c r="I5" s="19" t="s">
        <v>453</v>
      </c>
      <c r="J5" s="19" t="s">
        <v>454</v>
      </c>
      <c r="K5" s="19" t="s">
        <v>455</v>
      </c>
      <c r="L5" s="19" t="s">
        <v>456</v>
      </c>
      <c r="M5" s="19" t="s">
        <v>457</v>
      </c>
      <c r="N5" s="19" t="s">
        <v>458</v>
      </c>
      <c r="O5" s="19" t="s">
        <v>91</v>
      </c>
      <c r="P5" s="19" t="s">
        <v>459</v>
      </c>
      <c r="Q5" s="19" t="s">
        <v>460</v>
      </c>
      <c r="R5" s="19" t="s">
        <v>461</v>
      </c>
      <c r="S5" s="19" t="s">
        <v>462</v>
      </c>
      <c r="T5" s="19" t="s">
        <v>463</v>
      </c>
      <c r="U5" s="19" t="s">
        <v>464</v>
      </c>
      <c r="V5" s="19" t="s">
        <v>465</v>
      </c>
      <c r="W5" s="19" t="s">
        <v>466</v>
      </c>
      <c r="X5" s="19" t="s">
        <v>467</v>
      </c>
      <c r="Y5" s="19" t="s">
        <v>468</v>
      </c>
      <c r="Z5" s="19" t="s">
        <v>469</v>
      </c>
      <c r="AA5" s="19" t="s">
        <v>470</v>
      </c>
      <c r="AB5" s="19" t="s">
        <v>471</v>
      </c>
      <c r="AC5" s="19" t="s">
        <v>472</v>
      </c>
      <c r="AD5" s="19" t="s">
        <v>473</v>
      </c>
      <c r="AE5" s="19" t="s">
        <v>474</v>
      </c>
      <c r="AF5" s="19" t="s">
        <v>475</v>
      </c>
      <c r="AG5" s="19" t="s">
        <v>476</v>
      </c>
      <c r="AH5" s="19" t="s">
        <v>477</v>
      </c>
      <c r="AI5" s="19" t="s">
        <v>478</v>
      </c>
      <c r="AJ5" s="19" t="s">
        <v>97</v>
      </c>
      <c r="AK5" s="19" t="s">
        <v>479</v>
      </c>
    </row>
    <row r="6" customFormat="false" ht="15" hidden="false" customHeight="false" outlineLevel="0" collapsed="false">
      <c r="A6" s="13" t="n">
        <v>1</v>
      </c>
      <c r="B6" s="53"/>
      <c r="C6" s="54" t="n">
        <v>59836</v>
      </c>
      <c r="D6" s="54" t="n">
        <v>34400</v>
      </c>
      <c r="E6" s="54" t="n">
        <v>7701</v>
      </c>
      <c r="F6" s="54" t="n">
        <v>100613</v>
      </c>
      <c r="G6" s="54" t="n">
        <v>28344</v>
      </c>
      <c r="H6" s="54" t="n">
        <v>16318</v>
      </c>
      <c r="I6" s="55" t="n">
        <f aca="false">SUM(C6:H6)</f>
        <v>247212</v>
      </c>
      <c r="J6" s="54" t="n">
        <v>5173</v>
      </c>
      <c r="K6" s="56" t="n">
        <v>381627.77</v>
      </c>
      <c r="L6" s="54" t="n">
        <v>9682</v>
      </c>
      <c r="M6" s="56" t="n">
        <v>30322.33</v>
      </c>
      <c r="N6" s="56" t="n">
        <v>99429.9</v>
      </c>
      <c r="O6" s="54" t="n">
        <v>1851</v>
      </c>
      <c r="P6" s="56" t="n">
        <v>26029.93</v>
      </c>
      <c r="Q6" s="56" t="n">
        <v>11336.48</v>
      </c>
      <c r="R6" s="56" t="n">
        <v>1590.25</v>
      </c>
      <c r="S6" s="27"/>
      <c r="T6" s="27"/>
      <c r="U6" s="57" t="n">
        <f aca="false">IFERROR(J6/I6,0)</f>
        <v>0.0209253596103749</v>
      </c>
      <c r="V6" s="58" t="n">
        <f aca="false">IFERROR(K6/J6,0)</f>
        <v>73.7730079257684</v>
      </c>
      <c r="W6" s="59" t="n">
        <f aca="false">IFERROR(L6/J6,0)</f>
        <v>1.87164121399575</v>
      </c>
      <c r="X6" s="22" t="n">
        <f aca="false">IFERROR(M6/(K6+M6),0)</f>
        <v>0.0736068033482696</v>
      </c>
      <c r="Y6" s="22" t="n">
        <f aca="false">IFERROR(N6/K6,0)</f>
        <v>0.260541574319919</v>
      </c>
      <c r="Z6" s="22" t="n">
        <f aca="false">IFERROR(O6/J6,0)</f>
        <v>0.357819447129325</v>
      </c>
      <c r="AA6" s="58" t="n">
        <f aca="false">IFERROR(P6/C6,0)</f>
        <v>0.435021224680794</v>
      </c>
      <c r="AB6" s="58" t="n">
        <f aca="false">IFERROR(Q6/D6,0)</f>
        <v>0.329548837209302</v>
      </c>
      <c r="AC6" s="58" t="n">
        <f aca="false">IFERROR(R6/E6,0)</f>
        <v>0.206499155953772</v>
      </c>
      <c r="AD6" s="57" t="n">
        <f aca="false">IFERROR(F6/F$58,0)</f>
        <v>0.0162200835758374</v>
      </c>
      <c r="AE6" s="57" t="n">
        <f aca="false">IFERROR(G6/G$58,0)</f>
        <v>0.0151413977052855</v>
      </c>
      <c r="AF6" s="57" t="n">
        <f aca="false">IFERROR(H6/H$58,0)</f>
        <v>0.015064414728378</v>
      </c>
      <c r="AG6" s="57" t="n">
        <f aca="false">IFERROR(P6/P$58,0)</f>
        <v>0.0149772816236701</v>
      </c>
      <c r="AH6" s="57" t="n">
        <f aca="false">IFERROR(Q6/Q$58,0)</f>
        <v>0.0158243524350604</v>
      </c>
      <c r="AI6" s="57" t="n">
        <f aca="false">IFERROR(R6/R$58,0)</f>
        <v>0.017230538592885</v>
      </c>
      <c r="AJ6" s="49" t="n">
        <f aca="false">K6-N6</f>
        <v>282197.87</v>
      </c>
      <c r="AK6" s="57" t="n">
        <f aca="false">IFERROR(I6/I$58,0)</f>
        <v>0.0157702161390758</v>
      </c>
    </row>
    <row r="7" customFormat="false" ht="15" hidden="false" customHeight="false" outlineLevel="0" collapsed="false">
      <c r="A7" s="13" t="n">
        <v>2</v>
      </c>
      <c r="B7" s="53"/>
      <c r="C7" s="54" t="n">
        <v>62168</v>
      </c>
      <c r="D7" s="54" t="n">
        <v>33672</v>
      </c>
      <c r="E7" s="54" t="n">
        <v>7650</v>
      </c>
      <c r="F7" s="54" t="n">
        <v>103326</v>
      </c>
      <c r="G7" s="54" t="n">
        <v>26084</v>
      </c>
      <c r="H7" s="54" t="n">
        <v>18196</v>
      </c>
      <c r="I7" s="55" t="n">
        <f aca="false">SUM(C7:H7)</f>
        <v>251096</v>
      </c>
      <c r="J7" s="54" t="n">
        <v>5599</v>
      </c>
      <c r="K7" s="56" t="n">
        <v>424104.26</v>
      </c>
      <c r="L7" s="54" t="n">
        <v>10874</v>
      </c>
      <c r="M7" s="56" t="n">
        <v>34047.98</v>
      </c>
      <c r="N7" s="56" t="n">
        <v>114142.73</v>
      </c>
      <c r="O7" s="54" t="n">
        <v>2025</v>
      </c>
      <c r="P7" s="56" t="n">
        <v>28403.69</v>
      </c>
      <c r="Q7" s="56" t="n">
        <v>10923.19</v>
      </c>
      <c r="R7" s="56" t="n">
        <v>1502.99</v>
      </c>
      <c r="S7" s="27"/>
      <c r="T7" s="27"/>
      <c r="U7" s="57" t="n">
        <f aca="false">IFERROR(J7/I7,0)</f>
        <v>0.022298244496129</v>
      </c>
      <c r="V7" s="58" t="n">
        <f aca="false">IFERROR(K7/J7,0)</f>
        <v>75.7464297195928</v>
      </c>
      <c r="W7" s="59" t="n">
        <f aca="false">IFERROR(L7/J7,0)</f>
        <v>1.94213252366494</v>
      </c>
      <c r="X7" s="22" t="n">
        <f aca="false">IFERROR(M7/(K7+M7),0)</f>
        <v>0.0743158649622667</v>
      </c>
      <c r="Y7" s="22" t="n">
        <f aca="false">IFERROR(N7/K7,0)</f>
        <v>0.269138371776789</v>
      </c>
      <c r="Z7" s="22" t="n">
        <f aca="false">IFERROR(O7/J7,0)</f>
        <v>0.361671727094124</v>
      </c>
      <c r="AA7" s="58" t="n">
        <f aca="false">IFERROR(P7/C7,0)</f>
        <v>0.456886018530434</v>
      </c>
      <c r="AB7" s="58" t="n">
        <f aca="false">IFERROR(Q7/D7,0)</f>
        <v>0.324399798051794</v>
      </c>
      <c r="AC7" s="58" t="n">
        <f aca="false">IFERROR(R7/E7,0)</f>
        <v>0.196469281045752</v>
      </c>
      <c r="AD7" s="57" t="n">
        <f aca="false">IFERROR(F7/F$58,0)</f>
        <v>0.0166574533664335</v>
      </c>
      <c r="AE7" s="57" t="n">
        <f aca="false">IFERROR(G7/G$58,0)</f>
        <v>0.0139341030815928</v>
      </c>
      <c r="AF7" s="57" t="n">
        <f aca="false">IFERROR(H7/H$58,0)</f>
        <v>0.0167981425663419</v>
      </c>
      <c r="AG7" s="57" t="n">
        <f aca="false">IFERROR(P7/P$58,0)</f>
        <v>0.0163431121129186</v>
      </c>
      <c r="AH7" s="57" t="n">
        <f aca="false">IFERROR(Q7/Q$58,0)</f>
        <v>0.015247449673543</v>
      </c>
      <c r="AI7" s="57" t="n">
        <f aca="false">IFERROR(R7/R$58,0)</f>
        <v>0.0162850666245686</v>
      </c>
      <c r="AJ7" s="49" t="n">
        <f aca="false">K7-N7</f>
        <v>309961.53</v>
      </c>
      <c r="AK7" s="57" t="n">
        <f aca="false">IFERROR(I7/I$58,0)</f>
        <v>0.0160179853391315</v>
      </c>
    </row>
    <row r="8" customFormat="false" ht="15" hidden="false" customHeight="false" outlineLevel="0" collapsed="false">
      <c r="A8" s="13" t="n">
        <v>3</v>
      </c>
      <c r="B8" s="53"/>
      <c r="C8" s="54" t="n">
        <v>63061</v>
      </c>
      <c r="D8" s="54" t="n">
        <v>36308</v>
      </c>
      <c r="E8" s="54" t="n">
        <v>7557</v>
      </c>
      <c r="F8" s="54" t="n">
        <v>103961</v>
      </c>
      <c r="G8" s="54" t="n">
        <v>29755</v>
      </c>
      <c r="H8" s="54" t="n">
        <v>17734</v>
      </c>
      <c r="I8" s="55" t="n">
        <f aca="false">SUM(C8:H8)</f>
        <v>258376</v>
      </c>
      <c r="J8" s="54" t="n">
        <v>5656</v>
      </c>
      <c r="K8" s="56" t="n">
        <v>433959.8</v>
      </c>
      <c r="L8" s="54" t="n">
        <v>11101</v>
      </c>
      <c r="M8" s="56" t="n">
        <v>37925.28</v>
      </c>
      <c r="N8" s="56" t="n">
        <v>113453.3</v>
      </c>
      <c r="O8" s="54" t="n">
        <v>2000</v>
      </c>
      <c r="P8" s="56" t="n">
        <v>28714.04</v>
      </c>
      <c r="Q8" s="56" t="n">
        <v>11971.56</v>
      </c>
      <c r="R8" s="56" t="n">
        <v>1500.66</v>
      </c>
      <c r="S8" s="27"/>
      <c r="T8" s="27"/>
      <c r="U8" s="57" t="n">
        <f aca="false">IFERROR(J8/I8,0)</f>
        <v>0.0218905780722668</v>
      </c>
      <c r="V8" s="58" t="n">
        <f aca="false">IFERROR(K8/J8,0)</f>
        <v>76.7255657708628</v>
      </c>
      <c r="W8" s="59" t="n">
        <f aca="false">IFERROR(L8/J8,0)</f>
        <v>1.96269448373409</v>
      </c>
      <c r="X8" s="22" t="n">
        <f aca="false">IFERROR(M8/(K8+M8),0)</f>
        <v>0.0803697374793032</v>
      </c>
      <c r="Y8" s="22" t="n">
        <f aca="false">IFERROR(N8/K8,0)</f>
        <v>0.261437349726864</v>
      </c>
      <c r="Z8" s="22" t="n">
        <f aca="false">IFERROR(O8/J8,0)</f>
        <v>0.353606789250354</v>
      </c>
      <c r="AA8" s="58" t="n">
        <f aca="false">IFERROR(P8/C8,0)</f>
        <v>0.455337530327778</v>
      </c>
      <c r="AB8" s="58" t="n">
        <f aca="false">IFERROR(Q8/D8,0)</f>
        <v>0.329722375234108</v>
      </c>
      <c r="AC8" s="58" t="n">
        <f aca="false">IFERROR(R8/E8,0)</f>
        <v>0.198578801111552</v>
      </c>
      <c r="AD8" s="57" t="n">
        <f aca="false">IFERROR(F8/F$58,0)</f>
        <v>0.0167598233690242</v>
      </c>
      <c r="AE8" s="57" t="n">
        <f aca="false">IFERROR(G8/G$58,0)</f>
        <v>0.015895155543352</v>
      </c>
      <c r="AF8" s="57" t="n">
        <f aca="false">IFERROR(H8/H$58,0)</f>
        <v>0.0163716344400696</v>
      </c>
      <c r="AG8" s="57" t="n">
        <f aca="false">IFERROR(P8/P$58,0)</f>
        <v>0.0165216834479896</v>
      </c>
      <c r="AH8" s="57" t="n">
        <f aca="false">IFERROR(Q8/Q$58,0)</f>
        <v>0.0167108471622118</v>
      </c>
      <c r="AI8" s="57" t="n">
        <f aca="false">IFERROR(R8/R$58,0)</f>
        <v>0.0162598208110667</v>
      </c>
      <c r="AJ8" s="49" t="n">
        <f aca="false">K8-N8</f>
        <v>320506.5</v>
      </c>
      <c r="AK8" s="57" t="n">
        <f aca="false">IFERROR(I8/I$58,0)</f>
        <v>0.0164823931085459</v>
      </c>
    </row>
    <row r="9" customFormat="false" ht="15" hidden="false" customHeight="false" outlineLevel="0" collapsed="false">
      <c r="A9" s="13" t="n">
        <v>4</v>
      </c>
      <c r="B9" s="53"/>
      <c r="C9" s="54" t="n">
        <v>59772</v>
      </c>
      <c r="D9" s="54" t="n">
        <v>35586</v>
      </c>
      <c r="E9" s="54" t="n">
        <v>7688</v>
      </c>
      <c r="F9" s="54" t="n">
        <v>100497</v>
      </c>
      <c r="G9" s="54" t="n">
        <v>27170</v>
      </c>
      <c r="H9" s="54" t="n">
        <v>17467</v>
      </c>
      <c r="I9" s="55" t="n">
        <f aca="false">SUM(C9:H9)</f>
        <v>248180</v>
      </c>
      <c r="J9" s="54" t="n">
        <v>5362</v>
      </c>
      <c r="K9" s="56" t="n">
        <v>410659.77</v>
      </c>
      <c r="L9" s="54" t="n">
        <v>10588</v>
      </c>
      <c r="M9" s="56" t="n">
        <v>38187.65</v>
      </c>
      <c r="N9" s="56" t="n">
        <v>107004.59</v>
      </c>
      <c r="O9" s="54" t="n">
        <v>1878</v>
      </c>
      <c r="P9" s="56" t="n">
        <v>27828.45</v>
      </c>
      <c r="Q9" s="56" t="n">
        <v>11617.76</v>
      </c>
      <c r="R9" s="56" t="n">
        <v>1571.14</v>
      </c>
      <c r="S9" s="27"/>
      <c r="T9" s="27"/>
      <c r="U9" s="57" t="n">
        <f aca="false">IFERROR(J9/I9,0)</f>
        <v>0.0216052864856153</v>
      </c>
      <c r="V9" s="58" t="n">
        <f aca="false">IFERROR(K9/J9,0)</f>
        <v>76.5870514733309</v>
      </c>
      <c r="W9" s="59" t="n">
        <f aca="false">IFERROR(L9/J9,0)</f>
        <v>1.97463632972771</v>
      </c>
      <c r="X9" s="22" t="n">
        <f aca="false">IFERROR(M9/(K9+M9),0)</f>
        <v>0.0850793572568603</v>
      </c>
      <c r="Y9" s="22" t="n">
        <f aca="false">IFERROR(N9/K9,0)</f>
        <v>0.260567500926619</v>
      </c>
      <c r="Z9" s="22" t="n">
        <f aca="false">IFERROR(O9/J9,0)</f>
        <v>0.350242446848191</v>
      </c>
      <c r="AA9" s="58" t="n">
        <f aca="false">IFERROR(P9/C9,0)</f>
        <v>0.465576691427424</v>
      </c>
      <c r="AB9" s="58" t="n">
        <f aca="false">IFERROR(Q9/D9,0)</f>
        <v>0.326469960096667</v>
      </c>
      <c r="AC9" s="58" t="n">
        <f aca="false">IFERROR(R9/E9,0)</f>
        <v>0.204362643080125</v>
      </c>
      <c r="AD9" s="57" t="n">
        <f aca="false">IFERROR(F9/F$58,0)</f>
        <v>0.0162013829139468</v>
      </c>
      <c r="AE9" s="57" t="n">
        <f aca="false">IFERROR(G9/G$58,0)</f>
        <v>0.0145142455423584</v>
      </c>
      <c r="AF9" s="57" t="n">
        <f aca="false">IFERROR(H9/H$58,0)</f>
        <v>0.0161251459774837</v>
      </c>
      <c r="AG9" s="57" t="n">
        <f aca="false">IFERROR(P9/P$58,0)</f>
        <v>0.0160121265328114</v>
      </c>
      <c r="AH9" s="57" t="n">
        <f aca="false">IFERROR(Q9/Q$58,0)</f>
        <v>0.016216985232272</v>
      </c>
      <c r="AI9" s="57" t="n">
        <f aca="false">IFERROR(R9/R$58,0)</f>
        <v>0.017023479581717</v>
      </c>
      <c r="AJ9" s="49" t="n">
        <f aca="false">K9-N9</f>
        <v>303655.18</v>
      </c>
      <c r="AK9" s="57" t="n">
        <f aca="false">IFERROR(I9/I$58,0)</f>
        <v>0.0158319670622617</v>
      </c>
    </row>
    <row r="10" customFormat="false" ht="15" hidden="false" customHeight="false" outlineLevel="0" collapsed="false">
      <c r="A10" s="13" t="n">
        <v>5</v>
      </c>
      <c r="B10" s="53"/>
      <c r="C10" s="54" t="n">
        <v>66134</v>
      </c>
      <c r="D10" s="54" t="n">
        <v>36304</v>
      </c>
      <c r="E10" s="54" t="n">
        <v>7493</v>
      </c>
      <c r="F10" s="54" t="n">
        <v>99153</v>
      </c>
      <c r="G10" s="54" t="n">
        <v>26968</v>
      </c>
      <c r="H10" s="54" t="n">
        <v>17697</v>
      </c>
      <c r="I10" s="55" t="n">
        <f aca="false">SUM(C10:H10)</f>
        <v>253749</v>
      </c>
      <c r="J10" s="54" t="n">
        <v>5475</v>
      </c>
      <c r="K10" s="56" t="n">
        <v>401018.93</v>
      </c>
      <c r="L10" s="54" t="n">
        <v>10324</v>
      </c>
      <c r="M10" s="56" t="n">
        <v>37065.16</v>
      </c>
      <c r="N10" s="56" t="n">
        <v>102126.41</v>
      </c>
      <c r="O10" s="54" t="n">
        <v>2014</v>
      </c>
      <c r="P10" s="56" t="n">
        <v>28913.51</v>
      </c>
      <c r="Q10" s="56" t="n">
        <v>12414.76</v>
      </c>
      <c r="R10" s="56" t="n">
        <v>1570.76</v>
      </c>
      <c r="S10" s="27"/>
      <c r="T10" s="27"/>
      <c r="U10" s="57" t="n">
        <f aca="false">IFERROR(J10/I10,0)</f>
        <v>0.0215764397101072</v>
      </c>
      <c r="V10" s="58" t="n">
        <f aca="false">IFERROR(K10/J10,0)</f>
        <v>73.2454666666667</v>
      </c>
      <c r="W10" s="59" t="n">
        <f aca="false">IFERROR(L10/J10,0)</f>
        <v>1.88566210045662</v>
      </c>
      <c r="X10" s="22" t="n">
        <f aca="false">IFERROR(M10/(K10+M10),0)</f>
        <v>0.0846074095044173</v>
      </c>
      <c r="Y10" s="22" t="n">
        <f aca="false">IFERROR(N10/K10,0)</f>
        <v>0.254667304608289</v>
      </c>
      <c r="Z10" s="22" t="n">
        <f aca="false">IFERROR(O10/J10,0)</f>
        <v>0.367853881278539</v>
      </c>
      <c r="AA10" s="58" t="n">
        <f aca="false">IFERROR(P10/C10,0)</f>
        <v>0.437195844799952</v>
      </c>
      <c r="AB10" s="58" t="n">
        <f aca="false">IFERROR(Q10/D10,0)</f>
        <v>0.341966725429705</v>
      </c>
      <c r="AC10" s="58" t="n">
        <f aca="false">IFERROR(R10/E10,0)</f>
        <v>0.209630321633525</v>
      </c>
      <c r="AD10" s="57" t="n">
        <f aca="false">IFERROR(F10/F$58,0)</f>
        <v>0.0159847131761801</v>
      </c>
      <c r="AE10" s="57" t="n">
        <f aca="false">IFERROR(G10/G$58,0)</f>
        <v>0.0144063369078514</v>
      </c>
      <c r="AF10" s="57" t="n">
        <f aca="false">IFERROR(H10/H$58,0)</f>
        <v>0.0163374768628573</v>
      </c>
      <c r="AG10" s="57" t="n">
        <f aca="false">IFERROR(P10/P$58,0)</f>
        <v>0.0166364558797816</v>
      </c>
      <c r="AH10" s="57" t="n">
        <f aca="false">IFERROR(Q10/Q$58,0)</f>
        <v>0.0173295006595248</v>
      </c>
      <c r="AI10" s="57" t="n">
        <f aca="false">IFERROR(R10/R$58,0)</f>
        <v>0.0170193622387424</v>
      </c>
      <c r="AJ10" s="49" t="n">
        <f aca="false">K10-N10</f>
        <v>298892.52</v>
      </c>
      <c r="AK10" s="57" t="n">
        <f aca="false">IFERROR(I10/I$58,0)</f>
        <v>0.0161872262474085</v>
      </c>
    </row>
    <row r="11" customFormat="false" ht="15" hidden="false" customHeight="false" outlineLevel="0" collapsed="false">
      <c r="A11" s="13" t="n">
        <v>6</v>
      </c>
      <c r="B11" s="53"/>
      <c r="C11" s="54" t="n">
        <v>62648</v>
      </c>
      <c r="D11" s="54" t="n">
        <v>36081</v>
      </c>
      <c r="E11" s="54" t="n">
        <v>7302</v>
      </c>
      <c r="F11" s="54" t="n">
        <v>100761</v>
      </c>
      <c r="G11" s="54" t="n">
        <v>27173</v>
      </c>
      <c r="H11" s="54" t="n">
        <v>17300</v>
      </c>
      <c r="I11" s="55" t="n">
        <f aca="false">SUM(C11:H11)</f>
        <v>251265</v>
      </c>
      <c r="J11" s="54" t="n">
        <v>5581</v>
      </c>
      <c r="K11" s="56" t="n">
        <v>424854.3</v>
      </c>
      <c r="L11" s="54" t="n">
        <v>10969</v>
      </c>
      <c r="M11" s="56" t="n">
        <v>36767.31</v>
      </c>
      <c r="N11" s="56" t="n">
        <v>109533.74</v>
      </c>
      <c r="O11" s="54" t="n">
        <v>1894</v>
      </c>
      <c r="P11" s="56" t="n">
        <v>27494.56</v>
      </c>
      <c r="Q11" s="56" t="n">
        <v>11786.28</v>
      </c>
      <c r="R11" s="56" t="n">
        <v>1415.39</v>
      </c>
      <c r="S11" s="27"/>
      <c r="T11" s="27"/>
      <c r="U11" s="57" t="n">
        <f aca="false">IFERROR(J11/I11,0)</f>
        <v>0.0222116092571588</v>
      </c>
      <c r="V11" s="58" t="n">
        <f aca="false">IFERROR(K11/J11,0)</f>
        <v>76.125120946067</v>
      </c>
      <c r="W11" s="59" t="n">
        <f aca="false">IFERROR(L11/J11,0)</f>
        <v>1.96541838380219</v>
      </c>
      <c r="X11" s="22" t="n">
        <f aca="false">IFERROR(M11/(K11+M11),0)</f>
        <v>0.0796481559864583</v>
      </c>
      <c r="Y11" s="22" t="n">
        <f aca="false">IFERROR(N11/K11,0)</f>
        <v>0.257814832049481</v>
      </c>
      <c r="Z11" s="22" t="n">
        <f aca="false">IFERROR(O11/J11,0)</f>
        <v>0.339365705070776</v>
      </c>
      <c r="AA11" s="58" t="n">
        <f aca="false">IFERROR(P11/C11,0)</f>
        <v>0.438873707061678</v>
      </c>
      <c r="AB11" s="58" t="n">
        <f aca="false">IFERROR(Q11/D11,0)</f>
        <v>0.326661677891411</v>
      </c>
      <c r="AC11" s="58" t="n">
        <f aca="false">IFERROR(R11/E11,0)</f>
        <v>0.193835935360175</v>
      </c>
      <c r="AD11" s="57" t="n">
        <f aca="false">IFERROR(F11/F$58,0)</f>
        <v>0.0162439430410081</v>
      </c>
      <c r="AE11" s="57" t="n">
        <f aca="false">IFERROR(G11/G$58,0)</f>
        <v>0.0145158481458412</v>
      </c>
      <c r="AF11" s="57" t="n">
        <f aca="false">IFERROR(H11/H$58,0)</f>
        <v>0.0159709752911472</v>
      </c>
      <c r="AG11" s="57" t="n">
        <f aca="false">IFERROR(P11/P$58,0)</f>
        <v>0.0158200105893061</v>
      </c>
      <c r="AH11" s="57" t="n">
        <f aca="false">IFERROR(Q11/Q$58,0)</f>
        <v>0.0164522187326492</v>
      </c>
      <c r="AI11" s="57" t="n">
        <f aca="false">IFERROR(R11/R$58,0)</f>
        <v>0.0153359107178013</v>
      </c>
      <c r="AJ11" s="49" t="n">
        <f aca="false">K11-N11</f>
        <v>315320.56</v>
      </c>
      <c r="AK11" s="57" t="n">
        <f aca="false">IFERROR(I11/I$58,0)</f>
        <v>0.0160287662337787</v>
      </c>
    </row>
    <row r="12" customFormat="false" ht="15" hidden="false" customHeight="false" outlineLevel="0" collapsed="false">
      <c r="A12" s="13" t="n">
        <v>7</v>
      </c>
      <c r="B12" s="53"/>
      <c r="C12" s="54" t="n">
        <v>57360</v>
      </c>
      <c r="D12" s="54" t="n">
        <v>31737</v>
      </c>
      <c r="E12" s="54" t="n">
        <v>7047</v>
      </c>
      <c r="F12" s="54" t="n">
        <v>99251</v>
      </c>
      <c r="G12" s="54" t="n">
        <v>27651</v>
      </c>
      <c r="H12" s="54" t="n">
        <v>17352</v>
      </c>
      <c r="I12" s="55" t="n">
        <f aca="false">SUM(C12:H12)</f>
        <v>240398</v>
      </c>
      <c r="J12" s="54" t="n">
        <v>5088</v>
      </c>
      <c r="K12" s="56" t="n">
        <v>371595.33</v>
      </c>
      <c r="L12" s="54" t="n">
        <v>9571</v>
      </c>
      <c r="M12" s="56" t="n">
        <v>32411.72</v>
      </c>
      <c r="N12" s="56" t="n">
        <v>99083.13</v>
      </c>
      <c r="O12" s="54" t="n">
        <v>1831</v>
      </c>
      <c r="P12" s="56" t="n">
        <v>25540.35</v>
      </c>
      <c r="Q12" s="56" t="n">
        <v>10678.07</v>
      </c>
      <c r="R12" s="56" t="n">
        <v>1364.3</v>
      </c>
      <c r="S12" s="27"/>
      <c r="T12" s="27"/>
      <c r="U12" s="57" t="n">
        <f aca="false">IFERROR(J12/I12,0)</f>
        <v>0.0211649015382824</v>
      </c>
      <c r="V12" s="58" t="n">
        <f aca="false">IFERROR(K12/J12,0)</f>
        <v>73.0336733490566</v>
      </c>
      <c r="W12" s="59" t="n">
        <f aca="false">IFERROR(L12/J12,0)</f>
        <v>1.8810927672956</v>
      </c>
      <c r="X12" s="22" t="n">
        <f aca="false">IFERROR(M12/(K12+M12),0)</f>
        <v>0.0802256297260159</v>
      </c>
      <c r="Y12" s="22" t="n">
        <f aca="false">IFERROR(N12/K12,0)</f>
        <v>0.266642559797509</v>
      </c>
      <c r="Z12" s="22" t="n">
        <f aca="false">IFERROR(O12/J12,0)</f>
        <v>0.359866352201258</v>
      </c>
      <c r="AA12" s="58" t="n">
        <f aca="false">IFERROR(P12/C12,0)</f>
        <v>0.445264121338912</v>
      </c>
      <c r="AB12" s="58" t="n">
        <f aca="false">IFERROR(Q12/D12,0)</f>
        <v>0.336454926426568</v>
      </c>
      <c r="AC12" s="58" t="n">
        <f aca="false">IFERROR(R12/E12,0)</f>
        <v>0.193600113523485</v>
      </c>
      <c r="AD12" s="57" t="n">
        <f aca="false">IFERROR(F12/F$58,0)</f>
        <v>0.0160005120112256</v>
      </c>
      <c r="AE12" s="57" t="n">
        <f aca="false">IFERROR(G12/G$58,0)</f>
        <v>0.0147711963007638</v>
      </c>
      <c r="AF12" s="57" t="n">
        <f aca="false">IFERROR(H12/H$58,0)</f>
        <v>0.0160189805347969</v>
      </c>
      <c r="AG12" s="57" t="n">
        <f aca="false">IFERROR(P12/P$58,0)</f>
        <v>0.0146955836883581</v>
      </c>
      <c r="AH12" s="57" t="n">
        <f aca="false">IFERROR(Q12/Q$58,0)</f>
        <v>0.0149052918548125</v>
      </c>
      <c r="AI12" s="57" t="n">
        <f aca="false">IFERROR(R12/R$58,0)</f>
        <v>0.0147823447899846</v>
      </c>
      <c r="AJ12" s="49" t="n">
        <f aca="false">K12-N12</f>
        <v>272512.2</v>
      </c>
      <c r="AK12" s="57" t="n">
        <f aca="false">IFERROR(I12/I$58,0)</f>
        <v>0.015335535570286</v>
      </c>
    </row>
    <row r="13" customFormat="false" ht="15" hidden="false" customHeight="false" outlineLevel="0" collapsed="false">
      <c r="A13" s="13" t="n">
        <v>8</v>
      </c>
      <c r="B13" s="53"/>
      <c r="C13" s="54" t="n">
        <v>61774</v>
      </c>
      <c r="D13" s="54" t="n">
        <v>34290</v>
      </c>
      <c r="E13" s="54" t="n">
        <v>7446</v>
      </c>
      <c r="F13" s="54" t="n">
        <v>101520</v>
      </c>
      <c r="G13" s="54" t="n">
        <v>27107</v>
      </c>
      <c r="H13" s="54" t="n">
        <v>18453</v>
      </c>
      <c r="I13" s="55" t="n">
        <f aca="false">SUM(C13:H13)</f>
        <v>250590</v>
      </c>
      <c r="J13" s="54" t="n">
        <v>5435</v>
      </c>
      <c r="K13" s="56" t="n">
        <v>402459.81</v>
      </c>
      <c r="L13" s="54" t="n">
        <v>10188</v>
      </c>
      <c r="M13" s="56" t="n">
        <v>32251.5</v>
      </c>
      <c r="N13" s="56" t="n">
        <v>103237.04</v>
      </c>
      <c r="O13" s="54" t="n">
        <v>2013</v>
      </c>
      <c r="P13" s="56" t="n">
        <v>26420.26</v>
      </c>
      <c r="Q13" s="56" t="n">
        <v>11643.41</v>
      </c>
      <c r="R13" s="56" t="n">
        <v>1563.17</v>
      </c>
      <c r="S13" s="27"/>
      <c r="T13" s="27"/>
      <c r="U13" s="57" t="n">
        <f aca="false">IFERROR(J13/I13,0)</f>
        <v>0.0216888143980207</v>
      </c>
      <c r="V13" s="58" t="n">
        <f aca="false">IFERROR(K13/J13,0)</f>
        <v>74.0496430542778</v>
      </c>
      <c r="W13" s="59" t="n">
        <f aca="false">IFERROR(L13/J13,0)</f>
        <v>1.87451701931923</v>
      </c>
      <c r="X13" s="22" t="n">
        <f aca="false">IFERROR(M13/(K13+M13),0)</f>
        <v>0.0741906162965946</v>
      </c>
      <c r="Y13" s="22" t="n">
        <f aca="false">IFERROR(N13/K13,0)</f>
        <v>0.256515153649752</v>
      </c>
      <c r="Z13" s="22" t="n">
        <f aca="false">IFERROR(O13/J13,0)</f>
        <v>0.370377184912604</v>
      </c>
      <c r="AA13" s="58" t="n">
        <f aca="false">IFERROR(P13/C13,0)</f>
        <v>0.427692232978276</v>
      </c>
      <c r="AB13" s="58" t="n">
        <f aca="false">IFERROR(Q13/D13,0)</f>
        <v>0.33955701370662</v>
      </c>
      <c r="AC13" s="58" t="n">
        <f aca="false">IFERROR(R13/E13,0)</f>
        <v>0.209934192855224</v>
      </c>
      <c r="AD13" s="57" t="n">
        <f aca="false">IFERROR(F13/F$58,0)</f>
        <v>0.0163663034063094</v>
      </c>
      <c r="AE13" s="57" t="n">
        <f aca="false">IFERROR(G13/G$58,0)</f>
        <v>0.0144805908692201</v>
      </c>
      <c r="AF13" s="57" t="n">
        <f aca="false">IFERROR(H13/H$58,0)</f>
        <v>0.0170353992513028</v>
      </c>
      <c r="AG13" s="57" t="n">
        <f aca="false">IFERROR(P13/P$58,0)</f>
        <v>0.0152018724057493</v>
      </c>
      <c r="AH13" s="57" t="n">
        <f aca="false">IFERROR(Q13/Q$58,0)</f>
        <v>0.0162527895242532</v>
      </c>
      <c r="AI13" s="57" t="n">
        <f aca="false">IFERROR(R13/R$58,0)</f>
        <v>0.0169371237303821</v>
      </c>
      <c r="AJ13" s="49" t="n">
        <f aca="false">K13-N13</f>
        <v>299222.77</v>
      </c>
      <c r="AK13" s="57" t="n">
        <f aca="false">IFERROR(I13/I$58,0)</f>
        <v>0.0159857064474662</v>
      </c>
    </row>
    <row r="14" customFormat="false" ht="15" hidden="false" customHeight="false" outlineLevel="0" collapsed="false">
      <c r="A14" s="13" t="n">
        <v>9</v>
      </c>
      <c r="B14" s="53"/>
      <c r="C14" s="54" t="n">
        <v>74750</v>
      </c>
      <c r="D14" s="54" t="n">
        <v>40037</v>
      </c>
      <c r="E14" s="54" t="n">
        <v>8373</v>
      </c>
      <c r="F14" s="54" t="n">
        <v>122552</v>
      </c>
      <c r="G14" s="54" t="n">
        <v>30007</v>
      </c>
      <c r="H14" s="54" t="n">
        <v>20086</v>
      </c>
      <c r="I14" s="55" t="n">
        <f aca="false">SUM(C14:H14)</f>
        <v>295805</v>
      </c>
      <c r="J14" s="54" t="n">
        <v>6146</v>
      </c>
      <c r="K14" s="56" t="n">
        <v>462415.21</v>
      </c>
      <c r="L14" s="54" t="n">
        <v>11791</v>
      </c>
      <c r="M14" s="56" t="n">
        <v>42505.45</v>
      </c>
      <c r="N14" s="56" t="n">
        <v>115846.55</v>
      </c>
      <c r="O14" s="54" t="n">
        <v>2093</v>
      </c>
      <c r="P14" s="56" t="n">
        <v>33174.94</v>
      </c>
      <c r="Q14" s="56" t="n">
        <v>13110.05</v>
      </c>
      <c r="R14" s="56" t="n">
        <v>1741.77</v>
      </c>
      <c r="S14" s="27"/>
      <c r="T14" s="27"/>
      <c r="U14" s="57" t="n">
        <f aca="false">IFERROR(J14/I14,0)</f>
        <v>0.0207772011967343</v>
      </c>
      <c r="V14" s="58" t="n">
        <f aca="false">IFERROR(K14/J14,0)</f>
        <v>75.2384005857468</v>
      </c>
      <c r="W14" s="59" t="n">
        <f aca="false">IFERROR(L14/J14,0)</f>
        <v>1.91848356654735</v>
      </c>
      <c r="X14" s="22" t="n">
        <f aca="false">IFERROR(M14/(K14+M14),0)</f>
        <v>0.0841824337312718</v>
      </c>
      <c r="Y14" s="22" t="n">
        <f aca="false">IFERROR(N14/K14,0)</f>
        <v>0.250524955699446</v>
      </c>
      <c r="Z14" s="22" t="n">
        <f aca="false">IFERROR(O14/J14,0)</f>
        <v>0.340546697038724</v>
      </c>
      <c r="AA14" s="58" t="n">
        <f aca="false">IFERROR(P14/C14,0)</f>
        <v>0.443811906354515</v>
      </c>
      <c r="AB14" s="58" t="n">
        <f aca="false">IFERROR(Q14/D14,0)</f>
        <v>0.327448360266753</v>
      </c>
      <c r="AC14" s="58" t="n">
        <f aca="false">IFERROR(R14/E14,0)</f>
        <v>0.208022214260122</v>
      </c>
      <c r="AD14" s="57" t="n">
        <f aca="false">IFERROR(F14/F$58,0)</f>
        <v>0.019756926862195</v>
      </c>
      <c r="AE14" s="57" t="n">
        <f aca="false">IFERROR(G14/G$58,0)</f>
        <v>0.0160297742359054</v>
      </c>
      <c r="AF14" s="57" t="n">
        <f aca="false">IFERROR(H14/H$58,0)</f>
        <v>0.0185429485374556</v>
      </c>
      <c r="AG14" s="57" t="n">
        <f aca="false">IFERROR(P14/P$58,0)</f>
        <v>0.0190884270233673</v>
      </c>
      <c r="AH14" s="57" t="n">
        <f aca="false">IFERROR(Q14/Q$58,0)</f>
        <v>0.0183000412510112</v>
      </c>
      <c r="AI14" s="57" t="n">
        <f aca="false">IFERROR(R14/R$58,0)</f>
        <v>0.018872274928426</v>
      </c>
      <c r="AJ14" s="49" t="n">
        <f aca="false">K14-N14</f>
        <v>346568.66</v>
      </c>
      <c r="AK14" s="57" t="n">
        <f aca="false">IFERROR(I14/I$58,0)</f>
        <v>0.0188700742076409</v>
      </c>
    </row>
    <row r="15" customFormat="false" ht="15" hidden="false" customHeight="false" outlineLevel="0" collapsed="false">
      <c r="A15" s="13" t="n">
        <v>10</v>
      </c>
      <c r="B15" s="53" t="s">
        <v>422</v>
      </c>
      <c r="C15" s="54" t="n">
        <v>72468</v>
      </c>
      <c r="D15" s="54" t="n">
        <v>38447</v>
      </c>
      <c r="E15" s="54" t="n">
        <v>8685</v>
      </c>
      <c r="F15" s="54" t="n">
        <v>117465</v>
      </c>
      <c r="G15" s="54" t="n">
        <v>28652</v>
      </c>
      <c r="H15" s="54" t="n">
        <v>19384</v>
      </c>
      <c r="I15" s="55" t="n">
        <f aca="false">SUM(C15:H15)</f>
        <v>285101</v>
      </c>
      <c r="J15" s="54" t="n">
        <v>6113</v>
      </c>
      <c r="K15" s="56" t="n">
        <v>456091.34</v>
      </c>
      <c r="L15" s="54" t="n">
        <v>11962</v>
      </c>
      <c r="M15" s="56" t="n">
        <v>39188.38</v>
      </c>
      <c r="N15" s="56" t="n">
        <v>118298.16</v>
      </c>
      <c r="O15" s="54" t="n">
        <v>2657</v>
      </c>
      <c r="P15" s="56" t="n">
        <v>31962.18</v>
      </c>
      <c r="Q15" s="56" t="n">
        <v>13321.94</v>
      </c>
      <c r="R15" s="56" t="n">
        <v>1695.06</v>
      </c>
      <c r="S15" s="27"/>
      <c r="T15" s="27"/>
      <c r="U15" s="57" t="n">
        <f aca="false">IFERROR(J15/I15,0)</f>
        <v>0.0214415242317635</v>
      </c>
      <c r="V15" s="58" t="n">
        <f aca="false">IFERROR(K15/J15,0)</f>
        <v>74.6100670701783</v>
      </c>
      <c r="W15" s="59" t="n">
        <f aca="false">IFERROR(L15/J15,0)</f>
        <v>1.95681334860134</v>
      </c>
      <c r="X15" s="22" t="n">
        <f aca="false">IFERROR(M15/(K15+M15),0)</f>
        <v>0.0791237323426043</v>
      </c>
      <c r="Y15" s="22" t="n">
        <f aca="false">IFERROR(N15/K15,0)</f>
        <v>0.259373835074352</v>
      </c>
      <c r="Z15" s="22" t="n">
        <f aca="false">IFERROR(O15/J15,0)</f>
        <v>0.434647472599378</v>
      </c>
      <c r="AA15" s="58" t="n">
        <f aca="false">IFERROR(P15/C15,0)</f>
        <v>0.44105232654413</v>
      </c>
      <c r="AB15" s="58" t="n">
        <f aca="false">IFERROR(Q15/D15,0)</f>
        <v>0.346501417535829</v>
      </c>
      <c r="AC15" s="58" t="n">
        <f aca="false">IFERROR(R15/E15,0)</f>
        <v>0.195170984455959</v>
      </c>
      <c r="AD15" s="57" t="n">
        <f aca="false">IFERROR(F15/F$58,0)</f>
        <v>0.018936838353252</v>
      </c>
      <c r="AE15" s="57" t="n">
        <f aca="false">IFERROR(G15/G$58,0)</f>
        <v>0.0153059316628507</v>
      </c>
      <c r="AF15" s="57" t="n">
        <f aca="false">IFERROR(H15/H$58,0)</f>
        <v>0.0178948777481848</v>
      </c>
      <c r="AG15" s="57" t="n">
        <f aca="false">IFERROR(P15/P$58,0)</f>
        <v>0.0183906207648825</v>
      </c>
      <c r="AH15" s="57" t="n">
        <f aca="false">IFERROR(Q15/Q$58,0)</f>
        <v>0.0185958140162315</v>
      </c>
      <c r="AI15" s="57" t="n">
        <f aca="false">IFERROR(R15/R$58,0)</f>
        <v>0.0183661667959476</v>
      </c>
      <c r="AJ15" s="49" t="n">
        <f aca="false">K15-N15</f>
        <v>337793.18</v>
      </c>
      <c r="AK15" s="57" t="n">
        <f aca="false">IFERROR(I15/I$58,0)</f>
        <v>0.0181872416851393</v>
      </c>
    </row>
    <row r="16" customFormat="false" ht="15" hidden="false" customHeight="false" outlineLevel="0" collapsed="false">
      <c r="A16" s="13" t="n">
        <v>11</v>
      </c>
      <c r="B16" s="53"/>
      <c r="C16" s="54" t="n">
        <v>68857</v>
      </c>
      <c r="D16" s="54" t="n">
        <v>41496</v>
      </c>
      <c r="E16" s="54" t="n">
        <v>8476</v>
      </c>
      <c r="F16" s="54" t="n">
        <v>106954</v>
      </c>
      <c r="G16" s="54" t="n">
        <v>32436</v>
      </c>
      <c r="H16" s="54" t="n">
        <v>19170</v>
      </c>
      <c r="I16" s="55" t="n">
        <f aca="false">SUM(C16:H16)</f>
        <v>277389</v>
      </c>
      <c r="J16" s="54" t="n">
        <v>6195</v>
      </c>
      <c r="K16" s="56" t="n">
        <v>450866.02</v>
      </c>
      <c r="L16" s="54" t="n">
        <v>11428</v>
      </c>
      <c r="M16" s="56" t="n">
        <v>40379.26</v>
      </c>
      <c r="N16" s="56" t="n">
        <v>119423.7</v>
      </c>
      <c r="O16" s="54" t="n">
        <v>2072</v>
      </c>
      <c r="P16" s="56" t="n">
        <v>31229.76</v>
      </c>
      <c r="Q16" s="56" t="n">
        <v>13248.78</v>
      </c>
      <c r="R16" s="56" t="n">
        <v>1763.89</v>
      </c>
      <c r="S16" s="27"/>
      <c r="T16" s="27"/>
      <c r="U16" s="57" t="n">
        <f aca="false">IFERROR(J16/I16,0)</f>
        <v>0.0223332576273753</v>
      </c>
      <c r="V16" s="58" t="n">
        <f aca="false">IFERROR(K16/J16,0)</f>
        <v>72.7790185633576</v>
      </c>
      <c r="W16" s="59" t="n">
        <f aca="false">IFERROR(L16/J16,0)</f>
        <v>1.84471347861178</v>
      </c>
      <c r="X16" s="22" t="n">
        <f aca="false">IFERROR(M16/(K16+M16),0)</f>
        <v>0.0821977566888785</v>
      </c>
      <c r="Y16" s="22" t="n">
        <f aca="false">IFERROR(N16/K16,0)</f>
        <v>0.264876248602634</v>
      </c>
      <c r="Z16" s="22" t="n">
        <f aca="false">IFERROR(O16/J16,0)</f>
        <v>0.334463276836158</v>
      </c>
      <c r="AA16" s="58" t="n">
        <f aca="false">IFERROR(P16/C16,0)</f>
        <v>0.453545173330235</v>
      </c>
      <c r="AB16" s="58" t="n">
        <f aca="false">IFERROR(Q16/D16,0)</f>
        <v>0.319278484673222</v>
      </c>
      <c r="AC16" s="58" t="n">
        <f aca="false">IFERROR(R16/E16,0)</f>
        <v>0.208104058518169</v>
      </c>
      <c r="AD16" s="57" t="n">
        <f aca="false">IFERROR(F16/F$58,0)</f>
        <v>0.0172423326883217</v>
      </c>
      <c r="AE16" s="57" t="n">
        <f aca="false">IFERROR(G16/G$58,0)</f>
        <v>0.0173273488557945</v>
      </c>
      <c r="AF16" s="57" t="n">
        <f aca="false">IFERROR(H16/H$58,0)</f>
        <v>0.0176973177070111</v>
      </c>
      <c r="AG16" s="57" t="n">
        <f aca="false">IFERROR(P16/P$58,0)</f>
        <v>0.0179691958664364</v>
      </c>
      <c r="AH16" s="57" t="n">
        <f aca="false">IFERROR(Q16/Q$58,0)</f>
        <v>0.0184936915210523</v>
      </c>
      <c r="AI16" s="57" t="n">
        <f aca="false">IFERROR(R16/R$58,0)</f>
        <v>0.0191119476299978</v>
      </c>
      <c r="AJ16" s="49" t="n">
        <f aca="false">K16-N16</f>
        <v>331442.32</v>
      </c>
      <c r="AK16" s="57" t="n">
        <f aca="false">IFERROR(I16/I$58,0)</f>
        <v>0.0176952756524849</v>
      </c>
    </row>
    <row r="17" customFormat="false" ht="15" hidden="false" customHeight="false" outlineLevel="0" collapsed="false">
      <c r="A17" s="13" t="n">
        <v>12</v>
      </c>
      <c r="B17" s="53"/>
      <c r="C17" s="54" t="n">
        <v>68147</v>
      </c>
      <c r="D17" s="54" t="n">
        <v>42262</v>
      </c>
      <c r="E17" s="54" t="n">
        <v>8904</v>
      </c>
      <c r="F17" s="54" t="n">
        <v>116013</v>
      </c>
      <c r="G17" s="54" t="n">
        <v>33064</v>
      </c>
      <c r="H17" s="54" t="n">
        <v>20000</v>
      </c>
      <c r="I17" s="55" t="n">
        <f aca="false">SUM(C17:H17)</f>
        <v>288390</v>
      </c>
      <c r="J17" s="54" t="n">
        <v>6246</v>
      </c>
      <c r="K17" s="56" t="n">
        <v>452227.82</v>
      </c>
      <c r="L17" s="54" t="n">
        <v>11460</v>
      </c>
      <c r="M17" s="56" t="n">
        <v>42606.17</v>
      </c>
      <c r="N17" s="56" t="n">
        <v>121351.26</v>
      </c>
      <c r="O17" s="54" t="n">
        <v>2080</v>
      </c>
      <c r="P17" s="56" t="n">
        <v>29202.66</v>
      </c>
      <c r="Q17" s="56" t="n">
        <v>13994.7</v>
      </c>
      <c r="R17" s="56" t="n">
        <v>1697.82</v>
      </c>
      <c r="S17" s="27"/>
      <c r="T17" s="27"/>
      <c r="U17" s="57" t="n">
        <f aca="false">IFERROR(J17/I17,0)</f>
        <v>0.0216581712264642</v>
      </c>
      <c r="V17" s="58" t="n">
        <f aca="false">IFERROR(K17/J17,0)</f>
        <v>72.4027889849504</v>
      </c>
      <c r="W17" s="59" t="n">
        <f aca="false">IFERROR(L17/J17,0)</f>
        <v>1.83477425552354</v>
      </c>
      <c r="X17" s="22" t="n">
        <f aca="false">IFERROR(M17/(K17+M17),0)</f>
        <v>0.0861019470388443</v>
      </c>
      <c r="Y17" s="22" t="n">
        <f aca="false">IFERROR(N17/K17,0)</f>
        <v>0.268340987956026</v>
      </c>
      <c r="Z17" s="22" t="n">
        <f aca="false">IFERROR(O17/J17,0)</f>
        <v>0.333013128402177</v>
      </c>
      <c r="AA17" s="58" t="n">
        <f aca="false">IFERROR(P17/C17,0)</f>
        <v>0.428524513184733</v>
      </c>
      <c r="AB17" s="58" t="n">
        <f aca="false">IFERROR(Q17/D17,0)</f>
        <v>0.331141450948843</v>
      </c>
      <c r="AC17" s="58" t="n">
        <f aca="false">IFERROR(R17/E17,0)</f>
        <v>0.190680592991914</v>
      </c>
      <c r="AD17" s="57" t="n">
        <f aca="false">IFERROR(F17/F$58,0)</f>
        <v>0.0187027576544147</v>
      </c>
      <c r="AE17" s="57" t="n">
        <f aca="false">IFERROR(G17/G$58,0)</f>
        <v>0.017662827184856</v>
      </c>
      <c r="AF17" s="57" t="n">
        <f aca="false">IFERROR(H17/H$58,0)</f>
        <v>0.0184635552498811</v>
      </c>
      <c r="AG17" s="57" t="n">
        <f aca="false">IFERROR(P17/P$58,0)</f>
        <v>0.0168028290118447</v>
      </c>
      <c r="AH17" s="57" t="n">
        <f aca="false">IFERROR(Q17/Q$58,0)</f>
        <v>0.0195349054576852</v>
      </c>
      <c r="AI17" s="57" t="n">
        <f aca="false">IFERROR(R17/R$58,0)</f>
        <v>0.0183960717080786</v>
      </c>
      <c r="AJ17" s="49" t="n">
        <f aca="false">K17-N17</f>
        <v>330876.56</v>
      </c>
      <c r="AK17" s="57" t="n">
        <f aca="false">IFERROR(I17/I$58,0)</f>
        <v>0.018397054480964</v>
      </c>
    </row>
    <row r="18" customFormat="false" ht="15" hidden="false" customHeight="false" outlineLevel="0" collapsed="false">
      <c r="A18" s="13" t="n">
        <v>13</v>
      </c>
      <c r="B18" s="53"/>
      <c r="C18" s="54" t="n">
        <v>77581</v>
      </c>
      <c r="D18" s="54" t="n">
        <v>43022</v>
      </c>
      <c r="E18" s="54" t="n">
        <v>8381</v>
      </c>
      <c r="F18" s="54" t="n">
        <v>113357</v>
      </c>
      <c r="G18" s="54" t="n">
        <v>30725</v>
      </c>
      <c r="H18" s="54" t="n">
        <v>21134</v>
      </c>
      <c r="I18" s="55" t="n">
        <f aca="false">SUM(C18:H18)</f>
        <v>294200</v>
      </c>
      <c r="J18" s="54" t="n">
        <v>6480</v>
      </c>
      <c r="K18" s="56" t="n">
        <v>470385.26</v>
      </c>
      <c r="L18" s="54" t="n">
        <v>12158</v>
      </c>
      <c r="M18" s="56" t="n">
        <v>41546.57</v>
      </c>
      <c r="N18" s="56" t="n">
        <v>117771.56</v>
      </c>
      <c r="O18" s="54" t="n">
        <v>2285</v>
      </c>
      <c r="P18" s="56" t="n">
        <v>35885.78</v>
      </c>
      <c r="Q18" s="56" t="n">
        <v>14182.01</v>
      </c>
      <c r="R18" s="56" t="n">
        <v>1725.46</v>
      </c>
      <c r="S18" s="27"/>
      <c r="T18" s="27"/>
      <c r="U18" s="57" t="n">
        <f aca="false">IFERROR(J18/I18,0)</f>
        <v>0.0220258327668253</v>
      </c>
      <c r="V18" s="58" t="n">
        <f aca="false">IFERROR(K18/J18,0)</f>
        <v>72.5903179012346</v>
      </c>
      <c r="W18" s="59" t="n">
        <f aca="false">IFERROR(L18/J18,0)</f>
        <v>1.87623456790123</v>
      </c>
      <c r="X18" s="22" t="n">
        <f aca="false">IFERROR(M18/(K18+M18),0)</f>
        <v>0.0811564500687523</v>
      </c>
      <c r="Y18" s="22" t="n">
        <f aca="false">IFERROR(N18/K18,0)</f>
        <v>0.250372556316922</v>
      </c>
      <c r="Z18" s="22" t="n">
        <f aca="false">IFERROR(O18/J18,0)</f>
        <v>0.352623456790123</v>
      </c>
      <c r="AA18" s="58" t="n">
        <f aca="false">IFERROR(P18/C18,0)</f>
        <v>0.462558873951096</v>
      </c>
      <c r="AB18" s="58" t="n">
        <f aca="false">IFERROR(Q18/D18,0)</f>
        <v>0.329645530193854</v>
      </c>
      <c r="AC18" s="58" t="n">
        <f aca="false">IFERROR(R18/E18,0)</f>
        <v>0.205877580241021</v>
      </c>
      <c r="AD18" s="57" t="n">
        <f aca="false">IFERROR(F18/F$58,0)</f>
        <v>0.0182745769821613</v>
      </c>
      <c r="AE18" s="57" t="n">
        <f aca="false">IFERROR(G18/G$58,0)</f>
        <v>0.0164133306694502</v>
      </c>
      <c r="AF18" s="57" t="n">
        <f aca="false">IFERROR(H18/H$58,0)</f>
        <v>0.0195104388325494</v>
      </c>
      <c r="AG18" s="57" t="n">
        <f aca="false">IFERROR(P18/P$58,0)</f>
        <v>0.0206482089404416</v>
      </c>
      <c r="AH18" s="57" t="n">
        <f aca="false">IFERROR(Q18/Q$58,0)</f>
        <v>0.0197963675212721</v>
      </c>
      <c r="AI18" s="57" t="n">
        <f aca="false">IFERROR(R18/R$58,0)</f>
        <v>0.0186955542339125</v>
      </c>
      <c r="AJ18" s="49" t="n">
        <f aca="false">K18-N18</f>
        <v>352613.7</v>
      </c>
      <c r="AK18" s="57" t="n">
        <f aca="false">IFERROR(I18/I$58,0)</f>
        <v>0.0187676876046313</v>
      </c>
    </row>
    <row r="19" customFormat="false" ht="15" hidden="false" customHeight="false" outlineLevel="0" collapsed="false">
      <c r="A19" s="13" t="n">
        <v>14</v>
      </c>
      <c r="B19" s="53"/>
      <c r="C19" s="54" t="n">
        <v>75270</v>
      </c>
      <c r="D19" s="54" t="n">
        <v>42935</v>
      </c>
      <c r="E19" s="54" t="n">
        <v>8436</v>
      </c>
      <c r="F19" s="54" t="n">
        <v>115021</v>
      </c>
      <c r="G19" s="54" t="n">
        <v>31736</v>
      </c>
      <c r="H19" s="54" t="n">
        <v>20568</v>
      </c>
      <c r="I19" s="55" t="n">
        <f aca="false">SUM(C19:H19)</f>
        <v>293966</v>
      </c>
      <c r="J19" s="54" t="n">
        <v>6501</v>
      </c>
      <c r="K19" s="56" t="n">
        <v>496796.81</v>
      </c>
      <c r="L19" s="54" t="n">
        <v>11960</v>
      </c>
      <c r="M19" s="56" t="n">
        <v>43309.43</v>
      </c>
      <c r="N19" s="56" t="n">
        <v>129880.05</v>
      </c>
      <c r="O19" s="54" t="n">
        <v>2307</v>
      </c>
      <c r="P19" s="56" t="n">
        <v>33004.63</v>
      </c>
      <c r="Q19" s="56" t="n">
        <v>14793.8</v>
      </c>
      <c r="R19" s="56" t="n">
        <v>1740.81</v>
      </c>
      <c r="S19" s="27"/>
      <c r="T19" s="27"/>
      <c r="U19" s="57" t="n">
        <f aca="false">IFERROR(J19/I19,0)</f>
        <v>0.0221148023921134</v>
      </c>
      <c r="V19" s="58" t="n">
        <f aca="false">IFERROR(K19/J19,0)</f>
        <v>76.4185217658822</v>
      </c>
      <c r="W19" s="59" t="n">
        <f aca="false">IFERROR(L19/J19,0)</f>
        <v>1.83971696662052</v>
      </c>
      <c r="X19" s="22" t="n">
        <f aca="false">IFERROR(M19/(K19+M19),0)</f>
        <v>0.0801868721235289</v>
      </c>
      <c r="Y19" s="22" t="n">
        <f aca="false">IFERROR(N19/K19,0)</f>
        <v>0.261434951645523</v>
      </c>
      <c r="Z19" s="22" t="n">
        <f aca="false">IFERROR(O19/J19,0)</f>
        <v>0.354868481772035</v>
      </c>
      <c r="AA19" s="58" t="n">
        <f aca="false">IFERROR(P19/C19,0)</f>
        <v>0.438483193835525</v>
      </c>
      <c r="AB19" s="58" t="n">
        <f aca="false">IFERROR(Q19/D19,0)</f>
        <v>0.344562711074881</v>
      </c>
      <c r="AC19" s="58" t="n">
        <f aca="false">IFERROR(R19/E19,0)</f>
        <v>0.206354907539118</v>
      </c>
      <c r="AD19" s="57" t="n">
        <f aca="false">IFERROR(F19/F$58,0)</f>
        <v>0.0185428347527297</v>
      </c>
      <c r="AE19" s="57" t="n">
        <f aca="false">IFERROR(G19/G$58,0)</f>
        <v>0.0169534080431464</v>
      </c>
      <c r="AF19" s="57" t="n">
        <f aca="false">IFERROR(H19/H$58,0)</f>
        <v>0.0189879202189778</v>
      </c>
      <c r="AG19" s="57" t="n">
        <f aca="false">IFERROR(P19/P$58,0)</f>
        <v>0.0189904328745806</v>
      </c>
      <c r="AH19" s="57" t="n">
        <f aca="false">IFERROR(Q19/Q$58,0)</f>
        <v>0.0206503522304804</v>
      </c>
      <c r="AI19" s="57" t="n">
        <f aca="false">IFERROR(R19/R$58,0)</f>
        <v>0.0188618732198586</v>
      </c>
      <c r="AJ19" s="49" t="n">
        <f aca="false">K19-N19</f>
        <v>366916.76</v>
      </c>
      <c r="AK19" s="57" t="n">
        <f aca="false">IFERROR(I19/I$58,0)</f>
        <v>0.018752760212043</v>
      </c>
    </row>
    <row r="20" customFormat="false" ht="15" hidden="false" customHeight="false" outlineLevel="0" collapsed="false">
      <c r="A20" s="13" t="n">
        <v>15</v>
      </c>
      <c r="B20" s="53"/>
      <c r="C20" s="54" t="n">
        <v>75301</v>
      </c>
      <c r="D20" s="54" t="n">
        <v>39738</v>
      </c>
      <c r="E20" s="54" t="n">
        <v>9071</v>
      </c>
      <c r="F20" s="54" t="n">
        <v>115872</v>
      </c>
      <c r="G20" s="54" t="n">
        <v>33456</v>
      </c>
      <c r="H20" s="54" t="n">
        <v>20726</v>
      </c>
      <c r="I20" s="55" t="n">
        <f aca="false">SUM(C20:H20)</f>
        <v>294164</v>
      </c>
      <c r="J20" s="54" t="n">
        <v>6371</v>
      </c>
      <c r="K20" s="56" t="n">
        <v>480307.28</v>
      </c>
      <c r="L20" s="54" t="n">
        <v>11740</v>
      </c>
      <c r="M20" s="56" t="n">
        <v>40518.17</v>
      </c>
      <c r="N20" s="56" t="n">
        <v>120719.91</v>
      </c>
      <c r="O20" s="54" t="n">
        <v>2233</v>
      </c>
      <c r="P20" s="56" t="n">
        <v>34563.86</v>
      </c>
      <c r="Q20" s="56" t="n">
        <v>12686.58</v>
      </c>
      <c r="R20" s="56" t="n">
        <v>1773.83</v>
      </c>
      <c r="S20" s="27"/>
      <c r="T20" s="27"/>
      <c r="U20" s="57" t="n">
        <f aca="false">IFERROR(J20/I20,0)</f>
        <v>0.0216579867012959</v>
      </c>
      <c r="V20" s="58" t="n">
        <f aca="false">IFERROR(K20/J20,0)</f>
        <v>75.3896217234343</v>
      </c>
      <c r="W20" s="59" t="n">
        <f aca="false">IFERROR(L20/J20,0)</f>
        <v>1.8427248469628</v>
      </c>
      <c r="X20" s="22" t="n">
        <f aca="false">IFERROR(M20/(K20+M20),0)</f>
        <v>0.0777960639212235</v>
      </c>
      <c r="Y20" s="22" t="n">
        <f aca="false">IFERROR(N20/K20,0)</f>
        <v>0.25133891370541</v>
      </c>
      <c r="Z20" s="22" t="n">
        <f aca="false">IFERROR(O20/J20,0)</f>
        <v>0.350494427876315</v>
      </c>
      <c r="AA20" s="58" t="n">
        <f aca="false">IFERROR(P20/C20,0)</f>
        <v>0.459009309305321</v>
      </c>
      <c r="AB20" s="58" t="n">
        <f aca="false">IFERROR(Q20/D20,0)</f>
        <v>0.319255624339423</v>
      </c>
      <c r="AC20" s="58" t="n">
        <f aca="false">IFERROR(R20/E20,0)</f>
        <v>0.195549553522214</v>
      </c>
      <c r="AD20" s="57" t="n">
        <f aca="false">IFERROR(F20/F$58,0)</f>
        <v>0.0186800266774615</v>
      </c>
      <c r="AE20" s="57" t="n">
        <f aca="false">IFERROR(G20/G$58,0)</f>
        <v>0.017872234039939</v>
      </c>
      <c r="AF20" s="57" t="n">
        <f aca="false">IFERROR(H20/H$58,0)</f>
        <v>0.0191337823054518</v>
      </c>
      <c r="AG20" s="57" t="n">
        <f aca="false">IFERROR(P20/P$58,0)</f>
        <v>0.0198875934442047</v>
      </c>
      <c r="AH20" s="57" t="n">
        <f aca="false">IFERROR(Q20/Q$58,0)</f>
        <v>0.0177089284430077</v>
      </c>
      <c r="AI20" s="57" t="n">
        <f aca="false">IFERROR(R20/R$58,0)</f>
        <v>0.0192196486541218</v>
      </c>
      <c r="AJ20" s="49" t="n">
        <f aca="false">K20-N20</f>
        <v>359587.37</v>
      </c>
      <c r="AK20" s="57" t="n">
        <f aca="false">IFERROR(I20/I$58,0)</f>
        <v>0.0187653910826946</v>
      </c>
    </row>
    <row r="21" customFormat="false" ht="15" hidden="false" customHeight="false" outlineLevel="0" collapsed="false">
      <c r="A21" s="13" t="n">
        <v>16</v>
      </c>
      <c r="B21" s="53"/>
      <c r="C21" s="54" t="n">
        <v>73753</v>
      </c>
      <c r="D21" s="54" t="n">
        <v>41270</v>
      </c>
      <c r="E21" s="54" t="n">
        <v>8532</v>
      </c>
      <c r="F21" s="54" t="n">
        <v>121061</v>
      </c>
      <c r="G21" s="54" t="n">
        <v>30784</v>
      </c>
      <c r="H21" s="54" t="n">
        <v>20714</v>
      </c>
      <c r="I21" s="55" t="n">
        <f aca="false">SUM(C21:H21)</f>
        <v>296114</v>
      </c>
      <c r="J21" s="54" t="n">
        <v>6480</v>
      </c>
      <c r="K21" s="56" t="n">
        <v>496824.62</v>
      </c>
      <c r="L21" s="54" t="n">
        <v>12710</v>
      </c>
      <c r="M21" s="56" t="n">
        <v>44132.17</v>
      </c>
      <c r="N21" s="56" t="n">
        <v>128293.06</v>
      </c>
      <c r="O21" s="54" t="n">
        <v>2187</v>
      </c>
      <c r="P21" s="56" t="n">
        <v>31960.67</v>
      </c>
      <c r="Q21" s="56" t="n">
        <v>13235.77</v>
      </c>
      <c r="R21" s="56" t="n">
        <v>1706.35</v>
      </c>
      <c r="S21" s="27"/>
      <c r="T21" s="27"/>
      <c r="U21" s="57" t="n">
        <f aca="false">IFERROR(J21/I21,0)</f>
        <v>0.0218834638011036</v>
      </c>
      <c r="V21" s="58" t="n">
        <f aca="false">IFERROR(K21/J21,0)</f>
        <v>76.6704660493827</v>
      </c>
      <c r="W21" s="59" t="n">
        <f aca="false">IFERROR(L21/J21,0)</f>
        <v>1.96141975308642</v>
      </c>
      <c r="X21" s="22" t="n">
        <f aca="false">IFERROR(M21/(K21+M21),0)</f>
        <v>0.0815816915802092</v>
      </c>
      <c r="Y21" s="22" t="n">
        <f aca="false">IFERROR(N21/K21,0)</f>
        <v>0.258226051679967</v>
      </c>
      <c r="Z21" s="22" t="n">
        <f aca="false">IFERROR(O21/J21,0)</f>
        <v>0.3375</v>
      </c>
      <c r="AA21" s="58" t="n">
        <f aca="false">IFERROR(P21/C21,0)</f>
        <v>0.433347389258742</v>
      </c>
      <c r="AB21" s="58" t="n">
        <f aca="false">IFERROR(Q21/D21,0)</f>
        <v>0.320711654955173</v>
      </c>
      <c r="AC21" s="58" t="n">
        <f aca="false">IFERROR(R21/E21,0)</f>
        <v>0.19999413970933</v>
      </c>
      <c r="AD21" s="57" t="n">
        <f aca="false">IFERROR(F21/F$58,0)</f>
        <v>0.01951655887186</v>
      </c>
      <c r="AE21" s="57" t="n">
        <f aca="false">IFERROR(G21/G$58,0)</f>
        <v>0.0164448485379448</v>
      </c>
      <c r="AF21" s="57" t="n">
        <f aca="false">IFERROR(H21/H$58,0)</f>
        <v>0.0191227041723019</v>
      </c>
      <c r="AG21" s="57" t="n">
        <f aca="false">IFERROR(P21/P$58,0)</f>
        <v>0.0183897519306116</v>
      </c>
      <c r="AH21" s="57" t="n">
        <f aca="false">IFERROR(Q21/Q$58,0)</f>
        <v>0.0184755311374782</v>
      </c>
      <c r="AI21" s="57" t="n">
        <f aca="false">IFERROR(R21/R$58,0)</f>
        <v>0.0184884952227445</v>
      </c>
      <c r="AJ21" s="49" t="n">
        <f aca="false">K21-N21</f>
        <v>368531.56</v>
      </c>
      <c r="AK21" s="57" t="n">
        <f aca="false">IFERROR(I21/I$58,0)</f>
        <v>0.0188897860209306</v>
      </c>
    </row>
    <row r="22" customFormat="false" ht="15" hidden="false" customHeight="false" outlineLevel="0" collapsed="false">
      <c r="A22" s="13" t="n">
        <v>17</v>
      </c>
      <c r="B22" s="53"/>
      <c r="C22" s="54" t="n">
        <v>72426</v>
      </c>
      <c r="D22" s="54" t="n">
        <v>44135</v>
      </c>
      <c r="E22" s="54" t="n">
        <v>9134</v>
      </c>
      <c r="F22" s="54" t="n">
        <v>120802</v>
      </c>
      <c r="G22" s="54" t="n">
        <v>33006</v>
      </c>
      <c r="H22" s="54" t="n">
        <v>20861</v>
      </c>
      <c r="I22" s="55" t="n">
        <f aca="false">SUM(C22:H22)</f>
        <v>300364</v>
      </c>
      <c r="J22" s="54" t="n">
        <v>6238</v>
      </c>
      <c r="K22" s="56" t="n">
        <v>453071.09</v>
      </c>
      <c r="L22" s="54" t="n">
        <v>11662</v>
      </c>
      <c r="M22" s="56" t="n">
        <v>36785.08</v>
      </c>
      <c r="N22" s="56" t="n">
        <v>120423.87</v>
      </c>
      <c r="O22" s="54" t="n">
        <v>2307</v>
      </c>
      <c r="P22" s="56" t="n">
        <v>31752.58</v>
      </c>
      <c r="Q22" s="56" t="n">
        <v>14425.79</v>
      </c>
      <c r="R22" s="56" t="n">
        <v>1832.26</v>
      </c>
      <c r="S22" s="27"/>
      <c r="T22" s="27"/>
      <c r="U22" s="57" t="n">
        <f aca="false">IFERROR(J22/I22,0)</f>
        <v>0.0207681346632752</v>
      </c>
      <c r="V22" s="58" t="n">
        <f aca="false">IFERROR(K22/J22,0)</f>
        <v>72.6308255851235</v>
      </c>
      <c r="W22" s="59" t="n">
        <f aca="false">IFERROR(L22/J22,0)</f>
        <v>1.86950945815967</v>
      </c>
      <c r="X22" s="22" t="n">
        <f aca="false">IFERROR(M22/(K22+M22),0)</f>
        <v>0.0750936341171328</v>
      </c>
      <c r="Y22" s="22" t="n">
        <f aca="false">IFERROR(N22/K22,0)</f>
        <v>0.265794646045502</v>
      </c>
      <c r="Z22" s="22" t="n">
        <f aca="false">IFERROR(O22/J22,0)</f>
        <v>0.369830073741584</v>
      </c>
      <c r="AA22" s="58" t="n">
        <f aca="false">IFERROR(P22/C22,0)</f>
        <v>0.438414105431751</v>
      </c>
      <c r="AB22" s="58" t="n">
        <f aca="false">IFERROR(Q22/D22,0)</f>
        <v>0.326856009969412</v>
      </c>
      <c r="AC22" s="58" t="n">
        <f aca="false">IFERROR(R22/E22,0)</f>
        <v>0.200597766586381</v>
      </c>
      <c r="AD22" s="57" t="n">
        <f aca="false">IFERROR(F22/F$58,0)</f>
        <v>0.0194748048078112</v>
      </c>
      <c r="AE22" s="57" t="n">
        <f aca="false">IFERROR(G22/G$58,0)</f>
        <v>0.0176318435175223</v>
      </c>
      <c r="AF22" s="57" t="n">
        <f aca="false">IFERROR(H22/H$58,0)</f>
        <v>0.0192584113033885</v>
      </c>
      <c r="AG22" s="57" t="n">
        <f aca="false">IFERROR(P22/P$58,0)</f>
        <v>0.0182700196634457</v>
      </c>
      <c r="AH22" s="57" t="n">
        <f aca="false">IFERROR(Q22/Q$58,0)</f>
        <v>0.0201366548623708</v>
      </c>
      <c r="AI22" s="57" t="n">
        <f aca="false">IFERROR(R22/R$58,0)</f>
        <v>0.0198527443120261</v>
      </c>
      <c r="AJ22" s="49" t="n">
        <f aca="false">K22-N22</f>
        <v>332647.22</v>
      </c>
      <c r="AK22" s="57" t="n">
        <f aca="false">IFERROR(I22/I$58,0)</f>
        <v>0.0191609031940091</v>
      </c>
    </row>
    <row r="23" customFormat="false" ht="15" hidden="false" customHeight="false" outlineLevel="0" collapsed="false">
      <c r="A23" s="13" t="n">
        <v>18</v>
      </c>
      <c r="B23" s="53"/>
      <c r="C23" s="54" t="n">
        <v>70994</v>
      </c>
      <c r="D23" s="54" t="n">
        <v>42073</v>
      </c>
      <c r="E23" s="54" t="n">
        <v>9156</v>
      </c>
      <c r="F23" s="54" t="n">
        <v>119571</v>
      </c>
      <c r="G23" s="54" t="n">
        <v>31742</v>
      </c>
      <c r="H23" s="54" t="n">
        <v>19833</v>
      </c>
      <c r="I23" s="55" t="n">
        <f aca="false">SUM(C23:H23)</f>
        <v>293369</v>
      </c>
      <c r="J23" s="54" t="n">
        <v>6132</v>
      </c>
      <c r="K23" s="56" t="n">
        <v>467443.97</v>
      </c>
      <c r="L23" s="54" t="n">
        <v>11578</v>
      </c>
      <c r="M23" s="56" t="n">
        <v>40243.11</v>
      </c>
      <c r="N23" s="56" t="n">
        <v>126804.67</v>
      </c>
      <c r="O23" s="54" t="n">
        <v>2210</v>
      </c>
      <c r="P23" s="56" t="n">
        <v>31391.38</v>
      </c>
      <c r="Q23" s="56" t="n">
        <v>13952.61</v>
      </c>
      <c r="R23" s="56" t="n">
        <v>1822.42</v>
      </c>
      <c r="S23" s="27"/>
      <c r="T23" s="27"/>
      <c r="U23" s="57" t="n">
        <f aca="false">IFERROR(J23/I23,0)</f>
        <v>0.020902003960882</v>
      </c>
      <c r="V23" s="58" t="n">
        <f aca="false">IFERROR(K23/J23,0)</f>
        <v>76.2302625570776</v>
      </c>
      <c r="W23" s="59" t="n">
        <f aca="false">IFERROR(L23/J23,0)</f>
        <v>1.88812785388128</v>
      </c>
      <c r="X23" s="22" t="n">
        <f aca="false">IFERROR(M23/(K23+M23),0)</f>
        <v>0.0792675480337219</v>
      </c>
      <c r="Y23" s="22" t="n">
        <f aca="false">IFERROR(N23/K23,0)</f>
        <v>0.271272447904291</v>
      </c>
      <c r="Z23" s="22" t="n">
        <f aca="false">IFERROR(O23/J23,0)</f>
        <v>0.360404435746902</v>
      </c>
      <c r="AA23" s="58" t="n">
        <f aca="false">IFERROR(P23/C23,0)</f>
        <v>0.442169479110911</v>
      </c>
      <c r="AB23" s="58" t="n">
        <f aca="false">IFERROR(Q23/D23,0)</f>
        <v>0.331628597913151</v>
      </c>
      <c r="AC23" s="58" t="n">
        <f aca="false">IFERROR(R23/E23,0)</f>
        <v>0.199041065967672</v>
      </c>
      <c r="AD23" s="57" t="n">
        <f aca="false">IFERROR(F23/F$58,0)</f>
        <v>0.0192763520941275</v>
      </c>
      <c r="AE23" s="57" t="n">
        <f aca="false">IFERROR(G23/G$58,0)</f>
        <v>0.0169566132501119</v>
      </c>
      <c r="AF23" s="57" t="n">
        <f aca="false">IFERROR(H23/H$58,0)</f>
        <v>0.0183093845635446</v>
      </c>
      <c r="AG23" s="57" t="n">
        <f aca="false">IFERROR(P23/P$58,0)</f>
        <v>0.0180621899027637</v>
      </c>
      <c r="AH23" s="57" t="n">
        <f aca="false">IFERROR(Q23/Q$58,0)</f>
        <v>0.0194761529177441</v>
      </c>
      <c r="AI23" s="57" t="n">
        <f aca="false">IFERROR(R23/R$58,0)</f>
        <v>0.0197461267992112</v>
      </c>
      <c r="AJ23" s="49" t="n">
        <f aca="false">K23-N23</f>
        <v>340639.3</v>
      </c>
      <c r="AK23" s="57" t="n">
        <f aca="false">IFERROR(I23/I$58,0)</f>
        <v>0.01871467622326</v>
      </c>
    </row>
    <row r="24" customFormat="false" ht="15" hidden="false" customHeight="false" outlineLevel="0" collapsed="false">
      <c r="A24" s="13" t="n">
        <v>19</v>
      </c>
      <c r="B24" s="53"/>
      <c r="C24" s="54" t="n">
        <v>78149</v>
      </c>
      <c r="D24" s="54" t="n">
        <v>40658</v>
      </c>
      <c r="E24" s="54" t="n">
        <v>8926</v>
      </c>
      <c r="F24" s="54" t="n">
        <v>118544</v>
      </c>
      <c r="G24" s="54" t="n">
        <v>31485</v>
      </c>
      <c r="H24" s="54" t="n">
        <v>21136</v>
      </c>
      <c r="I24" s="55" t="n">
        <f aca="false">SUM(C24:H24)</f>
        <v>298898</v>
      </c>
      <c r="J24" s="54" t="n">
        <v>6448</v>
      </c>
      <c r="K24" s="56" t="n">
        <v>490873.66</v>
      </c>
      <c r="L24" s="54" t="n">
        <v>12208</v>
      </c>
      <c r="M24" s="56" t="n">
        <v>44808.15</v>
      </c>
      <c r="N24" s="56" t="n">
        <v>122386.86</v>
      </c>
      <c r="O24" s="54" t="n">
        <v>2193</v>
      </c>
      <c r="P24" s="56" t="n">
        <v>36740.29</v>
      </c>
      <c r="Q24" s="56" t="n">
        <v>12840.19</v>
      </c>
      <c r="R24" s="56" t="n">
        <v>1871.62</v>
      </c>
      <c r="S24" s="27"/>
      <c r="T24" s="27"/>
      <c r="U24" s="57" t="n">
        <f aca="false">IFERROR(J24/I24,0)</f>
        <v>0.0215725765980368</v>
      </c>
      <c r="V24" s="58" t="n">
        <f aca="false">IFERROR(K24/J24,0)</f>
        <v>76.1280490074442</v>
      </c>
      <c r="W24" s="59" t="n">
        <f aca="false">IFERROR(L24/J24,0)</f>
        <v>1.89330024813896</v>
      </c>
      <c r="X24" s="22" t="n">
        <f aca="false">IFERROR(M24/(K24+M24),0)</f>
        <v>0.0836469507896862</v>
      </c>
      <c r="Y24" s="22" t="n">
        <f aca="false">IFERROR(N24/K24,0)</f>
        <v>0.249324561436032</v>
      </c>
      <c r="Z24" s="22" t="n">
        <f aca="false">IFERROR(O24/J24,0)</f>
        <v>0.340105459057072</v>
      </c>
      <c r="AA24" s="58" t="n">
        <f aca="false">IFERROR(P24/C24,0)</f>
        <v>0.470131287668428</v>
      </c>
      <c r="AB24" s="58" t="n">
        <f aca="false">IFERROR(Q24/D24,0)</f>
        <v>0.315809680751636</v>
      </c>
      <c r="AC24" s="58" t="n">
        <f aca="false">IFERROR(R24/E24,0)</f>
        <v>0.20968182836657</v>
      </c>
      <c r="AD24" s="57" t="n">
        <f aca="false">IFERROR(F24/F$58,0)</f>
        <v>0.0191107867513549</v>
      </c>
      <c r="AE24" s="57" t="n">
        <f aca="false">IFERROR(G24/G$58,0)</f>
        <v>0.0168193235517539</v>
      </c>
      <c r="AF24" s="57" t="n">
        <f aca="false">IFERROR(H24/H$58,0)</f>
        <v>0.0195122851880744</v>
      </c>
      <c r="AG24" s="57" t="n">
        <f aca="false">IFERROR(P24/P$58,0)</f>
        <v>0.0211398828297007</v>
      </c>
      <c r="AH24" s="57" t="n">
        <f aca="false">IFERROR(Q24/Q$58,0)</f>
        <v>0.0179233493900345</v>
      </c>
      <c r="AI24" s="57" t="n">
        <f aca="false">IFERROR(R24/R$58,0)</f>
        <v>0.020279214363286</v>
      </c>
      <c r="AJ24" s="49" t="n">
        <f aca="false">K24-N24</f>
        <v>368486.8</v>
      </c>
      <c r="AK24" s="57" t="n">
        <f aca="false">IFERROR(I24/I$58,0)</f>
        <v>0.019067383717366</v>
      </c>
    </row>
    <row r="25" customFormat="false" ht="15" hidden="false" customHeight="false" outlineLevel="0" collapsed="false">
      <c r="A25" s="13" t="n">
        <v>20</v>
      </c>
      <c r="B25" s="53"/>
      <c r="C25" s="54" t="n">
        <v>72133</v>
      </c>
      <c r="D25" s="54" t="n">
        <v>38585</v>
      </c>
      <c r="E25" s="54" t="n">
        <v>8634</v>
      </c>
      <c r="F25" s="54" t="n">
        <v>115361</v>
      </c>
      <c r="G25" s="54" t="n">
        <v>32403</v>
      </c>
      <c r="H25" s="54" t="n">
        <v>20019</v>
      </c>
      <c r="I25" s="55" t="n">
        <f aca="false">SUM(C25:H25)</f>
        <v>287135</v>
      </c>
      <c r="J25" s="54" t="n">
        <v>5983</v>
      </c>
      <c r="K25" s="56" t="n">
        <v>446230.25</v>
      </c>
      <c r="L25" s="54" t="n">
        <v>11573</v>
      </c>
      <c r="M25" s="56" t="n">
        <v>39985.83</v>
      </c>
      <c r="N25" s="56" t="n">
        <v>120218.23</v>
      </c>
      <c r="O25" s="54" t="n">
        <v>1992</v>
      </c>
      <c r="P25" s="56" t="n">
        <v>31599.21</v>
      </c>
      <c r="Q25" s="56" t="n">
        <v>13002.61</v>
      </c>
      <c r="R25" s="56" t="n">
        <v>1729.5</v>
      </c>
      <c r="S25" s="27"/>
      <c r="T25" s="27"/>
      <c r="U25" s="57" t="n">
        <f aca="false">IFERROR(J25/I25,0)</f>
        <v>0.0208368885715778</v>
      </c>
      <c r="V25" s="58" t="n">
        <f aca="false">IFERROR(K25/J25,0)</f>
        <v>74.5830269095771</v>
      </c>
      <c r="W25" s="59" t="n">
        <f aca="false">IFERROR(L25/J25,0)</f>
        <v>1.93431388935317</v>
      </c>
      <c r="X25" s="22" t="n">
        <f aca="false">IFERROR(M25/(K25+M25),0)</f>
        <v>0.0822388062525616</v>
      </c>
      <c r="Y25" s="22" t="n">
        <f aca="false">IFERROR(N25/K25,0)</f>
        <v>0.269408517239699</v>
      </c>
      <c r="Z25" s="22" t="n">
        <f aca="false">IFERROR(O25/J25,0)</f>
        <v>0.332943339461808</v>
      </c>
      <c r="AA25" s="58" t="n">
        <f aca="false">IFERROR(P25/C25,0)</f>
        <v>0.438068706417312</v>
      </c>
      <c r="AB25" s="58" t="n">
        <f aca="false">IFERROR(Q25/D25,0)</f>
        <v>0.336986134508229</v>
      </c>
      <c r="AC25" s="58" t="n">
        <f aca="false">IFERROR(R25/E25,0)</f>
        <v>0.200312717164698</v>
      </c>
      <c r="AD25" s="57" t="n">
        <f aca="false">IFERROR(F25/F$58,0)</f>
        <v>0.0185976470375814</v>
      </c>
      <c r="AE25" s="57" t="n">
        <f aca="false">IFERROR(G25/G$58,0)</f>
        <v>0.017309720217484</v>
      </c>
      <c r="AF25" s="57" t="n">
        <f aca="false">IFERROR(H25/H$58,0)</f>
        <v>0.0184810956273685</v>
      </c>
      <c r="AG25" s="57" t="n">
        <f aca="false">IFERROR(P25/P$58,0)</f>
        <v>0.0181817725693267</v>
      </c>
      <c r="AH25" s="57" t="n">
        <f aca="false">IFERROR(Q25/Q$58,0)</f>
        <v>0.0181500680295506</v>
      </c>
      <c r="AI25" s="57" t="n">
        <f aca="false">IFERROR(R25/R$58,0)</f>
        <v>0.0187393280908</v>
      </c>
      <c r="AJ25" s="49" t="n">
        <f aca="false">K25-N25</f>
        <v>326012.02</v>
      </c>
      <c r="AK25" s="57" t="n">
        <f aca="false">IFERROR(I25/I$58,0)</f>
        <v>0.0183169951745609</v>
      </c>
    </row>
    <row r="26" customFormat="false" ht="15" hidden="false" customHeight="false" outlineLevel="0" collapsed="false">
      <c r="A26" s="13" t="n">
        <v>21</v>
      </c>
      <c r="B26" s="53" t="s">
        <v>426</v>
      </c>
      <c r="C26" s="54" t="n">
        <v>96154</v>
      </c>
      <c r="D26" s="54" t="n">
        <v>56010</v>
      </c>
      <c r="E26" s="54" t="n">
        <v>11404</v>
      </c>
      <c r="F26" s="54" t="n">
        <v>166070</v>
      </c>
      <c r="G26" s="54" t="n">
        <v>68351</v>
      </c>
      <c r="H26" s="54" t="n">
        <v>26720</v>
      </c>
      <c r="I26" s="55" t="n">
        <f aca="false">SUM(C26:H26)</f>
        <v>424709</v>
      </c>
      <c r="J26" s="54" t="n">
        <v>10591</v>
      </c>
      <c r="K26" s="56" t="n">
        <v>711224.17</v>
      </c>
      <c r="L26" s="54" t="n">
        <v>20924</v>
      </c>
      <c r="M26" s="56" t="n">
        <v>338994.17</v>
      </c>
      <c r="N26" s="56" t="n">
        <v>158293.34</v>
      </c>
      <c r="O26" s="54" t="n">
        <v>4615</v>
      </c>
      <c r="P26" s="56" t="n">
        <v>45094.24</v>
      </c>
      <c r="Q26" s="56" t="n">
        <v>17764.79</v>
      </c>
      <c r="R26" s="56" t="n">
        <v>2229.47</v>
      </c>
      <c r="S26" s="27"/>
      <c r="T26" s="27"/>
      <c r="U26" s="57" t="n">
        <f aca="false">IFERROR(J26/I26,0)</f>
        <v>0.024937074561641</v>
      </c>
      <c r="V26" s="58" t="n">
        <f aca="false">IFERROR(K26/J26,0)</f>
        <v>67.1536370503258</v>
      </c>
      <c r="W26" s="59" t="n">
        <f aca="false">IFERROR(L26/J26,0)</f>
        <v>1.97563969407988</v>
      </c>
      <c r="X26" s="22" t="n">
        <f aca="false">IFERROR(M26/(K26+M26),0)</f>
        <v>0.322784469751309</v>
      </c>
      <c r="Y26" s="22" t="n">
        <f aca="false">IFERROR(N26/K26,0)</f>
        <v>0.222564624034079</v>
      </c>
      <c r="Z26" s="22" t="n">
        <f aca="false">IFERROR(O26/J26,0)</f>
        <v>0.435747332640922</v>
      </c>
      <c r="AA26" s="58" t="n">
        <f aca="false">IFERROR(P26/C26,0)</f>
        <v>0.468979345633047</v>
      </c>
      <c r="AB26" s="58" t="n">
        <f aca="false">IFERROR(Q26/D26,0)</f>
        <v>0.317171755043742</v>
      </c>
      <c r="AC26" s="58" t="n">
        <f aca="false">IFERROR(R26/E26,0)</f>
        <v>0.195498947737636</v>
      </c>
      <c r="AD26" s="57" t="n">
        <f aca="false">IFERROR(F26/F$58,0)</f>
        <v>0.0267725768980084</v>
      </c>
      <c r="AE26" s="57" t="n">
        <f aca="false">IFERROR(G26/G$58,0)</f>
        <v>0.0365131835504505</v>
      </c>
      <c r="AF26" s="57" t="n">
        <f aca="false">IFERROR(H26/H$58,0)</f>
        <v>0.0246673098138412</v>
      </c>
      <c r="AG26" s="57" t="n">
        <f aca="false">IFERROR(P26/P$58,0)</f>
        <v>0.0259466365097935</v>
      </c>
      <c r="AH26" s="57" t="n">
        <f aca="false">IFERROR(Q26/Q$58,0)</f>
        <v>0.0247974942746634</v>
      </c>
      <c r="AI26" s="57" t="n">
        <f aca="false">IFERROR(R26/R$58,0)</f>
        <v>0.0241565595828828</v>
      </c>
      <c r="AJ26" s="49" t="n">
        <f aca="false">K26-N26</f>
        <v>552930.83</v>
      </c>
      <c r="AK26" s="57" t="n">
        <f aca="false">IFERROR(I26/I$58,0)</f>
        <v>0.0270931537555247</v>
      </c>
    </row>
    <row r="27" customFormat="false" ht="15" hidden="false" customHeight="false" outlineLevel="0" collapsed="false">
      <c r="A27" s="13" t="n">
        <v>22</v>
      </c>
      <c r="B27" s="53" t="s">
        <v>428</v>
      </c>
      <c r="C27" s="54" t="n">
        <v>100497</v>
      </c>
      <c r="D27" s="54" t="n">
        <v>53582</v>
      </c>
      <c r="E27" s="54" t="n">
        <v>12181</v>
      </c>
      <c r="F27" s="54" t="n">
        <v>162810</v>
      </c>
      <c r="G27" s="54" t="n">
        <v>45617</v>
      </c>
      <c r="H27" s="54" t="n">
        <v>28828</v>
      </c>
      <c r="I27" s="55" t="n">
        <f aca="false">SUM(C27:H27)</f>
        <v>403515</v>
      </c>
      <c r="J27" s="54" t="n">
        <v>10576</v>
      </c>
      <c r="K27" s="56" t="n">
        <v>700982.33</v>
      </c>
      <c r="L27" s="54" t="n">
        <v>19719</v>
      </c>
      <c r="M27" s="56" t="n">
        <v>286270.56</v>
      </c>
      <c r="N27" s="56" t="n">
        <v>168917.32</v>
      </c>
      <c r="O27" s="54" t="n">
        <v>4790</v>
      </c>
      <c r="P27" s="56" t="n">
        <v>46737.3</v>
      </c>
      <c r="Q27" s="56" t="n">
        <v>18566.11</v>
      </c>
      <c r="R27" s="56" t="n">
        <v>2323.54</v>
      </c>
      <c r="S27" s="27"/>
      <c r="T27" s="27"/>
      <c r="U27" s="57" t="n">
        <f aca="false">IFERROR(J27/I27,0)</f>
        <v>0.0262096824157714</v>
      </c>
      <c r="V27" s="58" t="n">
        <f aca="false">IFERROR(K27/J27,0)</f>
        <v>66.2804774962178</v>
      </c>
      <c r="W27" s="59" t="n">
        <f aca="false">IFERROR(L27/J27,0)</f>
        <v>1.86450453857791</v>
      </c>
      <c r="X27" s="22" t="n">
        <f aca="false">IFERROR(M27/(K27+M27),0)</f>
        <v>0.289966798679111</v>
      </c>
      <c r="Y27" s="22" t="n">
        <f aca="false">IFERROR(N27/K27,0)</f>
        <v>0.240972293837992</v>
      </c>
      <c r="Z27" s="22" t="n">
        <f aca="false">IFERROR(O27/J27,0)</f>
        <v>0.452912254160363</v>
      </c>
      <c r="AA27" s="58" t="n">
        <f aca="false">IFERROR(P27/C27,0)</f>
        <v>0.465061643631153</v>
      </c>
      <c r="AB27" s="58" t="n">
        <f aca="false">IFERROR(Q27/D27,0)</f>
        <v>0.346499010861857</v>
      </c>
      <c r="AC27" s="58" t="n">
        <f aca="false">IFERROR(R27/E27,0)</f>
        <v>0.190751169854692</v>
      </c>
      <c r="AD27" s="57" t="n">
        <f aca="false">IFERROR(F27/F$58,0)</f>
        <v>0.026247023813842</v>
      </c>
      <c r="AE27" s="57" t="n">
        <f aca="false">IFERROR(G27/G$58,0)</f>
        <v>0.0243686543579597</v>
      </c>
      <c r="AF27" s="57" t="n">
        <f aca="false">IFERROR(H27/H$58,0)</f>
        <v>0.0266133685371787</v>
      </c>
      <c r="AG27" s="57" t="n">
        <f aca="false">IFERROR(P27/P$58,0)</f>
        <v>0.026892031766123</v>
      </c>
      <c r="AH27" s="57" t="n">
        <f aca="false">IFERROR(Q27/Q$58,0)</f>
        <v>0.0259160398984604</v>
      </c>
      <c r="AI27" s="57" t="n">
        <f aca="false">IFERROR(R27/R$58,0)</f>
        <v>0.0251758186713486</v>
      </c>
      <c r="AJ27" s="49" t="n">
        <f aca="false">K27-N27</f>
        <v>532065.01</v>
      </c>
      <c r="AK27" s="57" t="n">
        <f aca="false">IFERROR(I27/I$58,0)</f>
        <v>0.0257411402575894</v>
      </c>
    </row>
    <row r="28" customFormat="false" ht="15" hidden="false" customHeight="false" outlineLevel="0" collapsed="false">
      <c r="A28" s="13" t="n">
        <v>23</v>
      </c>
      <c r="B28" s="53" t="s">
        <v>428</v>
      </c>
      <c r="C28" s="54" t="n">
        <v>86394</v>
      </c>
      <c r="D28" s="54" t="n">
        <v>48490</v>
      </c>
      <c r="E28" s="54" t="n">
        <v>10210</v>
      </c>
      <c r="F28" s="54" t="n">
        <v>132350</v>
      </c>
      <c r="G28" s="54" t="n">
        <v>36669</v>
      </c>
      <c r="H28" s="54" t="n">
        <v>23005</v>
      </c>
      <c r="I28" s="55" t="n">
        <f aca="false">SUM(C28:H28)</f>
        <v>337118</v>
      </c>
      <c r="J28" s="54" t="n">
        <v>8186</v>
      </c>
      <c r="K28" s="56" t="n">
        <v>561981.64</v>
      </c>
      <c r="L28" s="54" t="n">
        <v>15329</v>
      </c>
      <c r="M28" s="56" t="n">
        <v>205116.97</v>
      </c>
      <c r="N28" s="56" t="n">
        <v>136024.45</v>
      </c>
      <c r="O28" s="54" t="n">
        <v>3772</v>
      </c>
      <c r="P28" s="56" t="n">
        <v>40697.66</v>
      </c>
      <c r="Q28" s="56" t="n">
        <v>16772.96</v>
      </c>
      <c r="R28" s="56" t="n">
        <v>1960.17</v>
      </c>
      <c r="S28" s="27"/>
      <c r="T28" s="27"/>
      <c r="U28" s="57" t="n">
        <f aca="false">IFERROR(J28/I28,0)</f>
        <v>0.0242822987796558</v>
      </c>
      <c r="V28" s="58" t="n">
        <f aca="false">IFERROR(K28/J28,0)</f>
        <v>68.6515563156609</v>
      </c>
      <c r="W28" s="59" t="n">
        <f aca="false">IFERROR(L28/J28,0)</f>
        <v>1.87258734424627</v>
      </c>
      <c r="X28" s="22" t="n">
        <f aca="false">IFERROR(M28/(K28+M28),0)</f>
        <v>0.267393223408396</v>
      </c>
      <c r="Y28" s="22" t="n">
        <f aca="false">IFERROR(N28/K28,0)</f>
        <v>0.242044295254913</v>
      </c>
      <c r="Z28" s="22" t="n">
        <f aca="false">IFERROR(O28/J28,0)</f>
        <v>0.460786709015392</v>
      </c>
      <c r="AA28" s="58" t="n">
        <f aca="false">IFERROR(P28/C28,0)</f>
        <v>0.471070444706808</v>
      </c>
      <c r="AB28" s="58" t="n">
        <f aca="false">IFERROR(Q28/D28,0)</f>
        <v>0.345905547535574</v>
      </c>
      <c r="AC28" s="58" t="n">
        <f aca="false">IFERROR(R28/E28,0)</f>
        <v>0.191985308521058</v>
      </c>
      <c r="AD28" s="57" t="n">
        <f aca="false">IFERROR(F28/F$58,0)</f>
        <v>0.0213364879415392</v>
      </c>
      <c r="AE28" s="57" t="n">
        <f aca="false">IFERROR(G28/G$58,0)</f>
        <v>0.0195886223699941</v>
      </c>
      <c r="AF28" s="57" t="n">
        <f aca="false">IFERROR(H28/H$58,0)</f>
        <v>0.0212377044261758</v>
      </c>
      <c r="AG28" s="57" t="n">
        <f aca="false">IFERROR(P28/P$58,0)</f>
        <v>0.0234169018220324</v>
      </c>
      <c r="AH28" s="57" t="n">
        <f aca="false">IFERROR(Q28/Q$58,0)</f>
        <v>0.0234130197750245</v>
      </c>
      <c r="AI28" s="57" t="n">
        <f aca="false">IFERROR(R28/R$58,0)</f>
        <v>0.0212386636274897</v>
      </c>
      <c r="AJ28" s="49" t="n">
        <f aca="false">K28-N28</f>
        <v>425957.19</v>
      </c>
      <c r="AK28" s="57" t="n">
        <f aca="false">IFERROR(I28/I$58,0)</f>
        <v>0.0215055245067916</v>
      </c>
    </row>
    <row r="29" customFormat="false" ht="15" hidden="false" customHeight="false" outlineLevel="0" collapsed="false">
      <c r="A29" s="13" t="n">
        <v>24</v>
      </c>
      <c r="B29" s="53"/>
      <c r="C29" s="54" t="n">
        <v>73798</v>
      </c>
      <c r="D29" s="54" t="n">
        <v>41906</v>
      </c>
      <c r="E29" s="54" t="n">
        <v>8183</v>
      </c>
      <c r="F29" s="54" t="n">
        <v>107195</v>
      </c>
      <c r="G29" s="54" t="n">
        <v>31909</v>
      </c>
      <c r="H29" s="54" t="n">
        <v>20767</v>
      </c>
      <c r="I29" s="55" t="n">
        <f aca="false">SUM(C29:H29)</f>
        <v>283758</v>
      </c>
      <c r="J29" s="54" t="n">
        <v>6313</v>
      </c>
      <c r="K29" s="56" t="n">
        <v>472552.79</v>
      </c>
      <c r="L29" s="54" t="n">
        <v>12043</v>
      </c>
      <c r="M29" s="56" t="n">
        <v>42337.58</v>
      </c>
      <c r="N29" s="56" t="n">
        <v>126833.84</v>
      </c>
      <c r="O29" s="54" t="n">
        <v>2225</v>
      </c>
      <c r="P29" s="56" t="n">
        <v>33578.36</v>
      </c>
      <c r="Q29" s="56" t="n">
        <v>14515.19</v>
      </c>
      <c r="R29" s="56" t="n">
        <v>1667.52</v>
      </c>
      <c r="S29" s="27"/>
      <c r="T29" s="27"/>
      <c r="U29" s="57" t="n">
        <f aca="false">IFERROR(J29/I29,0)</f>
        <v>0.0222478308981597</v>
      </c>
      <c r="V29" s="58" t="n">
        <f aca="false">IFERROR(K29/J29,0)</f>
        <v>74.8539188975131</v>
      </c>
      <c r="W29" s="59" t="n">
        <f aca="false">IFERROR(L29/J29,0)</f>
        <v>1.90765087913829</v>
      </c>
      <c r="X29" s="22" t="n">
        <f aca="false">IFERROR(M29/(K29+M29),0)</f>
        <v>0.0822263970483659</v>
      </c>
      <c r="Y29" s="22" t="n">
        <f aca="false">IFERROR(N29/K29,0)</f>
        <v>0.268401420294228</v>
      </c>
      <c r="Z29" s="22" t="n">
        <f aca="false">IFERROR(O29/J29,0)</f>
        <v>0.352447330904483</v>
      </c>
      <c r="AA29" s="58" t="n">
        <f aca="false">IFERROR(P29/C29,0)</f>
        <v>0.455003658635735</v>
      </c>
      <c r="AB29" s="58" t="n">
        <f aca="false">IFERROR(Q29/D29,0)</f>
        <v>0.346374982102802</v>
      </c>
      <c r="AC29" s="58" t="n">
        <f aca="false">IFERROR(R29/E29,0)</f>
        <v>0.203778565318343</v>
      </c>
      <c r="AD29" s="57" t="n">
        <f aca="false">IFERROR(F29/F$58,0)</f>
        <v>0.0172811849255254</v>
      </c>
      <c r="AE29" s="57" t="n">
        <f aca="false">IFERROR(G29/G$58,0)</f>
        <v>0.0170458248439866</v>
      </c>
      <c r="AF29" s="57" t="n">
        <f aca="false">IFERROR(H29/H$58,0)</f>
        <v>0.0191716325937141</v>
      </c>
      <c r="AG29" s="57" t="n">
        <f aca="false">IFERROR(P29/P$58,0)</f>
        <v>0.019320549620417</v>
      </c>
      <c r="AH29" s="57" t="n">
        <f aca="false">IFERROR(Q29/Q$58,0)</f>
        <v>0.020261446429744</v>
      </c>
      <c r="AI29" s="57" t="n">
        <f aca="false">IFERROR(R29/R$58,0)</f>
        <v>0.0180677677814228</v>
      </c>
      <c r="AJ29" s="49" t="n">
        <f aca="false">K29-N29</f>
        <v>345718.95</v>
      </c>
      <c r="AK29" s="57" t="n">
        <f aca="false">IFERROR(I29/I$58,0)</f>
        <v>0.0181015686584465</v>
      </c>
    </row>
    <row r="30" customFormat="false" ht="15" hidden="false" customHeight="false" outlineLevel="0" collapsed="false">
      <c r="A30" s="13" t="n">
        <v>25</v>
      </c>
      <c r="B30" s="53"/>
      <c r="C30" s="54" t="n">
        <v>68639</v>
      </c>
      <c r="D30" s="54" t="n">
        <v>38285</v>
      </c>
      <c r="E30" s="54" t="n">
        <v>7536</v>
      </c>
      <c r="F30" s="54" t="n">
        <v>103724</v>
      </c>
      <c r="G30" s="54" t="n">
        <v>28143</v>
      </c>
      <c r="H30" s="54" t="n">
        <v>18373</v>
      </c>
      <c r="I30" s="55" t="n">
        <f aca="false">SUM(C30:H30)</f>
        <v>264700</v>
      </c>
      <c r="J30" s="54" t="n">
        <v>5714</v>
      </c>
      <c r="K30" s="56" t="n">
        <v>420941.67</v>
      </c>
      <c r="L30" s="54" t="n">
        <v>10472</v>
      </c>
      <c r="M30" s="56" t="n">
        <v>37161.15</v>
      </c>
      <c r="N30" s="56" t="n">
        <v>111891.95</v>
      </c>
      <c r="O30" s="54" t="n">
        <v>2052</v>
      </c>
      <c r="P30" s="56" t="n">
        <v>32161.91</v>
      </c>
      <c r="Q30" s="56" t="n">
        <v>12700.91</v>
      </c>
      <c r="R30" s="56" t="n">
        <v>1441.84</v>
      </c>
      <c r="S30" s="27"/>
      <c r="T30" s="27"/>
      <c r="U30" s="57" t="n">
        <f aca="false">IFERROR(J30/I30,0)</f>
        <v>0.0215867019267095</v>
      </c>
      <c r="V30" s="58" t="n">
        <f aca="false">IFERROR(K30/J30,0)</f>
        <v>73.6684756737837</v>
      </c>
      <c r="W30" s="59" t="n">
        <f aca="false">IFERROR(L30/J30,0)</f>
        <v>1.83269163458173</v>
      </c>
      <c r="X30" s="22" t="n">
        <f aca="false">IFERROR(M30/(K30+M30),0)</f>
        <v>0.0811196709070684</v>
      </c>
      <c r="Y30" s="22" t="n">
        <f aca="false">IFERROR(N30/K30,0)</f>
        <v>0.265813432060551</v>
      </c>
      <c r="Z30" s="22" t="n">
        <f aca="false">IFERROR(O30/J30,0)</f>
        <v>0.359117955897795</v>
      </c>
      <c r="AA30" s="58" t="n">
        <f aca="false">IFERROR(P30/C30,0)</f>
        <v>0.468566121301301</v>
      </c>
      <c r="AB30" s="58" t="n">
        <f aca="false">IFERROR(Q30/D30,0)</f>
        <v>0.331746375865221</v>
      </c>
      <c r="AC30" s="58" t="n">
        <f aca="false">IFERROR(R30/E30,0)</f>
        <v>0.191326963906582</v>
      </c>
      <c r="AD30" s="57" t="n">
        <f aca="false">IFERROR(F30/F$58,0)</f>
        <v>0.0167216159822305</v>
      </c>
      <c r="AE30" s="57" t="n">
        <f aca="false">IFERROR(G30/G$58,0)</f>
        <v>0.0150340232719394</v>
      </c>
      <c r="AF30" s="57" t="n">
        <f aca="false">IFERROR(H30/H$58,0)</f>
        <v>0.0169615450303033</v>
      </c>
      <c r="AG30" s="57" t="n">
        <f aca="false">IFERROR(P30/P$58,0)</f>
        <v>0.0185055427972773</v>
      </c>
      <c r="AH30" s="57" t="n">
        <f aca="false">IFERROR(Q30/Q$58,0)</f>
        <v>0.017728931386637</v>
      </c>
      <c r="AI30" s="57" t="n">
        <f aca="false">IFERROR(R30/R$58,0)</f>
        <v>0.015622499459057</v>
      </c>
      <c r="AJ30" s="49" t="n">
        <f aca="false">K30-N30</f>
        <v>309049.72</v>
      </c>
      <c r="AK30" s="57" t="n">
        <f aca="false">IFERROR(I30/I$58,0)</f>
        <v>0.0168858154620867</v>
      </c>
    </row>
    <row r="31" customFormat="false" ht="15" hidden="false" customHeight="false" outlineLevel="0" collapsed="false">
      <c r="A31" s="13" t="n">
        <v>26</v>
      </c>
      <c r="B31" s="53"/>
      <c r="C31" s="54" t="n">
        <v>66000</v>
      </c>
      <c r="D31" s="54" t="n">
        <v>34655</v>
      </c>
      <c r="E31" s="54" t="n">
        <v>7946</v>
      </c>
      <c r="F31" s="54" t="n">
        <v>108126</v>
      </c>
      <c r="G31" s="54" t="n">
        <v>27326</v>
      </c>
      <c r="H31" s="54" t="n">
        <v>17518</v>
      </c>
      <c r="I31" s="55" t="n">
        <f aca="false">SUM(C31:H31)</f>
        <v>261571</v>
      </c>
      <c r="J31" s="54" t="n">
        <v>5743</v>
      </c>
      <c r="K31" s="56" t="n">
        <v>420033.9</v>
      </c>
      <c r="L31" s="54" t="n">
        <v>11167</v>
      </c>
      <c r="M31" s="56" t="n">
        <v>39394.23</v>
      </c>
      <c r="N31" s="56" t="n">
        <v>111851.48</v>
      </c>
      <c r="O31" s="54" t="n">
        <v>2059</v>
      </c>
      <c r="P31" s="56" t="n">
        <v>29523.55</v>
      </c>
      <c r="Q31" s="56" t="n">
        <v>11157.61</v>
      </c>
      <c r="R31" s="56" t="n">
        <v>1540.05</v>
      </c>
      <c r="S31" s="27"/>
      <c r="T31" s="27"/>
      <c r="U31" s="57" t="n">
        <f aca="false">IFERROR(J31/I31,0)</f>
        <v>0.0219557978522084</v>
      </c>
      <c r="V31" s="58" t="n">
        <f aca="false">IFERROR(K31/J31,0)</f>
        <v>73.1384119798015</v>
      </c>
      <c r="W31" s="59" t="n">
        <f aca="false">IFERROR(L31/J31,0)</f>
        <v>1.94445411805676</v>
      </c>
      <c r="X31" s="22" t="n">
        <f aca="false">IFERROR(M31/(K31+M31),0)</f>
        <v>0.085746229774829</v>
      </c>
      <c r="Y31" s="22" t="n">
        <f aca="false">IFERROR(N31/K31,0)</f>
        <v>0.266291554086468</v>
      </c>
      <c r="Z31" s="22" t="n">
        <f aca="false">IFERROR(O31/J31,0)</f>
        <v>0.358523419815427</v>
      </c>
      <c r="AA31" s="58" t="n">
        <f aca="false">IFERROR(P31/C31,0)</f>
        <v>0.447326515151515</v>
      </c>
      <c r="AB31" s="58" t="n">
        <f aca="false">IFERROR(Q31/D31,0)</f>
        <v>0.321962487375559</v>
      </c>
      <c r="AC31" s="58" t="n">
        <f aca="false">IFERROR(R31/E31,0)</f>
        <v>0.193814497860559</v>
      </c>
      <c r="AD31" s="57" t="n">
        <f aca="false">IFERROR(F31/F$58,0)</f>
        <v>0.0174312738584576</v>
      </c>
      <c r="AE31" s="57" t="n">
        <f aca="false">IFERROR(G31/G$58,0)</f>
        <v>0.0145975809234629</v>
      </c>
      <c r="AF31" s="57" t="n">
        <f aca="false">IFERROR(H31/H$58,0)</f>
        <v>0.0161722280433709</v>
      </c>
      <c r="AG31" s="57" t="n">
        <f aca="false">IFERROR(P31/P$58,0)</f>
        <v>0.0169874649252036</v>
      </c>
      <c r="AH31" s="57" t="n">
        <f aca="false">IFERROR(Q31/Q$58,0)</f>
        <v>0.015574671588796</v>
      </c>
      <c r="AI31" s="57" t="n">
        <f aca="false">IFERROR(R31/R$58,0)</f>
        <v>0.0166866159157193</v>
      </c>
      <c r="AJ31" s="49" t="n">
        <f aca="false">K31-N31</f>
        <v>308182.42</v>
      </c>
      <c r="AK31" s="57" t="n">
        <f aca="false">IFERROR(I31/I$58,0)</f>
        <v>0.0166862094304249</v>
      </c>
    </row>
    <row r="32" customFormat="false" ht="15" hidden="false" customHeight="false" outlineLevel="0" collapsed="false">
      <c r="A32" s="13" t="n">
        <v>27</v>
      </c>
      <c r="B32" s="53"/>
      <c r="C32" s="54" t="n">
        <v>61995</v>
      </c>
      <c r="D32" s="54" t="n">
        <v>37734</v>
      </c>
      <c r="E32" s="54" t="n">
        <v>7878</v>
      </c>
      <c r="F32" s="54" t="n">
        <v>105491</v>
      </c>
      <c r="G32" s="54" t="n">
        <v>27287</v>
      </c>
      <c r="H32" s="54" t="n">
        <v>17206</v>
      </c>
      <c r="I32" s="55" t="n">
        <f aca="false">SUM(C32:H32)</f>
        <v>257591</v>
      </c>
      <c r="J32" s="54" t="n">
        <v>5337</v>
      </c>
      <c r="K32" s="56" t="n">
        <v>394850.64</v>
      </c>
      <c r="L32" s="54" t="n">
        <v>10115</v>
      </c>
      <c r="M32" s="56" t="n">
        <v>31877.5</v>
      </c>
      <c r="N32" s="56" t="n">
        <v>106362.47</v>
      </c>
      <c r="O32" s="54" t="n">
        <v>1932</v>
      </c>
      <c r="P32" s="56" t="n">
        <v>27540.45</v>
      </c>
      <c r="Q32" s="56" t="n">
        <v>12633.08</v>
      </c>
      <c r="R32" s="56" t="n">
        <v>1581.95</v>
      </c>
      <c r="S32" s="27"/>
      <c r="T32" s="27"/>
      <c r="U32" s="57" t="n">
        <f aca="false">IFERROR(J32/I32,0)</f>
        <v>0.0207188915761808</v>
      </c>
      <c r="V32" s="58" t="n">
        <f aca="false">IFERROR(K32/J32,0)</f>
        <v>73.9836312535132</v>
      </c>
      <c r="W32" s="59" t="n">
        <f aca="false">IFERROR(L32/J32,0)</f>
        <v>1.8952595090875</v>
      </c>
      <c r="X32" s="22" t="n">
        <f aca="false">IFERROR(M32/(K32+M32),0)</f>
        <v>0.07470212768251</v>
      </c>
      <c r="Y32" s="22" t="n">
        <f aca="false">IFERROR(N32/K32,0)</f>
        <v>0.269373933394156</v>
      </c>
      <c r="Z32" s="22" t="n">
        <f aca="false">IFERROR(O32/J32,0)</f>
        <v>0.362001124227094</v>
      </c>
      <c r="AA32" s="58" t="n">
        <f aca="false">IFERROR(P32/C32,0)</f>
        <v>0.444236631986451</v>
      </c>
      <c r="AB32" s="58" t="n">
        <f aca="false">IFERROR(Q32/D32,0)</f>
        <v>0.334793024858218</v>
      </c>
      <c r="AC32" s="58" t="n">
        <f aca="false">IFERROR(R32/E32,0)</f>
        <v>0.200806042142676</v>
      </c>
      <c r="AD32" s="57" t="n">
        <f aca="false">IFERROR(F32/F$58,0)</f>
        <v>0.0170064786508569</v>
      </c>
      <c r="AE32" s="57" t="n">
        <f aca="false">IFERROR(G32/G$58,0)</f>
        <v>0.0145767470781868</v>
      </c>
      <c r="AF32" s="57" t="n">
        <f aca="false">IFERROR(H32/H$58,0)</f>
        <v>0.0158841965814727</v>
      </c>
      <c r="AG32" s="57" t="n">
        <f aca="false">IFERROR(P32/P$58,0)</f>
        <v>0.0158464150957227</v>
      </c>
      <c r="AH32" s="57" t="n">
        <f aca="false">IFERROR(Q32/Q$58,0)</f>
        <v>0.01763424892562</v>
      </c>
      <c r="AI32" s="57" t="n">
        <f aca="false">IFERROR(R32/R$58,0)</f>
        <v>0.0171406071542301</v>
      </c>
      <c r="AJ32" s="49" t="n">
        <f aca="false">K32-N32</f>
        <v>288488.17</v>
      </c>
      <c r="AK32" s="57" t="n">
        <f aca="false">IFERROR(I32/I$58,0)</f>
        <v>0.0164323161718714</v>
      </c>
    </row>
    <row r="33" customFormat="false" ht="15" hidden="false" customHeight="false" outlineLevel="0" collapsed="false">
      <c r="A33" s="13" t="n">
        <v>28</v>
      </c>
      <c r="B33" s="53"/>
      <c r="C33" s="54" t="n">
        <v>64113</v>
      </c>
      <c r="D33" s="54" t="n">
        <v>36788</v>
      </c>
      <c r="E33" s="54" t="n">
        <v>7530</v>
      </c>
      <c r="F33" s="54" t="n">
        <v>108498</v>
      </c>
      <c r="G33" s="54" t="n">
        <v>28202</v>
      </c>
      <c r="H33" s="54" t="n">
        <v>17363</v>
      </c>
      <c r="I33" s="55" t="n">
        <f aca="false">SUM(C33:H33)</f>
        <v>262494</v>
      </c>
      <c r="J33" s="54" t="n">
        <v>5855</v>
      </c>
      <c r="K33" s="56" t="n">
        <v>437418.77</v>
      </c>
      <c r="L33" s="54" t="n">
        <v>10857</v>
      </c>
      <c r="M33" s="56" t="n">
        <v>37136.68</v>
      </c>
      <c r="N33" s="56" t="n">
        <v>108836.69</v>
      </c>
      <c r="O33" s="54" t="n">
        <v>1950</v>
      </c>
      <c r="P33" s="56" t="n">
        <v>27997.72</v>
      </c>
      <c r="Q33" s="56" t="n">
        <v>12262.22</v>
      </c>
      <c r="R33" s="56" t="n">
        <v>1466.6</v>
      </c>
      <c r="S33" s="27"/>
      <c r="T33" s="27"/>
      <c r="U33" s="57" t="n">
        <f aca="false">IFERROR(J33/I33,0)</f>
        <v>0.0223052717395445</v>
      </c>
      <c r="V33" s="58" t="n">
        <f aca="false">IFERROR(K33/J33,0)</f>
        <v>74.708585824082</v>
      </c>
      <c r="W33" s="59" t="n">
        <f aca="false">IFERROR(L33/J33,0)</f>
        <v>1.85431255337319</v>
      </c>
      <c r="X33" s="22" t="n">
        <f aca="false">IFERROR(M33/(K33+M33),0)</f>
        <v>0.0782557233301188</v>
      </c>
      <c r="Y33" s="22" t="n">
        <f aca="false">IFERROR(N33/K33,0)</f>
        <v>0.248815774412241</v>
      </c>
      <c r="Z33" s="22" t="n">
        <f aca="false">IFERROR(O33/J33,0)</f>
        <v>0.333048676345004</v>
      </c>
      <c r="AA33" s="58" t="n">
        <f aca="false">IFERROR(P33/C33,0)</f>
        <v>0.436693338324521</v>
      </c>
      <c r="AB33" s="58" t="n">
        <f aca="false">IFERROR(Q33/D33,0)</f>
        <v>0.333321191692943</v>
      </c>
      <c r="AC33" s="58" t="n">
        <f aca="false">IFERROR(R33/E33,0)</f>
        <v>0.194767596281541</v>
      </c>
      <c r="AD33" s="57" t="n">
        <f aca="false">IFERROR(F33/F$58,0)</f>
        <v>0.0174912449465895</v>
      </c>
      <c r="AE33" s="57" t="n">
        <f aca="false">IFERROR(G33/G$58,0)</f>
        <v>0.015065541140434</v>
      </c>
      <c r="AF33" s="57" t="n">
        <f aca="false">IFERROR(H33/H$58,0)</f>
        <v>0.0160291354901843</v>
      </c>
      <c r="AG33" s="57" t="n">
        <f aca="false">IFERROR(P33/P$58,0)</f>
        <v>0.0161095222791864</v>
      </c>
      <c r="AH33" s="57" t="n">
        <f aca="false">IFERROR(Q33/Q$58,0)</f>
        <v>0.0171165733028459</v>
      </c>
      <c r="AI33" s="57" t="n">
        <f aca="false">IFERROR(R33/R$58,0)</f>
        <v>0.0158907768591889</v>
      </c>
      <c r="AJ33" s="49" t="n">
        <f aca="false">K33-N33</f>
        <v>328582.08</v>
      </c>
      <c r="AK33" s="57" t="n">
        <f aca="false">IFERROR(I33/I$58,0)</f>
        <v>0.01674508970119</v>
      </c>
    </row>
    <row r="34" customFormat="false" ht="15" hidden="false" customHeight="false" outlineLevel="0" collapsed="false">
      <c r="A34" s="13" t="n">
        <v>29</v>
      </c>
      <c r="B34" s="53"/>
      <c r="C34" s="54" t="n">
        <v>61668</v>
      </c>
      <c r="D34" s="54" t="n">
        <v>36262</v>
      </c>
      <c r="E34" s="54" t="n">
        <v>7108</v>
      </c>
      <c r="F34" s="54" t="n">
        <v>103278</v>
      </c>
      <c r="G34" s="54" t="n">
        <v>26866</v>
      </c>
      <c r="H34" s="54" t="n">
        <v>17479</v>
      </c>
      <c r="I34" s="55" t="n">
        <f aca="false">SUM(C34:H34)</f>
        <v>252661</v>
      </c>
      <c r="J34" s="54" t="n">
        <v>5479</v>
      </c>
      <c r="K34" s="56" t="n">
        <v>401274.54</v>
      </c>
      <c r="L34" s="54" t="n">
        <v>10821</v>
      </c>
      <c r="M34" s="56" t="n">
        <v>35551.88</v>
      </c>
      <c r="N34" s="56" t="n">
        <v>103318.69</v>
      </c>
      <c r="O34" s="54" t="n">
        <v>2017</v>
      </c>
      <c r="P34" s="56" t="n">
        <v>28354.63</v>
      </c>
      <c r="Q34" s="56" t="n">
        <v>11430.92</v>
      </c>
      <c r="R34" s="56" t="n">
        <v>1443.26</v>
      </c>
      <c r="S34" s="27"/>
      <c r="T34" s="27"/>
      <c r="U34" s="57" t="n">
        <f aca="false">IFERROR(J34/I34,0)</f>
        <v>0.0216851829130733</v>
      </c>
      <c r="V34" s="58" t="n">
        <f aca="false">IFERROR(K34/J34,0)</f>
        <v>73.2386457382734</v>
      </c>
      <c r="W34" s="59" t="n">
        <f aca="false">IFERROR(L34/J34,0)</f>
        <v>1.97499543712356</v>
      </c>
      <c r="X34" s="22" t="n">
        <f aca="false">IFERROR(M34/(K34+M34),0)</f>
        <v>0.0813867439611368</v>
      </c>
      <c r="Y34" s="22" t="n">
        <f aca="false">IFERROR(N34/K34,0)</f>
        <v>0.257476315342608</v>
      </c>
      <c r="Z34" s="22" t="n">
        <f aca="false">IFERROR(O34/J34,0)</f>
        <v>0.368132870961854</v>
      </c>
      <c r="AA34" s="58" t="n">
        <f aca="false">IFERROR(P34/C34,0)</f>
        <v>0.459794869300123</v>
      </c>
      <c r="AB34" s="58" t="n">
        <f aca="false">IFERROR(Q34/D34,0)</f>
        <v>0.315231371683856</v>
      </c>
      <c r="AC34" s="58" t="n">
        <f aca="false">IFERROR(R34/E34,0)</f>
        <v>0.203047270680923</v>
      </c>
      <c r="AD34" s="57" t="n">
        <f aca="false">IFERROR(F34/F$58,0)</f>
        <v>0.0166497151615133</v>
      </c>
      <c r="AE34" s="57" t="n">
        <f aca="false">IFERROR(G34/G$58,0)</f>
        <v>0.0143518483894369</v>
      </c>
      <c r="AF34" s="57" t="n">
        <f aca="false">IFERROR(H34/H$58,0)</f>
        <v>0.0161362241106336</v>
      </c>
      <c r="AG34" s="57" t="n">
        <f aca="false">IFERROR(P34/P$58,0)</f>
        <v>0.0163148836299201</v>
      </c>
      <c r="AH34" s="57" t="n">
        <f aca="false">IFERROR(Q34/Q$58,0)</f>
        <v>0.0159561792317351</v>
      </c>
      <c r="AI34" s="57" t="n">
        <f aca="false">IFERROR(R34/R$58,0)</f>
        <v>0.0156378853196461</v>
      </c>
      <c r="AJ34" s="49" t="n">
        <f aca="false">K34-N34</f>
        <v>297955.85</v>
      </c>
      <c r="AK34" s="57" t="n">
        <f aca="false">IFERROR(I34/I$58,0)</f>
        <v>0.0161178202511004</v>
      </c>
    </row>
    <row r="35" customFormat="false" ht="15" hidden="false" customHeight="false" outlineLevel="0" collapsed="false">
      <c r="A35" s="13" t="n">
        <v>30</v>
      </c>
      <c r="B35" s="53"/>
      <c r="C35" s="54" t="n">
        <v>53634</v>
      </c>
      <c r="D35" s="54" t="n">
        <v>30221</v>
      </c>
      <c r="E35" s="54" t="n">
        <v>6373</v>
      </c>
      <c r="F35" s="54" t="n">
        <v>81335</v>
      </c>
      <c r="G35" s="54" t="n">
        <v>23091</v>
      </c>
      <c r="H35" s="54" t="n">
        <v>14947</v>
      </c>
      <c r="I35" s="55" t="n">
        <f aca="false">SUM(C35:H35)</f>
        <v>209601</v>
      </c>
      <c r="J35" s="54" t="n">
        <v>2678</v>
      </c>
      <c r="K35" s="56" t="n">
        <v>198882.29</v>
      </c>
      <c r="L35" s="54" t="n">
        <v>5213</v>
      </c>
      <c r="M35" s="56" t="n">
        <v>16372.54</v>
      </c>
      <c r="N35" s="56" t="n">
        <v>51685.24</v>
      </c>
      <c r="O35" s="54" t="n">
        <v>958</v>
      </c>
      <c r="P35" s="56" t="n">
        <v>23969.57</v>
      </c>
      <c r="Q35" s="56" t="n">
        <v>10082.58</v>
      </c>
      <c r="R35" s="56" t="n">
        <v>1323.47</v>
      </c>
      <c r="S35" s="27" t="s">
        <v>480</v>
      </c>
      <c r="T35" s="27" t="s">
        <v>485</v>
      </c>
      <c r="U35" s="57" t="n">
        <f aca="false">IFERROR(J35/I35,0)</f>
        <v>0.0127766565999208</v>
      </c>
      <c r="V35" s="58" t="n">
        <f aca="false">IFERROR(K35/J35,0)</f>
        <v>74.2652315160568</v>
      </c>
      <c r="W35" s="59" t="n">
        <f aca="false">IFERROR(L35/J35,0)</f>
        <v>1.94660194174757</v>
      </c>
      <c r="X35" s="22" t="n">
        <f aca="false">IFERROR(M35/(K35+M35),0)</f>
        <v>0.0760611968614131</v>
      </c>
      <c r="Y35" s="22" t="n">
        <f aca="false">IFERROR(N35/K35,0)</f>
        <v>0.259878544238404</v>
      </c>
      <c r="Z35" s="22" t="n">
        <f aca="false">IFERROR(O35/J35,0)</f>
        <v>0.357729648991785</v>
      </c>
      <c r="AA35" s="58" t="n">
        <f aca="false">IFERROR(P35/C35,0)</f>
        <v>0.446909982473804</v>
      </c>
      <c r="AB35" s="58" t="n">
        <f aca="false">IFERROR(Q35/D35,0)</f>
        <v>0.333628271731577</v>
      </c>
      <c r="AC35" s="58" t="n">
        <f aca="false">IFERROR(R35/E35,0)</f>
        <v>0.207668288090381</v>
      </c>
      <c r="AD35" s="57" t="n">
        <f aca="false">IFERROR(F35/F$58,0)</f>
        <v>0.0131122270247457</v>
      </c>
      <c r="AE35" s="57" t="n">
        <f aca="false">IFERROR(G35/G$58,0)</f>
        <v>0.0123352390069414</v>
      </c>
      <c r="AF35" s="57" t="n">
        <f aca="false">IFERROR(H35/H$58,0)</f>
        <v>0.0137987380159987</v>
      </c>
      <c r="AG35" s="57" t="n">
        <f aca="false">IFERROR(P35/P$58,0)</f>
        <v>0.0137917773996424</v>
      </c>
      <c r="AH35" s="57" t="n">
        <f aca="false">IFERROR(Q35/Q$58,0)</f>
        <v>0.014074059970528</v>
      </c>
      <c r="AI35" s="57" t="n">
        <f aca="false">IFERROR(R35/R$58,0)</f>
        <v>0.0143399471224811</v>
      </c>
      <c r="AJ35" s="49" t="n">
        <f aca="false">K35-N35</f>
        <v>147197.05</v>
      </c>
      <c r="AK35" s="57" t="n">
        <f aca="false">IFERROR(I35/I$58,0)</f>
        <v>0.0133709248457455</v>
      </c>
    </row>
    <row r="36" customFormat="false" ht="15" hidden="false" customHeight="false" outlineLevel="0" collapsed="false">
      <c r="A36" s="13" t="n">
        <v>31</v>
      </c>
      <c r="B36" s="53"/>
      <c r="C36" s="54" t="n">
        <v>62868</v>
      </c>
      <c r="D36" s="54" t="n">
        <v>34169</v>
      </c>
      <c r="E36" s="54" t="n">
        <v>7122</v>
      </c>
      <c r="F36" s="54" t="n">
        <v>101742</v>
      </c>
      <c r="G36" s="54" t="n">
        <v>26892</v>
      </c>
      <c r="H36" s="54" t="n">
        <v>16668</v>
      </c>
      <c r="I36" s="55" t="n">
        <f aca="false">SUM(C36:H36)</f>
        <v>249461</v>
      </c>
      <c r="J36" s="54" t="n">
        <v>5361</v>
      </c>
      <c r="K36" s="56" t="n">
        <v>395435.58</v>
      </c>
      <c r="L36" s="54" t="n">
        <v>9986</v>
      </c>
      <c r="M36" s="56" t="n">
        <v>35252.64</v>
      </c>
      <c r="N36" s="56" t="n">
        <v>101510.95</v>
      </c>
      <c r="O36" s="54" t="n">
        <v>1957</v>
      </c>
      <c r="P36" s="56" t="n">
        <v>28272.3</v>
      </c>
      <c r="Q36" s="56" t="n">
        <v>11094.21</v>
      </c>
      <c r="R36" s="56" t="n">
        <v>1423.18</v>
      </c>
      <c r="S36" s="27"/>
      <c r="T36" s="27"/>
      <c r="U36" s="57" t="n">
        <f aca="false">IFERROR(J36/I36,0)</f>
        <v>0.0214903331582893</v>
      </c>
      <c r="V36" s="58" t="n">
        <f aca="false">IFERROR(K36/J36,0)</f>
        <v>73.7615332960269</v>
      </c>
      <c r="W36" s="59" t="n">
        <f aca="false">IFERROR(L36/J36,0)</f>
        <v>1.86271218056333</v>
      </c>
      <c r="X36" s="22" t="n">
        <f aca="false">IFERROR(M36/(K36+M36),0)</f>
        <v>0.0818518788370854</v>
      </c>
      <c r="Y36" s="22" t="n">
        <f aca="false">IFERROR(N36/K36,0)</f>
        <v>0.25670666761954</v>
      </c>
      <c r="Z36" s="22" t="n">
        <f aca="false">IFERROR(O36/J36,0)</f>
        <v>0.365043835105391</v>
      </c>
      <c r="AA36" s="58" t="n">
        <f aca="false">IFERROR(P36/C36,0)</f>
        <v>0.449708913914869</v>
      </c>
      <c r="AB36" s="58" t="n">
        <f aca="false">IFERROR(Q36/D36,0)</f>
        <v>0.324686411659692</v>
      </c>
      <c r="AC36" s="58" t="n">
        <f aca="false">IFERROR(R36/E36,0)</f>
        <v>0.199828699803426</v>
      </c>
      <c r="AD36" s="57" t="n">
        <f aca="false">IFERROR(F36/F$58,0)</f>
        <v>0.0164020926040656</v>
      </c>
      <c r="AE36" s="57" t="n">
        <f aca="false">IFERROR(G36/G$58,0)</f>
        <v>0.014365737619621</v>
      </c>
      <c r="AF36" s="57" t="n">
        <f aca="false">IFERROR(H36/H$58,0)</f>
        <v>0.0153875269452509</v>
      </c>
      <c r="AG36" s="57" t="n">
        <f aca="false">IFERROR(P36/P$58,0)</f>
        <v>0.0162675120236162</v>
      </c>
      <c r="AH36" s="57" t="n">
        <f aca="false">IFERROR(Q36/Q$58,0)</f>
        <v>0.0154861728709944</v>
      </c>
      <c r="AI36" s="57" t="n">
        <f aca="false">IFERROR(R36/R$58,0)</f>
        <v>0.0154203162487798</v>
      </c>
      <c r="AJ36" s="49" t="n">
        <f aca="false">K36-N36</f>
        <v>293924.63</v>
      </c>
      <c r="AK36" s="57" t="n">
        <f aca="false">IFERROR(I36/I$58,0)</f>
        <v>0.0159136849678414</v>
      </c>
    </row>
    <row r="37" customFormat="false" ht="15" hidden="false" customHeight="false" outlineLevel="0" collapsed="false">
      <c r="A37" s="13" t="n">
        <v>32</v>
      </c>
      <c r="B37" s="53"/>
      <c r="C37" s="54" t="n">
        <v>65249</v>
      </c>
      <c r="D37" s="54" t="n">
        <v>35307</v>
      </c>
      <c r="E37" s="54" t="n">
        <v>8041</v>
      </c>
      <c r="F37" s="54" t="n">
        <v>100151</v>
      </c>
      <c r="G37" s="54" t="n">
        <v>29891</v>
      </c>
      <c r="H37" s="54" t="n">
        <v>17115</v>
      </c>
      <c r="I37" s="55" t="n">
        <f aca="false">SUM(C37:H37)</f>
        <v>255754</v>
      </c>
      <c r="J37" s="54" t="n">
        <v>5358</v>
      </c>
      <c r="K37" s="56" t="n">
        <v>388425.9</v>
      </c>
      <c r="L37" s="54" t="n">
        <v>10367</v>
      </c>
      <c r="M37" s="56" t="n">
        <v>35953.34</v>
      </c>
      <c r="N37" s="56" t="n">
        <v>104782.91</v>
      </c>
      <c r="O37" s="54" t="n">
        <v>1809</v>
      </c>
      <c r="P37" s="56" t="n">
        <v>28720.52</v>
      </c>
      <c r="Q37" s="56" t="n">
        <v>12187.46</v>
      </c>
      <c r="R37" s="56" t="n">
        <v>1686.34</v>
      </c>
      <c r="S37" s="27"/>
      <c r="T37" s="27"/>
      <c r="U37" s="57" t="n">
        <f aca="false">IFERROR(J37/I37,0)</f>
        <v>0.0209498189666633</v>
      </c>
      <c r="V37" s="58" t="n">
        <f aca="false">IFERROR(K37/J37,0)</f>
        <v>72.494568868981</v>
      </c>
      <c r="W37" s="59" t="n">
        <f aca="false">IFERROR(L37/J37,0)</f>
        <v>1.93486375513251</v>
      </c>
      <c r="X37" s="22" t="n">
        <f aca="false">IFERROR(M37/(K37+M37),0)</f>
        <v>0.084719836908139</v>
      </c>
      <c r="Y37" s="22" t="n">
        <f aca="false">IFERROR(N37/K37,0)</f>
        <v>0.26976293290432</v>
      </c>
      <c r="Z37" s="22" t="n">
        <f aca="false">IFERROR(O37/J37,0)</f>
        <v>0.337625979843225</v>
      </c>
      <c r="AA37" s="58" t="n">
        <f aca="false">IFERROR(P37/C37,0)</f>
        <v>0.440167971922941</v>
      </c>
      <c r="AB37" s="58" t="n">
        <f aca="false">IFERROR(Q37/D37,0)</f>
        <v>0.345185374005155</v>
      </c>
      <c r="AC37" s="58" t="n">
        <f aca="false">IFERROR(R37/E37,0)</f>
        <v>0.20971769680388</v>
      </c>
      <c r="AD37" s="57" t="n">
        <f aca="false">IFERROR(F37/F$58,0)</f>
        <v>0.0161456033534801</v>
      </c>
      <c r="AE37" s="57" t="n">
        <f aca="false">IFERROR(G37/G$58,0)</f>
        <v>0.015967806901238</v>
      </c>
      <c r="AF37" s="57" t="n">
        <f aca="false">IFERROR(H37/H$58,0)</f>
        <v>0.0158001874050858</v>
      </c>
      <c r="AG37" s="57" t="n">
        <f aca="false">IFERROR(P37/P$58,0)</f>
        <v>0.0165254119553241</v>
      </c>
      <c r="AH37" s="57" t="n">
        <f aca="false">IFERROR(Q37/Q$58,0)</f>
        <v>0.0170122174015392</v>
      </c>
      <c r="AI37" s="57" t="n">
        <f aca="false">IFERROR(R37/R$58,0)</f>
        <v>0.0182716846097945</v>
      </c>
      <c r="AJ37" s="49" t="n">
        <f aca="false">K37-N37</f>
        <v>283642.99</v>
      </c>
      <c r="AK37" s="57" t="n">
        <f aca="false">IFERROR(I37/I$58,0)</f>
        <v>0.0163151297608255</v>
      </c>
    </row>
    <row r="38" customFormat="false" ht="15" hidden="false" customHeight="false" outlineLevel="0" collapsed="false">
      <c r="A38" s="13" t="n">
        <v>33</v>
      </c>
      <c r="B38" s="53"/>
      <c r="C38" s="54" t="n">
        <v>61181</v>
      </c>
      <c r="D38" s="54" t="n">
        <v>34057</v>
      </c>
      <c r="E38" s="54" t="n">
        <v>7374</v>
      </c>
      <c r="F38" s="54" t="n">
        <v>101962</v>
      </c>
      <c r="G38" s="54" t="n">
        <v>26952</v>
      </c>
      <c r="H38" s="54" t="n">
        <v>16851</v>
      </c>
      <c r="I38" s="55" t="n">
        <f aca="false">SUM(C38:H38)</f>
        <v>248377</v>
      </c>
      <c r="J38" s="54" t="n">
        <v>5210</v>
      </c>
      <c r="K38" s="56" t="n">
        <v>380177.69</v>
      </c>
      <c r="L38" s="54" t="n">
        <v>10069</v>
      </c>
      <c r="M38" s="56" t="n">
        <v>35692.72</v>
      </c>
      <c r="N38" s="56" t="n">
        <v>101545.08</v>
      </c>
      <c r="O38" s="54" t="n">
        <v>1912</v>
      </c>
      <c r="P38" s="56" t="n">
        <v>27580.78</v>
      </c>
      <c r="Q38" s="56" t="n">
        <v>10911.24</v>
      </c>
      <c r="R38" s="56" t="n">
        <v>1514.79</v>
      </c>
      <c r="S38" s="27"/>
      <c r="T38" s="27"/>
      <c r="U38" s="57" t="n">
        <f aca="false">IFERROR(J38/I38,0)</f>
        <v>0.0209761773433128</v>
      </c>
      <c r="V38" s="58" t="n">
        <f aca="false">IFERROR(K38/J38,0)</f>
        <v>72.9707658349328</v>
      </c>
      <c r="W38" s="59" t="n">
        <f aca="false">IFERROR(L38/J38,0)</f>
        <v>1.93262955854127</v>
      </c>
      <c r="X38" s="22" t="n">
        <f aca="false">IFERROR(M38/(K38+M38),0)</f>
        <v>0.085826543898615</v>
      </c>
      <c r="Y38" s="22" t="n">
        <f aca="false">IFERROR(N38/K38,0)</f>
        <v>0.267098997839668</v>
      </c>
      <c r="Z38" s="22" t="n">
        <f aca="false">IFERROR(O38/J38,0)</f>
        <v>0.366986564299424</v>
      </c>
      <c r="AA38" s="58" t="n">
        <f aca="false">IFERROR(P38/C38,0)</f>
        <v>0.45080629607231</v>
      </c>
      <c r="AB38" s="58" t="n">
        <f aca="false">IFERROR(Q38/D38,0)</f>
        <v>0.320381713010541</v>
      </c>
      <c r="AC38" s="58" t="n">
        <f aca="false">IFERROR(R38/E38,0)</f>
        <v>0.205423108218063</v>
      </c>
      <c r="AD38" s="57" t="n">
        <f aca="false">IFERROR(F38/F$58,0)</f>
        <v>0.0164375593766167</v>
      </c>
      <c r="AE38" s="57" t="n">
        <f aca="false">IFERROR(G38/G$58,0)</f>
        <v>0.0143977896892766</v>
      </c>
      <c r="AF38" s="57" t="n">
        <f aca="false">IFERROR(H38/H$58,0)</f>
        <v>0.0155564684757874</v>
      </c>
      <c r="AG38" s="57" t="n">
        <f aca="false">IFERROR(P38/P$58,0)</f>
        <v>0.0158696204507845</v>
      </c>
      <c r="AH38" s="57" t="n">
        <f aca="false">IFERROR(Q38/Q$58,0)</f>
        <v>0.0152307689215284</v>
      </c>
      <c r="AI38" s="57" t="n">
        <f aca="false">IFERROR(R38/R$58,0)</f>
        <v>0.0164129209590419</v>
      </c>
      <c r="AJ38" s="49" t="n">
        <f aca="false">K38-N38</f>
        <v>278632.61</v>
      </c>
      <c r="AK38" s="57" t="n">
        <f aca="false">IFERROR(I38/I$58,0)</f>
        <v>0.0158445341406373</v>
      </c>
    </row>
    <row r="39" customFormat="false" ht="15" hidden="false" customHeight="false" outlineLevel="0" collapsed="false">
      <c r="A39" s="13" t="n">
        <v>34</v>
      </c>
      <c r="B39" s="53"/>
      <c r="C39" s="54" t="n">
        <v>63698</v>
      </c>
      <c r="D39" s="54" t="n">
        <v>36695</v>
      </c>
      <c r="E39" s="54" t="n">
        <v>7941</v>
      </c>
      <c r="F39" s="54" t="n">
        <v>102328</v>
      </c>
      <c r="G39" s="54" t="n">
        <v>29533</v>
      </c>
      <c r="H39" s="54" t="n">
        <v>19857</v>
      </c>
      <c r="I39" s="55" t="n">
        <f aca="false">SUM(C39:H39)</f>
        <v>260052</v>
      </c>
      <c r="J39" s="54" t="n">
        <v>5386</v>
      </c>
      <c r="K39" s="56" t="n">
        <v>405344.39</v>
      </c>
      <c r="L39" s="54" t="n">
        <v>10402</v>
      </c>
      <c r="M39" s="56" t="n">
        <v>32910.64</v>
      </c>
      <c r="N39" s="56" t="n">
        <v>103474.26</v>
      </c>
      <c r="O39" s="54" t="n">
        <v>1991</v>
      </c>
      <c r="P39" s="56" t="n">
        <v>28164.88</v>
      </c>
      <c r="Q39" s="56" t="n">
        <v>12050.09</v>
      </c>
      <c r="R39" s="56" t="n">
        <v>1657.19</v>
      </c>
      <c r="S39" s="27"/>
      <c r="T39" s="27"/>
      <c r="U39" s="57" t="n">
        <f aca="false">IFERROR(J39/I39,0)</f>
        <v>0.0207112423669112</v>
      </c>
      <c r="V39" s="58" t="n">
        <f aca="false">IFERROR(K39/J39,0)</f>
        <v>75.258891570739</v>
      </c>
      <c r="W39" s="59" t="n">
        <f aca="false">IFERROR(L39/J39,0)</f>
        <v>1.93130337913108</v>
      </c>
      <c r="X39" s="22" t="n">
        <f aca="false">IFERROR(M39/(K39+M39),0)</f>
        <v>0.0750947228147045</v>
      </c>
      <c r="Y39" s="22" t="n">
        <f aca="false">IFERROR(N39/K39,0)</f>
        <v>0.255274928067957</v>
      </c>
      <c r="Z39" s="22" t="n">
        <f aca="false">IFERROR(O39/J39,0)</f>
        <v>0.369662086891942</v>
      </c>
      <c r="AA39" s="58" t="n">
        <f aca="false">IFERROR(P39/C39,0)</f>
        <v>0.442162705265471</v>
      </c>
      <c r="AB39" s="58" t="n">
        <f aca="false">IFERROR(Q39/D39,0)</f>
        <v>0.328385066085298</v>
      </c>
      <c r="AC39" s="58" t="n">
        <f aca="false">IFERROR(R39/E39,0)</f>
        <v>0.208687822692356</v>
      </c>
      <c r="AD39" s="57" t="n">
        <f aca="false">IFERROR(F39/F$58,0)</f>
        <v>0.0164965631891335</v>
      </c>
      <c r="AE39" s="57" t="n">
        <f aca="false">IFERROR(G39/G$58,0)</f>
        <v>0.0157765628856265</v>
      </c>
      <c r="AF39" s="57" t="n">
        <f aca="false">IFERROR(H39/H$58,0)</f>
        <v>0.0183315408298445</v>
      </c>
      <c r="AG39" s="57" t="n">
        <f aca="false">IFERROR(P39/P$58,0)</f>
        <v>0.0162057039591299</v>
      </c>
      <c r="AH39" s="57" t="n">
        <f aca="false">IFERROR(Q39/Q$58,0)</f>
        <v>0.0168204655267064</v>
      </c>
      <c r="AI39" s="57" t="n">
        <f aca="false">IFERROR(R39/R$58,0)</f>
        <v>0.0179558410631933</v>
      </c>
      <c r="AJ39" s="49" t="n">
        <f aca="false">K39-N39</f>
        <v>301870.13</v>
      </c>
      <c r="AK39" s="57" t="n">
        <f aca="false">IFERROR(I39/I$58,0)</f>
        <v>0.0165893089631529</v>
      </c>
    </row>
    <row r="40" customFormat="false" ht="15" hidden="false" customHeight="false" outlineLevel="0" collapsed="false">
      <c r="A40" s="13" t="n">
        <v>35</v>
      </c>
      <c r="B40" s="53"/>
      <c r="C40" s="54" t="n">
        <v>60275</v>
      </c>
      <c r="D40" s="54" t="n">
        <v>35245</v>
      </c>
      <c r="E40" s="54" t="n">
        <v>7588</v>
      </c>
      <c r="F40" s="54" t="n">
        <v>102131</v>
      </c>
      <c r="G40" s="54" t="n">
        <v>28889</v>
      </c>
      <c r="H40" s="54" t="n">
        <v>17080</v>
      </c>
      <c r="I40" s="55" t="n">
        <f aca="false">SUM(C40:H40)</f>
        <v>251208</v>
      </c>
      <c r="J40" s="54" t="n">
        <v>5299</v>
      </c>
      <c r="K40" s="56" t="n">
        <v>383075.6</v>
      </c>
      <c r="L40" s="54" t="n">
        <v>10200</v>
      </c>
      <c r="M40" s="56" t="n">
        <v>32731.91</v>
      </c>
      <c r="N40" s="56" t="n">
        <v>99487.48</v>
      </c>
      <c r="O40" s="54" t="n">
        <v>1888</v>
      </c>
      <c r="P40" s="56" t="n">
        <v>27219.88</v>
      </c>
      <c r="Q40" s="56" t="n">
        <v>11392.56</v>
      </c>
      <c r="R40" s="56" t="n">
        <v>1562.28</v>
      </c>
      <c r="S40" s="27"/>
      <c r="T40" s="27"/>
      <c r="U40" s="57" t="n">
        <f aca="false">IFERROR(J40/I40,0)</f>
        <v>0.0210940734371517</v>
      </c>
      <c r="V40" s="58" t="n">
        <f aca="false">IFERROR(K40/J40,0)</f>
        <v>72.2920551047367</v>
      </c>
      <c r="W40" s="59" t="n">
        <f aca="false">IFERROR(L40/J40,0)</f>
        <v>1.92489148896018</v>
      </c>
      <c r="X40" s="22" t="n">
        <f aca="false">IFERROR(M40/(K40+M40),0)</f>
        <v>0.0787189004835435</v>
      </c>
      <c r="Y40" s="22" t="n">
        <f aca="false">IFERROR(N40/K40,0)</f>
        <v>0.259707170072957</v>
      </c>
      <c r="Z40" s="22" t="n">
        <f aca="false">IFERROR(O40/J40,0)</f>
        <v>0.356293640309492</v>
      </c>
      <c r="AA40" s="58" t="n">
        <f aca="false">IFERROR(P40/C40,0)</f>
        <v>0.451594856905848</v>
      </c>
      <c r="AB40" s="58" t="n">
        <f aca="false">IFERROR(Q40/D40,0)</f>
        <v>0.323239040998723</v>
      </c>
      <c r="AC40" s="58" t="n">
        <f aca="false">IFERROR(R40/E40,0)</f>
        <v>0.205888244596732</v>
      </c>
      <c r="AD40" s="57" t="n">
        <f aca="false">IFERROR(F40/F$58,0)</f>
        <v>0.01646480430644</v>
      </c>
      <c r="AE40" s="57" t="n">
        <f aca="false">IFERROR(G40/G$58,0)</f>
        <v>0.0154325373379901</v>
      </c>
      <c r="AF40" s="57" t="n">
        <f aca="false">IFERROR(H40/H$58,0)</f>
        <v>0.0157678761833985</v>
      </c>
      <c r="AG40" s="57" t="n">
        <f aca="false">IFERROR(P40/P$58,0)</f>
        <v>0.0156619633061828</v>
      </c>
      <c r="AH40" s="57" t="n">
        <f aca="false">IFERROR(Q40/Q$58,0)</f>
        <v>0.0159026333198287</v>
      </c>
      <c r="AI40" s="57" t="n">
        <f aca="false">IFERROR(R40/R$58,0)</f>
        <v>0.0169274804797311</v>
      </c>
      <c r="AJ40" s="49" t="n">
        <f aca="false">K40-N40</f>
        <v>283588.12</v>
      </c>
      <c r="AK40" s="57" t="n">
        <f aca="false">IFERROR(I40/I$58,0)</f>
        <v>0.0160251300740456</v>
      </c>
    </row>
    <row r="41" customFormat="false" ht="15" hidden="false" customHeight="false" outlineLevel="0" collapsed="false">
      <c r="A41" s="13" t="n">
        <v>36</v>
      </c>
      <c r="B41" s="53" t="s">
        <v>433</v>
      </c>
      <c r="C41" s="54" t="n">
        <v>78887</v>
      </c>
      <c r="D41" s="54" t="n">
        <v>45494</v>
      </c>
      <c r="E41" s="54" t="n">
        <v>9848</v>
      </c>
      <c r="F41" s="54" t="n">
        <v>128700</v>
      </c>
      <c r="G41" s="54" t="n">
        <v>60451</v>
      </c>
      <c r="H41" s="54" t="n">
        <v>22315</v>
      </c>
      <c r="I41" s="55" t="n">
        <f aca="false">SUM(C41:H41)</f>
        <v>345695</v>
      </c>
      <c r="J41" s="54" t="n">
        <v>8158</v>
      </c>
      <c r="K41" s="56" t="n">
        <v>561884.05</v>
      </c>
      <c r="L41" s="54" t="n">
        <v>14995</v>
      </c>
      <c r="M41" s="56" t="n">
        <v>170678.71</v>
      </c>
      <c r="N41" s="56" t="n">
        <v>142011.74</v>
      </c>
      <c r="O41" s="54" t="n">
        <v>3564</v>
      </c>
      <c r="P41" s="56" t="n">
        <v>35798.91</v>
      </c>
      <c r="Q41" s="56" t="n">
        <v>15082.63</v>
      </c>
      <c r="R41" s="56" t="n">
        <v>2013.26</v>
      </c>
      <c r="S41" s="27"/>
      <c r="T41" s="27"/>
      <c r="U41" s="57" t="n">
        <f aca="false">IFERROR(J41/I41,0)</f>
        <v>0.0235988371252115</v>
      </c>
      <c r="V41" s="58" t="n">
        <f aca="false">IFERROR(K41/J41,0)</f>
        <v>68.8752206423143</v>
      </c>
      <c r="W41" s="59" t="n">
        <f aca="false">IFERROR(L41/J41,0)</f>
        <v>1.83807305712184</v>
      </c>
      <c r="X41" s="22" t="n">
        <f aca="false">IFERROR(M41/(K41+M41),0)</f>
        <v>0.232988515550531</v>
      </c>
      <c r="Y41" s="22" t="n">
        <f aca="false">IFERROR(N41/K41,0)</f>
        <v>0.252742073742794</v>
      </c>
      <c r="Z41" s="22" t="n">
        <f aca="false">IFERROR(O41/J41,0)</f>
        <v>0.436871782299583</v>
      </c>
      <c r="AA41" s="58" t="n">
        <f aca="false">IFERROR(P41/C41,0)</f>
        <v>0.453799865630586</v>
      </c>
      <c r="AB41" s="58" t="n">
        <f aca="false">IFERROR(Q41/D41,0)</f>
        <v>0.331530091880248</v>
      </c>
      <c r="AC41" s="58" t="n">
        <f aca="false">IFERROR(R41/E41,0)</f>
        <v>0.204433387489846</v>
      </c>
      <c r="AD41" s="57" t="n">
        <f aca="false">IFERROR(F41/F$58,0)</f>
        <v>0.0207480619423958</v>
      </c>
      <c r="AE41" s="57" t="n">
        <f aca="false">IFERROR(G41/G$58,0)</f>
        <v>0.0322929943791354</v>
      </c>
      <c r="AF41" s="57" t="n">
        <f aca="false">IFERROR(H41/H$58,0)</f>
        <v>0.0206007117700549</v>
      </c>
      <c r="AG41" s="57" t="n">
        <f aca="false">IFERROR(P41/P$58,0)</f>
        <v>0.0205982250774559</v>
      </c>
      <c r="AH41" s="57" t="n">
        <f aca="false">IFERROR(Q41/Q$58,0)</f>
        <v>0.0210535239128561</v>
      </c>
      <c r="AI41" s="57" t="n">
        <f aca="false">IFERROR(R41/R$58,0)</f>
        <v>0.0218138997814883</v>
      </c>
      <c r="AJ41" s="49" t="n">
        <f aca="false">K41-N41</f>
        <v>419872.31</v>
      </c>
      <c r="AK41" s="57" t="n">
        <f aca="false">IFERROR(I41/I$58,0)</f>
        <v>0.022052670858202</v>
      </c>
    </row>
    <row r="42" customFormat="false" ht="15" hidden="false" customHeight="false" outlineLevel="0" collapsed="false">
      <c r="A42" s="13" t="n">
        <v>37</v>
      </c>
      <c r="B42" s="53"/>
      <c r="C42" s="54" t="n">
        <v>67379</v>
      </c>
      <c r="D42" s="54" t="n">
        <v>37937</v>
      </c>
      <c r="E42" s="54" t="n">
        <v>8978</v>
      </c>
      <c r="F42" s="54" t="n">
        <v>112664</v>
      </c>
      <c r="G42" s="54" t="n">
        <v>33100</v>
      </c>
      <c r="H42" s="54" t="n">
        <v>21073</v>
      </c>
      <c r="I42" s="55" t="n">
        <f aca="false">SUM(C42:H42)</f>
        <v>281131</v>
      </c>
      <c r="J42" s="54" t="n">
        <v>6133</v>
      </c>
      <c r="K42" s="56" t="n">
        <v>468275.87</v>
      </c>
      <c r="L42" s="54" t="n">
        <v>11947</v>
      </c>
      <c r="M42" s="56" t="n">
        <v>43266.75</v>
      </c>
      <c r="N42" s="56" t="n">
        <v>117330.33</v>
      </c>
      <c r="O42" s="54" t="n">
        <v>2066</v>
      </c>
      <c r="P42" s="56" t="n">
        <v>29581.16</v>
      </c>
      <c r="Q42" s="56" t="n">
        <v>12383.52</v>
      </c>
      <c r="R42" s="56" t="n">
        <v>1739.36</v>
      </c>
      <c r="S42" s="27"/>
      <c r="T42" s="27"/>
      <c r="U42" s="57" t="n">
        <f aca="false">IFERROR(J42/I42,0)</f>
        <v>0.0218154525826038</v>
      </c>
      <c r="V42" s="58" t="n">
        <f aca="false">IFERROR(K42/J42,0)</f>
        <v>76.3534762758846</v>
      </c>
      <c r="W42" s="59" t="n">
        <f aca="false">IFERROR(L42/J42,0)</f>
        <v>1.94798630360346</v>
      </c>
      <c r="X42" s="22" t="n">
        <f aca="false">IFERROR(M42/(K42+M42),0)</f>
        <v>0.0845809289556362</v>
      </c>
      <c r="Y42" s="22" t="n">
        <f aca="false">IFERROR(N42/K42,0)</f>
        <v>0.250558137877145</v>
      </c>
      <c r="Z42" s="22" t="n">
        <f aca="false">IFERROR(O42/J42,0)</f>
        <v>0.336866134029023</v>
      </c>
      <c r="AA42" s="58" t="n">
        <f aca="false">IFERROR(P42/C42,0)</f>
        <v>0.439026402885172</v>
      </c>
      <c r="AB42" s="58" t="n">
        <f aca="false">IFERROR(Q42/D42,0)</f>
        <v>0.326423280702217</v>
      </c>
      <c r="AC42" s="58" t="n">
        <f aca="false">IFERROR(R42/E42,0)</f>
        <v>0.193735798618846</v>
      </c>
      <c r="AD42" s="57" t="n">
        <f aca="false">IFERROR(F42/F$58,0)</f>
        <v>0.0181628566486254</v>
      </c>
      <c r="AE42" s="57" t="n">
        <f aca="false">IFERROR(G42/G$58,0)</f>
        <v>0.0176820584266494</v>
      </c>
      <c r="AF42" s="57" t="n">
        <f aca="false">IFERROR(H42/H$58,0)</f>
        <v>0.0194541249890373</v>
      </c>
      <c r="AG42" s="57" t="n">
        <f aca="false">IFERROR(P42/P$58,0)</f>
        <v>0.0170206129664907</v>
      </c>
      <c r="AH42" s="57" t="n">
        <f aca="false">IFERROR(Q42/Q$58,0)</f>
        <v>0.0172858934048857</v>
      </c>
      <c r="AI42" s="57" t="n">
        <f aca="false">IFERROR(R42/R$58,0)</f>
        <v>0.0188461623058768</v>
      </c>
      <c r="AJ42" s="49" t="n">
        <f aca="false">K42-N42</f>
        <v>350945.54</v>
      </c>
      <c r="AK42" s="57" t="n">
        <f aca="false">IFERROR(I42/I$58,0)</f>
        <v>0.017933986349346</v>
      </c>
    </row>
    <row r="43" customFormat="false" ht="15" hidden="false" customHeight="false" outlineLevel="0" collapsed="false">
      <c r="A43" s="13" t="n">
        <v>38</v>
      </c>
      <c r="B43" s="53"/>
      <c r="C43" s="54" t="n">
        <v>68811</v>
      </c>
      <c r="D43" s="54" t="n">
        <v>41446</v>
      </c>
      <c r="E43" s="54" t="n">
        <v>8387</v>
      </c>
      <c r="F43" s="54" t="n">
        <v>108591</v>
      </c>
      <c r="G43" s="54" t="n">
        <v>30654</v>
      </c>
      <c r="H43" s="54" t="n">
        <v>21239</v>
      </c>
      <c r="I43" s="55" t="n">
        <f aca="false">SUM(C43:H43)</f>
        <v>279128</v>
      </c>
      <c r="J43" s="54" t="n">
        <v>5832</v>
      </c>
      <c r="K43" s="56" t="n">
        <v>440883.99</v>
      </c>
      <c r="L43" s="54" t="n">
        <v>11389</v>
      </c>
      <c r="M43" s="56" t="n">
        <v>36329.12</v>
      </c>
      <c r="N43" s="56" t="n">
        <v>115986.13</v>
      </c>
      <c r="O43" s="54" t="n">
        <v>1959</v>
      </c>
      <c r="P43" s="56" t="n">
        <v>29455.85</v>
      </c>
      <c r="Q43" s="56" t="n">
        <v>13224.11</v>
      </c>
      <c r="R43" s="56" t="n">
        <v>1649.26</v>
      </c>
      <c r="S43" s="27"/>
      <c r="T43" s="27"/>
      <c r="U43" s="57" t="n">
        <f aca="false">IFERROR(J43/I43,0)</f>
        <v>0.0208936401937462</v>
      </c>
      <c r="V43" s="58" t="n">
        <f aca="false">IFERROR(K43/J43,0)</f>
        <v>75.5973919753086</v>
      </c>
      <c r="W43" s="59" t="n">
        <f aca="false">IFERROR(L43/J43,0)</f>
        <v>1.9528463648834</v>
      </c>
      <c r="X43" s="22" t="n">
        <f aca="false">IFERROR(M43/(K43+M43),0)</f>
        <v>0.0761276654784275</v>
      </c>
      <c r="Y43" s="22" t="n">
        <f aca="false">IFERROR(N43/K43,0)</f>
        <v>0.263076302679986</v>
      </c>
      <c r="Z43" s="22" t="n">
        <f aca="false">IFERROR(O43/J43,0)</f>
        <v>0.335905349794239</v>
      </c>
      <c r="AA43" s="58" t="n">
        <f aca="false">IFERROR(P43/C43,0)</f>
        <v>0.428068913400474</v>
      </c>
      <c r="AB43" s="58" t="n">
        <f aca="false">IFERROR(Q43/D43,0)</f>
        <v>0.319068426386141</v>
      </c>
      <c r="AC43" s="58" t="n">
        <f aca="false">IFERROR(R43/E43,0)</f>
        <v>0.196644807440086</v>
      </c>
      <c r="AD43" s="57" t="n">
        <f aca="false">IFERROR(F43/F$58,0)</f>
        <v>0.0175062377186224</v>
      </c>
      <c r="AE43" s="57" t="n">
        <f aca="false">IFERROR(G43/G$58,0)</f>
        <v>0.0163754023870245</v>
      </c>
      <c r="AF43" s="57" t="n">
        <f aca="false">IFERROR(H43/H$58,0)</f>
        <v>0.0196073724976113</v>
      </c>
      <c r="AG43" s="57" t="n">
        <f aca="false">IFERROR(P43/P$58,0)</f>
        <v>0.0169485112297491</v>
      </c>
      <c r="AH43" s="57" t="n">
        <f aca="false">IFERROR(Q43/Q$58,0)</f>
        <v>0.0184592551903242</v>
      </c>
      <c r="AI43" s="57" t="n">
        <f aca="false">IFERROR(R43/R$58,0)</f>
        <v>0.0178699186163821</v>
      </c>
      <c r="AJ43" s="49" t="n">
        <f aca="false">K43-N43</f>
        <v>324897.86</v>
      </c>
      <c r="AK43" s="57" t="n">
        <f aca="false">IFERROR(I43/I$58,0)</f>
        <v>0.017806210420481</v>
      </c>
    </row>
    <row r="44" customFormat="false" ht="15" hidden="false" customHeight="false" outlineLevel="0" collapsed="false">
      <c r="A44" s="13" t="n">
        <v>39</v>
      </c>
      <c r="B44" s="53"/>
      <c r="C44" s="54" t="n">
        <v>72708</v>
      </c>
      <c r="D44" s="54" t="n">
        <v>42486</v>
      </c>
      <c r="E44" s="54" t="n">
        <v>8930</v>
      </c>
      <c r="F44" s="54" t="n">
        <v>116407</v>
      </c>
      <c r="G44" s="54" t="n">
        <v>32117</v>
      </c>
      <c r="H44" s="54" t="n">
        <v>21231</v>
      </c>
      <c r="I44" s="55" t="n">
        <f aca="false">SUM(C44:H44)</f>
        <v>293879</v>
      </c>
      <c r="J44" s="54" t="n">
        <v>6302</v>
      </c>
      <c r="K44" s="56" t="n">
        <v>477593.01</v>
      </c>
      <c r="L44" s="54" t="n">
        <v>11689</v>
      </c>
      <c r="M44" s="56" t="n">
        <v>45000.6</v>
      </c>
      <c r="N44" s="56" t="n">
        <v>123238.24</v>
      </c>
      <c r="O44" s="54" t="n">
        <v>2263</v>
      </c>
      <c r="P44" s="56" t="n">
        <v>32823.29</v>
      </c>
      <c r="Q44" s="56" t="n">
        <v>14340.23</v>
      </c>
      <c r="R44" s="56" t="n">
        <v>1768.88</v>
      </c>
      <c r="S44" s="27"/>
      <c r="T44" s="27"/>
      <c r="U44" s="57" t="n">
        <f aca="false">IFERROR(J44/I44,0)</f>
        <v>0.021444199823737</v>
      </c>
      <c r="V44" s="58" t="n">
        <f aca="false">IFERROR(K44/J44,0)</f>
        <v>75.7843557600762</v>
      </c>
      <c r="W44" s="59" t="n">
        <f aca="false">IFERROR(L44/J44,0)</f>
        <v>1.85480799746112</v>
      </c>
      <c r="X44" s="22" t="n">
        <f aca="false">IFERROR(M44/(K44+M44),0)</f>
        <v>0.0861101229308946</v>
      </c>
      <c r="Y44" s="22" t="n">
        <f aca="false">IFERROR(N44/K44,0)</f>
        <v>0.258040292507631</v>
      </c>
      <c r="Z44" s="22" t="n">
        <f aca="false">IFERROR(O44/J44,0)</f>
        <v>0.359092351634402</v>
      </c>
      <c r="AA44" s="58" t="n">
        <f aca="false">IFERROR(P44/C44,0)</f>
        <v>0.451439869065302</v>
      </c>
      <c r="AB44" s="58" t="n">
        <f aca="false">IFERROR(Q44/D44,0)</f>
        <v>0.337528362284047</v>
      </c>
      <c r="AC44" s="58" t="n">
        <f aca="false">IFERROR(R44/E44,0)</f>
        <v>0.198082866741321</v>
      </c>
      <c r="AD44" s="57" t="n">
        <f aca="false">IFERROR(F44/F$58,0)</f>
        <v>0.0187662754198016</v>
      </c>
      <c r="AE44" s="57" t="n">
        <f aca="false">IFERROR(G44/G$58,0)</f>
        <v>0.0171569386854592</v>
      </c>
      <c r="AF44" s="57" t="n">
        <f aca="false">IFERROR(H44/H$58,0)</f>
        <v>0.0195999870755113</v>
      </c>
      <c r="AG44" s="57" t="n">
        <f aca="false">IFERROR(P44/P$58,0)</f>
        <v>0.0188860922079082</v>
      </c>
      <c r="AH44" s="57" t="n">
        <f aca="false">IFERROR(Q44/Q$58,0)</f>
        <v>0.0200172234697036</v>
      </c>
      <c r="AI44" s="57" t="n">
        <f aca="false">IFERROR(R44/R$58,0)</f>
        <v>0.0191660148443216</v>
      </c>
      <c r="AJ44" s="49" t="n">
        <f aca="false">K44-N44</f>
        <v>354354.77</v>
      </c>
      <c r="AK44" s="57" t="n">
        <f aca="false">IFERROR(I44/I$58,0)</f>
        <v>0.0187472102840294</v>
      </c>
    </row>
    <row r="45" customFormat="false" ht="15" hidden="false" customHeight="false" outlineLevel="0" collapsed="false">
      <c r="A45" s="13" t="n">
        <v>40</v>
      </c>
      <c r="B45" s="53"/>
      <c r="C45" s="54" t="n">
        <v>72723</v>
      </c>
      <c r="D45" s="54" t="n">
        <v>39373</v>
      </c>
      <c r="E45" s="54" t="n">
        <v>8489</v>
      </c>
      <c r="F45" s="54" t="n">
        <v>112206</v>
      </c>
      <c r="G45" s="54" t="n">
        <v>33696</v>
      </c>
      <c r="H45" s="54" t="n">
        <v>19476</v>
      </c>
      <c r="I45" s="55" t="n">
        <f aca="false">SUM(C45:H45)</f>
        <v>285963</v>
      </c>
      <c r="J45" s="54" t="n">
        <v>6363</v>
      </c>
      <c r="K45" s="56" t="n">
        <v>462107.59</v>
      </c>
      <c r="L45" s="54" t="n">
        <v>12526</v>
      </c>
      <c r="M45" s="56" t="n">
        <v>42624.29</v>
      </c>
      <c r="N45" s="56" t="n">
        <v>124846.25</v>
      </c>
      <c r="O45" s="54" t="n">
        <v>2138</v>
      </c>
      <c r="P45" s="56" t="n">
        <v>31993.71</v>
      </c>
      <c r="Q45" s="56" t="n">
        <v>12507.47</v>
      </c>
      <c r="R45" s="56" t="n">
        <v>1632.3</v>
      </c>
      <c r="S45" s="27"/>
      <c r="T45" s="27"/>
      <c r="U45" s="57" t="n">
        <f aca="false">IFERROR(J45/I45,0)</f>
        <v>0.0222511303909946</v>
      </c>
      <c r="V45" s="58" t="n">
        <f aca="false">IFERROR(K45/J45,0)</f>
        <v>72.6241694169417</v>
      </c>
      <c r="W45" s="59" t="n">
        <f aca="false">IFERROR(L45/J45,0)</f>
        <v>1.96856828539997</v>
      </c>
      <c r="X45" s="22" t="n">
        <f aca="false">IFERROR(M45/(K45+M45),0)</f>
        <v>0.0844493714167609</v>
      </c>
      <c r="Y45" s="22" t="n">
        <f aca="false">IFERROR(N45/K45,0)</f>
        <v>0.270167062177014</v>
      </c>
      <c r="Z45" s="22" t="n">
        <f aca="false">IFERROR(O45/J45,0)</f>
        <v>0.336005029074336</v>
      </c>
      <c r="AA45" s="58" t="n">
        <f aca="false">IFERROR(P45/C45,0)</f>
        <v>0.439939358937338</v>
      </c>
      <c r="AB45" s="58" t="n">
        <f aca="false">IFERROR(Q45/D45,0)</f>
        <v>0.317666167170396</v>
      </c>
      <c r="AC45" s="58" t="n">
        <f aca="false">IFERROR(R45/E45,0)</f>
        <v>0.192284132406644</v>
      </c>
      <c r="AD45" s="57" t="n">
        <f aca="false">IFERROR(F45/F$58,0)</f>
        <v>0.0180890212766781</v>
      </c>
      <c r="AE45" s="57" t="n">
        <f aca="false">IFERROR(G45/G$58,0)</f>
        <v>0.0180004423185612</v>
      </c>
      <c r="AF45" s="57" t="n">
        <f aca="false">IFERROR(H45/H$58,0)</f>
        <v>0.0179798101023343</v>
      </c>
      <c r="AG45" s="57" t="n">
        <f aca="false">IFERROR(P45/P$58,0)</f>
        <v>0.0184087627149221</v>
      </c>
      <c r="AH45" s="57" t="n">
        <f aca="false">IFERROR(Q45/Q$58,0)</f>
        <v>0.0174589125858242</v>
      </c>
      <c r="AI45" s="57" t="n">
        <f aca="false">IFERROR(R45/R$58,0)</f>
        <v>0.0176861550983595</v>
      </c>
      <c r="AJ45" s="49" t="n">
        <f aca="false">K45-N45</f>
        <v>337261.34</v>
      </c>
      <c r="AK45" s="57" t="n">
        <f aca="false">IFERROR(I45/I$58,0)</f>
        <v>0.0182422306270672</v>
      </c>
    </row>
    <row r="46" customFormat="false" ht="15" hidden="false" customHeight="false" outlineLevel="0" collapsed="false">
      <c r="A46" s="13" t="n">
        <v>41</v>
      </c>
      <c r="B46" s="53"/>
      <c r="C46" s="54" t="n">
        <v>77551</v>
      </c>
      <c r="D46" s="54" t="n">
        <v>43491</v>
      </c>
      <c r="E46" s="54" t="n">
        <v>9540</v>
      </c>
      <c r="F46" s="54" t="n">
        <v>126645</v>
      </c>
      <c r="G46" s="54" t="n">
        <v>35321</v>
      </c>
      <c r="H46" s="54" t="n">
        <v>20455</v>
      </c>
      <c r="I46" s="55" t="n">
        <f aca="false">SUM(C46:H46)</f>
        <v>313003</v>
      </c>
      <c r="J46" s="54" t="n">
        <v>6793</v>
      </c>
      <c r="K46" s="56" t="n">
        <v>505971.97</v>
      </c>
      <c r="L46" s="54" t="n">
        <v>12694</v>
      </c>
      <c r="M46" s="56" t="n">
        <v>42830.31</v>
      </c>
      <c r="N46" s="56" t="n">
        <v>131673.01</v>
      </c>
      <c r="O46" s="54" t="n">
        <v>2284</v>
      </c>
      <c r="P46" s="56" t="n">
        <v>35311.04</v>
      </c>
      <c r="Q46" s="56" t="n">
        <v>13804.2</v>
      </c>
      <c r="R46" s="56" t="n">
        <v>1817.96</v>
      </c>
      <c r="S46" s="27"/>
      <c r="T46" s="27"/>
      <c r="U46" s="57" t="n">
        <f aca="false">IFERROR(J46/I46,0)</f>
        <v>0.0217026673865746</v>
      </c>
      <c r="V46" s="58" t="n">
        <f aca="false">IFERROR(K46/J46,0)</f>
        <v>74.4843176799647</v>
      </c>
      <c r="W46" s="59" t="n">
        <f aca="false">IFERROR(L46/J46,0)</f>
        <v>1.86868835566024</v>
      </c>
      <c r="X46" s="22" t="n">
        <f aca="false">IFERROR(M46/(K46+M46),0)</f>
        <v>0.0780432435521223</v>
      </c>
      <c r="Y46" s="22" t="n">
        <f aca="false">IFERROR(N46/K46,0)</f>
        <v>0.260237755858294</v>
      </c>
      <c r="Z46" s="22" t="n">
        <f aca="false">IFERROR(O46/J46,0)</f>
        <v>0.336228470484322</v>
      </c>
      <c r="AA46" s="58" t="n">
        <f aca="false">IFERROR(P46/C46,0)</f>
        <v>0.455326688243865</v>
      </c>
      <c r="AB46" s="58" t="n">
        <f aca="false">IFERROR(Q46/D46,0)</f>
        <v>0.317403600744982</v>
      </c>
      <c r="AC46" s="58" t="n">
        <f aca="false">IFERROR(R46/E46,0)</f>
        <v>0.190561844863732</v>
      </c>
      <c r="AD46" s="57" t="n">
        <f aca="false">IFERROR(F46/F$58,0)</f>
        <v>0.020416770044248</v>
      </c>
      <c r="AE46" s="57" t="n">
        <f aca="false">IFERROR(G46/G$58,0)</f>
        <v>0.0188685192050659</v>
      </c>
      <c r="AF46" s="57" t="n">
        <f aca="false">IFERROR(H46/H$58,0)</f>
        <v>0.0188836011318159</v>
      </c>
      <c r="AG46" s="57" t="n">
        <f aca="false">IFERROR(P46/P$58,0)</f>
        <v>0.0203175110538016</v>
      </c>
      <c r="AH46" s="57" t="n">
        <f aca="false">IFERROR(Q46/Q$58,0)</f>
        <v>0.0192689905406317</v>
      </c>
      <c r="AI46" s="57" t="n">
        <f aca="false">IFERROR(R46/R$58,0)</f>
        <v>0.0196978021948255</v>
      </c>
      <c r="AJ46" s="49" t="n">
        <f aca="false">K46-N46</f>
        <v>374298.96</v>
      </c>
      <c r="AK46" s="57" t="n">
        <f aca="false">IFERROR(I46/I$58,0)</f>
        <v>0.0199671737706064</v>
      </c>
    </row>
    <row r="47" customFormat="false" ht="15" hidden="false" customHeight="false" outlineLevel="0" collapsed="false">
      <c r="A47" s="13" t="n">
        <v>42</v>
      </c>
      <c r="B47" s="53"/>
      <c r="C47" s="54" t="n">
        <v>73884</v>
      </c>
      <c r="D47" s="54" t="n">
        <v>42773</v>
      </c>
      <c r="E47" s="54" t="n">
        <v>9065</v>
      </c>
      <c r="F47" s="54" t="n">
        <v>115101</v>
      </c>
      <c r="G47" s="54" t="n">
        <v>34797</v>
      </c>
      <c r="H47" s="54" t="n">
        <v>21503</v>
      </c>
      <c r="I47" s="55" t="n">
        <f aca="false">SUM(C47:H47)</f>
        <v>297123</v>
      </c>
      <c r="J47" s="54" t="n">
        <v>6502</v>
      </c>
      <c r="K47" s="56" t="n">
        <v>485225.8</v>
      </c>
      <c r="L47" s="54" t="n">
        <v>12721</v>
      </c>
      <c r="M47" s="56" t="n">
        <v>42292.46</v>
      </c>
      <c r="N47" s="56" t="n">
        <v>124023.71</v>
      </c>
      <c r="O47" s="54" t="n">
        <v>2318</v>
      </c>
      <c r="P47" s="56" t="n">
        <v>31810.15</v>
      </c>
      <c r="Q47" s="56" t="n">
        <v>13509.1</v>
      </c>
      <c r="R47" s="56" t="n">
        <v>1740.68</v>
      </c>
      <c r="S47" s="27"/>
      <c r="T47" s="27"/>
      <c r="U47" s="57" t="n">
        <f aca="false">IFERROR(J47/I47,0)</f>
        <v>0.0218831931556965</v>
      </c>
      <c r="V47" s="58" t="n">
        <f aca="false">IFERROR(K47/J47,0)</f>
        <v>74.6271608735774</v>
      </c>
      <c r="W47" s="59" t="n">
        <f aca="false">IFERROR(L47/J47,0)</f>
        <v>1.95647493079053</v>
      </c>
      <c r="X47" s="22" t="n">
        <f aca="false">IFERROR(M47/(K47+M47),0)</f>
        <v>0.080172504360323</v>
      </c>
      <c r="Y47" s="22" t="n">
        <f aca="false">IFERROR(N47/K47,0)</f>
        <v>0.255599990767185</v>
      </c>
      <c r="Z47" s="22" t="n">
        <f aca="false">IFERROR(O47/J47,0)</f>
        <v>0.356505690556752</v>
      </c>
      <c r="AA47" s="58" t="n">
        <f aca="false">IFERROR(P47/C47,0)</f>
        <v>0.430541795246603</v>
      </c>
      <c r="AB47" s="58" t="n">
        <f aca="false">IFERROR(Q47/D47,0)</f>
        <v>0.315832417646646</v>
      </c>
      <c r="AC47" s="58" t="n">
        <f aca="false">IFERROR(R47/E47,0)</f>
        <v>0.192022062879206</v>
      </c>
      <c r="AD47" s="57" t="n">
        <f aca="false">IFERROR(F47/F$58,0)</f>
        <v>0.0185557317609301</v>
      </c>
      <c r="AE47" s="57" t="n">
        <f aca="false">IFERROR(G47/G$58,0)</f>
        <v>0.0185885977967407</v>
      </c>
      <c r="AF47" s="57" t="n">
        <f aca="false">IFERROR(H47/H$58,0)</f>
        <v>0.0198510914269097</v>
      </c>
      <c r="AG47" s="57" t="n">
        <f aca="false">IFERROR(P47/P$58,0)</f>
        <v>0.0183031446892554</v>
      </c>
      <c r="AH47" s="57" t="n">
        <f aca="false">IFERROR(Q47/Q$58,0)</f>
        <v>0.0188570666979939</v>
      </c>
      <c r="AI47" s="57" t="n">
        <f aca="false">IFERROR(R47/R$58,0)</f>
        <v>0.0188604646551568</v>
      </c>
      <c r="AJ47" s="49" t="n">
        <f aca="false">K47-N47</f>
        <v>361202.09</v>
      </c>
      <c r="AK47" s="57" t="n">
        <f aca="false">IFERROR(I47/I$58,0)</f>
        <v>0.0189541524274333</v>
      </c>
    </row>
    <row r="48" customFormat="false" ht="15" hidden="false" customHeight="false" outlineLevel="0" collapsed="false">
      <c r="A48" s="13" t="n">
        <v>43</v>
      </c>
      <c r="B48" s="53" t="s">
        <v>438</v>
      </c>
      <c r="C48" s="54" t="n">
        <v>142524</v>
      </c>
      <c r="D48" s="54" t="n">
        <v>76353</v>
      </c>
      <c r="E48" s="54" t="n">
        <v>16772</v>
      </c>
      <c r="F48" s="54" t="n">
        <v>218243</v>
      </c>
      <c r="G48" s="54" t="n">
        <v>96453</v>
      </c>
      <c r="H48" s="54" t="n">
        <v>39015</v>
      </c>
      <c r="I48" s="55" t="n">
        <f aca="false">SUM(C48:H48)</f>
        <v>589360</v>
      </c>
      <c r="J48" s="54" t="n">
        <v>18197</v>
      </c>
      <c r="K48" s="56" t="n">
        <v>1316594.91</v>
      </c>
      <c r="L48" s="54" t="n">
        <v>34660</v>
      </c>
      <c r="M48" s="56" t="n">
        <v>471818.49</v>
      </c>
      <c r="N48" s="56" t="n">
        <v>355867.75</v>
      </c>
      <c r="O48" s="54" t="n">
        <v>8122</v>
      </c>
      <c r="P48" s="56" t="n">
        <v>62258.12</v>
      </c>
      <c r="Q48" s="56" t="n">
        <v>25353.08</v>
      </c>
      <c r="R48" s="56" t="n">
        <v>3230.58</v>
      </c>
      <c r="S48" s="27"/>
      <c r="T48" s="27"/>
      <c r="U48" s="57" t="n">
        <f aca="false">IFERROR(J48/I48,0)</f>
        <v>0.0308758653454595</v>
      </c>
      <c r="V48" s="58" t="n">
        <f aca="false">IFERROR(K48/J48,0)</f>
        <v>72.3523058745947</v>
      </c>
      <c r="W48" s="59" t="n">
        <f aca="false">IFERROR(L48/J48,0)</f>
        <v>1.90470956751113</v>
      </c>
      <c r="X48" s="22" t="n">
        <f aca="false">IFERROR(M48/(K48+M48),0)</f>
        <v>0.263819590034385</v>
      </c>
      <c r="Y48" s="22" t="n">
        <f aca="false">IFERROR(N48/K48,0)</f>
        <v>0.270294034480203</v>
      </c>
      <c r="Z48" s="22" t="n">
        <f aca="false">IFERROR(O48/J48,0)</f>
        <v>0.44633730834753</v>
      </c>
      <c r="AA48" s="58" t="n">
        <f aca="false">IFERROR(P48/C48,0)</f>
        <v>0.436825517105891</v>
      </c>
      <c r="AB48" s="58" t="n">
        <f aca="false">IFERROR(Q48/D48,0)</f>
        <v>0.332050868990086</v>
      </c>
      <c r="AC48" s="58" t="n">
        <f aca="false">IFERROR(R48/E48,0)</f>
        <v>0.192617457667541</v>
      </c>
      <c r="AD48" s="57" t="n">
        <f aca="false">IFERROR(F48/F$58,0)</f>
        <v>0.0351835220085027</v>
      </c>
      <c r="AE48" s="57" t="n">
        <f aca="false">IFERROR(G48/G$58,0)</f>
        <v>0.0515253045747919</v>
      </c>
      <c r="AF48" s="57" t="n">
        <f aca="false">IFERROR(H48/H$58,0)</f>
        <v>0.0360177804037056</v>
      </c>
      <c r="AG48" s="57" t="n">
        <f aca="false">IFERROR(P48/P$58,0)</f>
        <v>0.0358225088042976</v>
      </c>
      <c r="AH48" s="57" t="n">
        <f aca="false">IFERROR(Q48/Q$58,0)</f>
        <v>0.0353898276391155</v>
      </c>
      <c r="AI48" s="57" t="n">
        <f aca="false">IFERROR(R48/R$58,0)</f>
        <v>0.0350036996493649</v>
      </c>
      <c r="AJ48" s="49" t="n">
        <f aca="false">K48-N48</f>
        <v>960727.16</v>
      </c>
      <c r="AK48" s="57" t="n">
        <f aca="false">IFERROR(I48/I$58,0)</f>
        <v>0.0375966157942403</v>
      </c>
    </row>
    <row r="49" customFormat="false" ht="15" hidden="false" customHeight="false" outlineLevel="0" collapsed="false">
      <c r="A49" s="13" t="n">
        <v>44</v>
      </c>
      <c r="B49" s="53" t="s">
        <v>440</v>
      </c>
      <c r="C49" s="54" t="n">
        <v>110797</v>
      </c>
      <c r="D49" s="54" t="n">
        <v>63733</v>
      </c>
      <c r="E49" s="54" t="n">
        <v>13029</v>
      </c>
      <c r="F49" s="54" t="n">
        <v>183369</v>
      </c>
      <c r="G49" s="54" t="n">
        <v>82289</v>
      </c>
      <c r="H49" s="54" t="n">
        <v>32917</v>
      </c>
      <c r="I49" s="55" t="n">
        <f aca="false">SUM(C49:H49)</f>
        <v>486134</v>
      </c>
      <c r="J49" s="54" t="n">
        <v>13168</v>
      </c>
      <c r="K49" s="56" t="n">
        <v>936019.38</v>
      </c>
      <c r="L49" s="54" t="n">
        <v>24750</v>
      </c>
      <c r="M49" s="56" t="n">
        <v>276565.01</v>
      </c>
      <c r="N49" s="56" t="n">
        <v>268420.98</v>
      </c>
      <c r="O49" s="54" t="n">
        <v>5727</v>
      </c>
      <c r="P49" s="56" t="n">
        <v>47906.45</v>
      </c>
      <c r="Q49" s="56" t="n">
        <v>20866.21</v>
      </c>
      <c r="R49" s="56" t="n">
        <v>2509.01</v>
      </c>
      <c r="S49" s="27"/>
      <c r="T49" s="27"/>
      <c r="U49" s="57" t="n">
        <f aca="false">IFERROR(J49/I49,0)</f>
        <v>0.0270871817235577</v>
      </c>
      <c r="V49" s="58" t="n">
        <f aca="false">IFERROR(K49/J49,0)</f>
        <v>71.0828812272175</v>
      </c>
      <c r="W49" s="59" t="n">
        <f aca="false">IFERROR(L49/J49,0)</f>
        <v>1.87955650060753</v>
      </c>
      <c r="X49" s="22" t="n">
        <f aca="false">IFERROR(M49/(K49+M49),0)</f>
        <v>0.228078979311287</v>
      </c>
      <c r="Y49" s="22" t="n">
        <f aca="false">IFERROR(N49/K49,0)</f>
        <v>0.286768613701139</v>
      </c>
      <c r="Z49" s="22" t="n">
        <f aca="false">IFERROR(O49/J49,0)</f>
        <v>0.434917982989064</v>
      </c>
      <c r="AA49" s="58" t="n">
        <f aca="false">IFERROR(P49/C49,0)</f>
        <v>0.432380389360723</v>
      </c>
      <c r="AB49" s="58" t="n">
        <f aca="false">IFERROR(Q49/D49,0)</f>
        <v>0.327400404813833</v>
      </c>
      <c r="AC49" s="58" t="n">
        <f aca="false">IFERROR(R49/E49,0)</f>
        <v>0.192571187351293</v>
      </c>
      <c r="AD49" s="57" t="n">
        <f aca="false">IFERROR(F49/F$58,0)</f>
        <v>0.0295613937087427</v>
      </c>
      <c r="AE49" s="57" t="n">
        <f aca="false">IFERROR(G49/G$58,0)</f>
        <v>0.0439588793314366</v>
      </c>
      <c r="AF49" s="57" t="n">
        <f aca="false">IFERROR(H49/H$58,0)</f>
        <v>0.0303882424080169</v>
      </c>
      <c r="AG49" s="57" t="n">
        <f aca="false">IFERROR(P49/P$58,0)</f>
        <v>0.0275647454004014</v>
      </c>
      <c r="AH49" s="57" t="n">
        <f aca="false">IFERROR(Q49/Q$58,0)</f>
        <v>0.0291267007946012</v>
      </c>
      <c r="AI49" s="57" t="n">
        <f aca="false">IFERROR(R49/R$58,0)</f>
        <v>0.0271854070963273</v>
      </c>
      <c r="AJ49" s="49" t="n">
        <f aca="false">K49-N49</f>
        <v>667598.4</v>
      </c>
      <c r="AK49" s="57" t="n">
        <f aca="false">IFERROR(I49/I$58,0)</f>
        <v>0.0310115943099586</v>
      </c>
    </row>
    <row r="50" customFormat="false" ht="15" hidden="false" customHeight="false" outlineLevel="0" collapsed="false">
      <c r="A50" s="13" t="n">
        <v>45</v>
      </c>
      <c r="B50" s="53"/>
      <c r="C50" s="54" t="n">
        <v>105499</v>
      </c>
      <c r="D50" s="54" t="n">
        <v>59992</v>
      </c>
      <c r="E50" s="54" t="n">
        <v>12490</v>
      </c>
      <c r="F50" s="54" t="n">
        <v>157151</v>
      </c>
      <c r="G50" s="54" t="n">
        <v>43055</v>
      </c>
      <c r="H50" s="54" t="n">
        <v>28812</v>
      </c>
      <c r="I50" s="55" t="n">
        <f aca="false">SUM(C50:H50)</f>
        <v>406999</v>
      </c>
      <c r="J50" s="54" t="n">
        <v>9975</v>
      </c>
      <c r="K50" s="56" t="n">
        <v>823543.14</v>
      </c>
      <c r="L50" s="54" t="n">
        <v>19090</v>
      </c>
      <c r="M50" s="56" t="n">
        <v>76940.24</v>
      </c>
      <c r="N50" s="56" t="n">
        <v>229419.55</v>
      </c>
      <c r="O50" s="54" t="n">
        <v>3581</v>
      </c>
      <c r="P50" s="56" t="n">
        <v>48509.26</v>
      </c>
      <c r="Q50" s="56" t="n">
        <v>20142.54</v>
      </c>
      <c r="R50" s="56" t="n">
        <v>2381.22</v>
      </c>
      <c r="S50" s="27"/>
      <c r="T50" s="27"/>
      <c r="U50" s="57" t="n">
        <f aca="false">IFERROR(J50/I50,0)</f>
        <v>0.0245086597264367</v>
      </c>
      <c r="V50" s="58" t="n">
        <f aca="false">IFERROR(K50/J50,0)</f>
        <v>82.5607157894737</v>
      </c>
      <c r="W50" s="59" t="n">
        <f aca="false">IFERROR(L50/J50,0)</f>
        <v>1.91378446115288</v>
      </c>
      <c r="X50" s="22" t="n">
        <f aca="false">IFERROR(M50/(K50+M50),0)</f>
        <v>0.0854432649273327</v>
      </c>
      <c r="Y50" s="22" t="n">
        <f aca="false">IFERROR(N50/K50,0)</f>
        <v>0.278576238276965</v>
      </c>
      <c r="Z50" s="22" t="n">
        <f aca="false">IFERROR(O50/J50,0)</f>
        <v>0.358997493734336</v>
      </c>
      <c r="AA50" s="58" t="n">
        <f aca="false">IFERROR(P50/C50,0)</f>
        <v>0.45980777068977</v>
      </c>
      <c r="AB50" s="58" t="n">
        <f aca="false">IFERROR(Q50/D50,0)</f>
        <v>0.335753767168956</v>
      </c>
      <c r="AC50" s="58" t="n">
        <f aca="false">IFERROR(R50/E50,0)</f>
        <v>0.190650120096077</v>
      </c>
      <c r="AD50" s="57" t="n">
        <f aca="false">IFERROR(F50/F$58,0)</f>
        <v>0.0253347216962661</v>
      </c>
      <c r="AE50" s="57" t="n">
        <f aca="false">IFERROR(G50/G$58,0)</f>
        <v>0.0230000309836673</v>
      </c>
      <c r="AF50" s="57" t="n">
        <f aca="false">IFERROR(H50/H$58,0)</f>
        <v>0.0265985976929788</v>
      </c>
      <c r="AG50" s="57" t="n">
        <f aca="false">IFERROR(P50/P$58,0)</f>
        <v>0.0279115943982883</v>
      </c>
      <c r="AH50" s="57" t="n">
        <f aca="false">IFERROR(Q50/Q$58,0)</f>
        <v>0.0281165451619286</v>
      </c>
      <c r="AI50" s="57" t="n">
        <f aca="false">IFERROR(R50/R$58,0)</f>
        <v>0.0258007879944347</v>
      </c>
      <c r="AJ50" s="49" t="n">
        <f aca="false">K50-N50</f>
        <v>594123.59</v>
      </c>
      <c r="AK50" s="57" t="n">
        <f aca="false">IFERROR(I50/I$58,0)</f>
        <v>0.0259633925472377</v>
      </c>
    </row>
    <row r="51" customFormat="false" ht="15" hidden="false" customHeight="false" outlineLevel="0" collapsed="false">
      <c r="A51" s="13" t="n">
        <v>46</v>
      </c>
      <c r="B51" s="53"/>
      <c r="C51" s="54" t="n">
        <v>97775</v>
      </c>
      <c r="D51" s="54" t="n">
        <v>51857</v>
      </c>
      <c r="E51" s="54" t="n">
        <v>11777</v>
      </c>
      <c r="F51" s="54" t="n">
        <v>142190</v>
      </c>
      <c r="G51" s="54" t="n">
        <v>38614</v>
      </c>
      <c r="H51" s="54" t="n">
        <v>24678</v>
      </c>
      <c r="I51" s="55" t="n">
        <f aca="false">SUM(C51:H51)</f>
        <v>366891</v>
      </c>
      <c r="J51" s="54" t="n">
        <v>8550</v>
      </c>
      <c r="K51" s="56" t="n">
        <v>711193.89</v>
      </c>
      <c r="L51" s="54" t="n">
        <v>16515</v>
      </c>
      <c r="M51" s="56" t="n">
        <v>58788.04</v>
      </c>
      <c r="N51" s="56" t="n">
        <v>198922.5</v>
      </c>
      <c r="O51" s="54" t="n">
        <v>3047</v>
      </c>
      <c r="P51" s="56" t="n">
        <v>45643.59</v>
      </c>
      <c r="Q51" s="56" t="n">
        <v>16749.65</v>
      </c>
      <c r="R51" s="56" t="n">
        <v>2378.25</v>
      </c>
      <c r="S51" s="27"/>
      <c r="T51" s="27"/>
      <c r="U51" s="57" t="n">
        <f aca="false">IFERROR(J51/I51,0)</f>
        <v>0.023303924053738</v>
      </c>
      <c r="V51" s="58" t="n">
        <f aca="false">IFERROR(K51/J51,0)</f>
        <v>83.1805719298246</v>
      </c>
      <c r="W51" s="59" t="n">
        <f aca="false">IFERROR(L51/J51,0)</f>
        <v>1.93157894736842</v>
      </c>
      <c r="X51" s="22" t="n">
        <f aca="false">IFERROR(M51/(K51+M51),0)</f>
        <v>0.0763498956397587</v>
      </c>
      <c r="Y51" s="22" t="n">
        <f aca="false">IFERROR(N51/K51,0)</f>
        <v>0.279702206103036</v>
      </c>
      <c r="Z51" s="22" t="n">
        <f aca="false">IFERROR(O51/J51,0)</f>
        <v>0.356374269005848</v>
      </c>
      <c r="AA51" s="58" t="n">
        <f aca="false">IFERROR(P51/C51,0)</f>
        <v>0.466822705190488</v>
      </c>
      <c r="AB51" s="58" t="n">
        <f aca="false">IFERROR(Q51/D51,0)</f>
        <v>0.322996895308252</v>
      </c>
      <c r="AC51" s="58" t="n">
        <f aca="false">IFERROR(R51/E51,0)</f>
        <v>0.201940222467521</v>
      </c>
      <c r="AD51" s="57" t="n">
        <f aca="false">IFERROR(F51/F$58,0)</f>
        <v>0.0229228199501885</v>
      </c>
      <c r="AE51" s="57" t="n">
        <f aca="false">IFERROR(G51/G$58,0)</f>
        <v>0.0206276436279951</v>
      </c>
      <c r="AF51" s="57" t="n">
        <f aca="false">IFERROR(H51/H$58,0)</f>
        <v>0.0227821808228283</v>
      </c>
      <c r="AG51" s="57" t="n">
        <f aca="false">IFERROR(P51/P$58,0)</f>
        <v>0.0262627253221708</v>
      </c>
      <c r="AH51" s="57" t="n">
        <f aca="false">IFERROR(Q51/Q$58,0)</f>
        <v>0.0233804818395048</v>
      </c>
      <c r="AI51" s="57" t="n">
        <f aca="false">IFERROR(R51/R$58,0)</f>
        <v>0.0257686077085545</v>
      </c>
      <c r="AJ51" s="49" t="n">
        <f aca="false">K51-N51</f>
        <v>512271.39</v>
      </c>
      <c r="AK51" s="57" t="n">
        <f aca="false">IFERROR(I51/I$58,0)</f>
        <v>0.0234048119406893</v>
      </c>
    </row>
    <row r="52" customFormat="false" ht="15" hidden="false" customHeight="false" outlineLevel="0" collapsed="false">
      <c r="A52" s="13" t="n">
        <v>47</v>
      </c>
      <c r="B52" s="53"/>
      <c r="C52" s="54" t="n">
        <v>71043</v>
      </c>
      <c r="D52" s="54" t="n">
        <v>37599</v>
      </c>
      <c r="E52" s="54" t="n">
        <v>8163</v>
      </c>
      <c r="F52" s="54" t="n">
        <v>108850</v>
      </c>
      <c r="G52" s="54" t="n">
        <v>30553</v>
      </c>
      <c r="H52" s="54" t="n">
        <v>20148</v>
      </c>
      <c r="I52" s="55" t="n">
        <f aca="false">SUM(C52:H52)</f>
        <v>276356</v>
      </c>
      <c r="J52" s="54" t="n">
        <v>5751</v>
      </c>
      <c r="K52" s="56" t="n">
        <v>431098.03</v>
      </c>
      <c r="L52" s="54" t="n">
        <v>11341</v>
      </c>
      <c r="M52" s="56" t="n">
        <v>36266.06</v>
      </c>
      <c r="N52" s="56" t="n">
        <v>109291.95</v>
      </c>
      <c r="O52" s="54" t="n">
        <v>2035</v>
      </c>
      <c r="P52" s="56" t="n">
        <v>32604.78</v>
      </c>
      <c r="Q52" s="56" t="n">
        <v>12038.14</v>
      </c>
      <c r="R52" s="56" t="n">
        <v>1674.7</v>
      </c>
      <c r="S52" s="27"/>
      <c r="T52" s="27"/>
      <c r="U52" s="57" t="n">
        <f aca="false">IFERROR(J52/I52,0)</f>
        <v>0.0208101144900056</v>
      </c>
      <c r="V52" s="58" t="n">
        <f aca="false">IFERROR(K52/J52,0)</f>
        <v>74.9605338202052</v>
      </c>
      <c r="W52" s="59" t="n">
        <f aca="false">IFERROR(L52/J52,0)</f>
        <v>1.97200486871848</v>
      </c>
      <c r="X52" s="22" t="n">
        <f aca="false">IFERROR(M52/(K52+M52),0)</f>
        <v>0.0775970186327323</v>
      </c>
      <c r="Y52" s="22" t="n">
        <f aca="false">IFERROR(N52/K52,0)</f>
        <v>0.253519947655525</v>
      </c>
      <c r="Z52" s="22" t="n">
        <f aca="false">IFERROR(O52/J52,0)</f>
        <v>0.353851504086246</v>
      </c>
      <c r="AA52" s="58" t="n">
        <f aca="false">IFERROR(P52/C52,0)</f>
        <v>0.458944301338626</v>
      </c>
      <c r="AB52" s="58" t="n">
        <f aca="false">IFERROR(Q52/D52,0)</f>
        <v>0.320171813080135</v>
      </c>
      <c r="AC52" s="58" t="n">
        <f aca="false">IFERROR(R52/E52,0)</f>
        <v>0.205157417616073</v>
      </c>
      <c r="AD52" s="57" t="n">
        <f aca="false">IFERROR(F52/F$58,0)</f>
        <v>0.0175479917826712</v>
      </c>
      <c r="AE52" s="57" t="n">
        <f aca="false">IFERROR(G52/G$58,0)</f>
        <v>0.0163214480697709</v>
      </c>
      <c r="AF52" s="57" t="n">
        <f aca="false">IFERROR(H52/H$58,0)</f>
        <v>0.0186001855587303</v>
      </c>
      <c r="AG52" s="57" t="n">
        <f aca="false">IFERROR(P52/P$58,0)</f>
        <v>0.0187603644088865</v>
      </c>
      <c r="AH52" s="57" t="n">
        <f aca="false">IFERROR(Q52/Q$58,0)</f>
        <v>0.0168037847746918</v>
      </c>
      <c r="AI52" s="57" t="n">
        <f aca="false">IFERROR(R52/R$58,0)</f>
        <v>0.0181455638934159</v>
      </c>
      <c r="AJ52" s="49" t="n">
        <f aca="false">K52-N52</f>
        <v>321806.08</v>
      </c>
      <c r="AK52" s="57" t="n">
        <f aca="false">IFERROR(I52/I$58,0)</f>
        <v>0.0176293782313579</v>
      </c>
    </row>
    <row r="53" customFormat="false" ht="15" hidden="false" customHeight="false" outlineLevel="0" collapsed="false">
      <c r="A53" s="13" t="n">
        <v>48</v>
      </c>
      <c r="B53" s="53" t="s">
        <v>442</v>
      </c>
      <c r="C53" s="54" t="n">
        <v>114025</v>
      </c>
      <c r="D53" s="54" t="n">
        <v>62241</v>
      </c>
      <c r="E53" s="54" t="n">
        <v>12932</v>
      </c>
      <c r="F53" s="54" t="n">
        <v>186765</v>
      </c>
      <c r="G53" s="54" t="n">
        <v>77249</v>
      </c>
      <c r="H53" s="54" t="n">
        <v>33073</v>
      </c>
      <c r="I53" s="55" t="n">
        <f aca="false">SUM(C53:H53)</f>
        <v>486285</v>
      </c>
      <c r="J53" s="54" t="n">
        <v>13608</v>
      </c>
      <c r="K53" s="56" t="n">
        <v>905427.15</v>
      </c>
      <c r="L53" s="54" t="n">
        <v>26088</v>
      </c>
      <c r="M53" s="56" t="n">
        <v>457165.94</v>
      </c>
      <c r="N53" s="56" t="n">
        <v>226962.93</v>
      </c>
      <c r="O53" s="54" t="n">
        <v>5784</v>
      </c>
      <c r="P53" s="56" t="n">
        <v>52945.34</v>
      </c>
      <c r="Q53" s="56" t="n">
        <v>21176.31</v>
      </c>
      <c r="R53" s="56" t="n">
        <v>2552.11</v>
      </c>
      <c r="S53" s="27"/>
      <c r="T53" s="27"/>
      <c r="U53" s="57" t="n">
        <f aca="false">IFERROR(J53/I53,0)</f>
        <v>0.0279835898701379</v>
      </c>
      <c r="V53" s="58" t="n">
        <f aca="false">IFERROR(K53/J53,0)</f>
        <v>66.5363866843034</v>
      </c>
      <c r="W53" s="59" t="n">
        <f aca="false">IFERROR(L53/J53,0)</f>
        <v>1.91710758377425</v>
      </c>
      <c r="X53" s="22" t="n">
        <f aca="false">IFERROR(M53/(K53+M53),0)</f>
        <v>0.335511711717252</v>
      </c>
      <c r="Y53" s="22" t="n">
        <f aca="false">IFERROR(N53/K53,0)</f>
        <v>0.250669454742991</v>
      </c>
      <c r="Z53" s="22" t="n">
        <f aca="false">IFERROR(O53/J53,0)</f>
        <v>0.425044091710758</v>
      </c>
      <c r="AA53" s="58" t="n">
        <f aca="false">IFERROR(P53/C53,0)</f>
        <v>0.464330980048235</v>
      </c>
      <c r="AB53" s="58" t="n">
        <f aca="false">IFERROR(Q53/D53,0)</f>
        <v>0.340230876753266</v>
      </c>
      <c r="AC53" s="58" t="n">
        <f aca="false">IFERROR(R53/E53,0)</f>
        <v>0.197348437983297</v>
      </c>
      <c r="AD53" s="57" t="n">
        <f aca="false">IFERROR(F53/F$58,0)</f>
        <v>0.0301088717068497</v>
      </c>
      <c r="AE53" s="57" t="n">
        <f aca="false">IFERROR(G53/G$58,0)</f>
        <v>0.0412665054803697</v>
      </c>
      <c r="AF53" s="57" t="n">
        <f aca="false">IFERROR(H53/H$58,0)</f>
        <v>0.030532258138966</v>
      </c>
      <c r="AG53" s="57" t="n">
        <f aca="false">IFERROR(P53/P$58,0)</f>
        <v>0.0304640568699557</v>
      </c>
      <c r="AH53" s="57" t="n">
        <f aca="false">IFERROR(Q53/Q$58,0)</f>
        <v>0.0295595628196842</v>
      </c>
      <c r="AI53" s="57" t="n">
        <f aca="false">IFERROR(R53/R$58,0)</f>
        <v>0.0276524004705473</v>
      </c>
      <c r="AJ53" s="49" t="n">
        <f aca="false">K53-N53</f>
        <v>678464.22</v>
      </c>
      <c r="AK53" s="57" t="n">
        <f aca="false">IFERROR(I53/I$58,0)</f>
        <v>0.0310212269436374</v>
      </c>
    </row>
    <row r="54" customFormat="false" ht="15" hidden="false" customHeight="false" outlineLevel="0" collapsed="false">
      <c r="A54" s="13" t="n">
        <v>49</v>
      </c>
      <c r="B54" s="53" t="s">
        <v>443</v>
      </c>
      <c r="C54" s="54" t="n">
        <v>95329</v>
      </c>
      <c r="D54" s="54" t="n">
        <v>53661</v>
      </c>
      <c r="E54" s="54" t="n">
        <v>10819</v>
      </c>
      <c r="F54" s="54" t="n">
        <v>159955</v>
      </c>
      <c r="G54" s="54" t="n">
        <v>70080</v>
      </c>
      <c r="H54" s="54" t="n">
        <v>25711</v>
      </c>
      <c r="I54" s="55" t="n">
        <f aca="false">SUM(C54:H54)</f>
        <v>415555</v>
      </c>
      <c r="J54" s="54" t="n">
        <v>10470</v>
      </c>
      <c r="K54" s="56" t="n">
        <v>695317.69</v>
      </c>
      <c r="L54" s="54" t="n">
        <v>19183</v>
      </c>
      <c r="M54" s="56" t="n">
        <v>349137.62</v>
      </c>
      <c r="N54" s="56" t="n">
        <v>161621.86</v>
      </c>
      <c r="O54" s="54" t="n">
        <v>4673</v>
      </c>
      <c r="P54" s="56" t="n">
        <v>42623.22</v>
      </c>
      <c r="Q54" s="56" t="n">
        <v>16948.07</v>
      </c>
      <c r="R54" s="56" t="n">
        <v>2217.11</v>
      </c>
      <c r="S54" s="27"/>
      <c r="T54" s="27"/>
      <c r="U54" s="57" t="n">
        <f aca="false">IFERROR(J54/I54,0)</f>
        <v>0.0251952208492257</v>
      </c>
      <c r="V54" s="58" t="n">
        <f aca="false">IFERROR(K54/J54,0)</f>
        <v>66.410476599809</v>
      </c>
      <c r="W54" s="59" t="n">
        <f aca="false">IFERROR(L54/J54,0)</f>
        <v>1.83218720152818</v>
      </c>
      <c r="X54" s="22" t="n">
        <f aca="false">IFERROR(M54/(K54+M54),0)</f>
        <v>0.334277222450044</v>
      </c>
      <c r="Y54" s="22" t="n">
        <f aca="false">IFERROR(N54/K54,0)</f>
        <v>0.23244318722856</v>
      </c>
      <c r="Z54" s="22" t="n">
        <f aca="false">IFERROR(O54/J54,0)</f>
        <v>0.446322827125119</v>
      </c>
      <c r="AA54" s="58" t="n">
        <f aca="false">IFERROR(P54/C54,0)</f>
        <v>0.447117036788386</v>
      </c>
      <c r="AB54" s="58" t="n">
        <f aca="false">IFERROR(Q54/D54,0)</f>
        <v>0.315835895715697</v>
      </c>
      <c r="AC54" s="58" t="n">
        <f aca="false">IFERROR(R54/E54,0)</f>
        <v>0.204927442462335</v>
      </c>
      <c r="AD54" s="57" t="n">
        <f aca="false">IFERROR(F54/F$58,0)</f>
        <v>0.0257867618336902</v>
      </c>
      <c r="AE54" s="57" t="n">
        <f aca="false">IFERROR(G54/G$58,0)</f>
        <v>0.0374368173576915</v>
      </c>
      <c r="AF54" s="57" t="n">
        <f aca="false">IFERROR(H54/H$58,0)</f>
        <v>0.0237358234514847</v>
      </c>
      <c r="AG54" s="57" t="n">
        <f aca="false">IFERROR(P54/P$58,0)</f>
        <v>0.0245248438873116</v>
      </c>
      <c r="AH54" s="57" t="n">
        <f aca="false">IFERROR(Q54/Q$58,0)</f>
        <v>0.0236574521168893</v>
      </c>
      <c r="AI54" s="57" t="n">
        <f aca="false">IFERROR(R54/R$58,0)</f>
        <v>0.0240226375850787</v>
      </c>
      <c r="AJ54" s="49" t="n">
        <f aca="false">K54-N54</f>
        <v>533695.83</v>
      </c>
      <c r="AK54" s="57" t="n">
        <f aca="false">IFERROR(I54/I$58,0)</f>
        <v>0.0265091992608517</v>
      </c>
    </row>
    <row r="55" customFormat="false" ht="15" hidden="false" customHeight="false" outlineLevel="0" collapsed="false">
      <c r="A55" s="13" t="n">
        <v>50</v>
      </c>
      <c r="B55" s="53" t="s">
        <v>443</v>
      </c>
      <c r="C55" s="54" t="n">
        <v>80341</v>
      </c>
      <c r="D55" s="54" t="n">
        <v>46105</v>
      </c>
      <c r="E55" s="54" t="n">
        <v>9766</v>
      </c>
      <c r="F55" s="54" t="n">
        <v>133982</v>
      </c>
      <c r="G55" s="54" t="n">
        <v>35832</v>
      </c>
      <c r="H55" s="54" t="n">
        <v>21871</v>
      </c>
      <c r="I55" s="55" t="n">
        <f aca="false">SUM(C55:H55)</f>
        <v>327897</v>
      </c>
      <c r="J55" s="54" t="n">
        <v>7559</v>
      </c>
      <c r="K55" s="56" t="n">
        <v>521921.69</v>
      </c>
      <c r="L55" s="54" t="n">
        <v>14237</v>
      </c>
      <c r="M55" s="56" t="n">
        <v>210712.53</v>
      </c>
      <c r="N55" s="56" t="n">
        <v>125587.73</v>
      </c>
      <c r="O55" s="54" t="n">
        <v>3462</v>
      </c>
      <c r="P55" s="56" t="n">
        <v>35371.52</v>
      </c>
      <c r="Q55" s="56" t="n">
        <v>14461.68</v>
      </c>
      <c r="R55" s="56" t="n">
        <v>1994.1</v>
      </c>
      <c r="S55" s="27"/>
      <c r="T55" s="27"/>
      <c r="U55" s="57" t="n">
        <f aca="false">IFERROR(J55/I55,0)</f>
        <v>0.023052970902448</v>
      </c>
      <c r="V55" s="58" t="n">
        <f aca="false">IFERROR(K55/J55,0)</f>
        <v>69.0463937028707</v>
      </c>
      <c r="W55" s="59" t="n">
        <f aca="false">IFERROR(L55/J55,0)</f>
        <v>1.88345019182432</v>
      </c>
      <c r="X55" s="22" t="n">
        <f aca="false">IFERROR(M55/(K55+M55),0)</f>
        <v>0.28760945673545</v>
      </c>
      <c r="Y55" s="22" t="n">
        <f aca="false">IFERROR(N55/K55,0)</f>
        <v>0.240625619525412</v>
      </c>
      <c r="Z55" s="22" t="n">
        <f aca="false">IFERROR(O55/J55,0)</f>
        <v>0.457997089562111</v>
      </c>
      <c r="AA55" s="58" t="n">
        <f aca="false">IFERROR(P55/C55,0)</f>
        <v>0.440267360376396</v>
      </c>
      <c r="AB55" s="58" t="n">
        <f aca="false">IFERROR(Q55/D55,0)</f>
        <v>0.313668365687019</v>
      </c>
      <c r="AC55" s="58" t="n">
        <f aca="false">IFERROR(R55/E55,0)</f>
        <v>0.204187999180831</v>
      </c>
      <c r="AD55" s="57" t="n">
        <f aca="false">IFERROR(F55/F$58,0)</f>
        <v>0.0215995869088273</v>
      </c>
      <c r="AE55" s="57" t="n">
        <f aca="false">IFERROR(G55/G$58,0)</f>
        <v>0.0191414959982991</v>
      </c>
      <c r="AF55" s="57" t="n">
        <f aca="false">IFERROR(H55/H$58,0)</f>
        <v>0.0201908208435075</v>
      </c>
      <c r="AG55" s="57" t="n">
        <f aca="false">IFERROR(P55/P$58,0)</f>
        <v>0.0203523104555902</v>
      </c>
      <c r="AH55" s="57" t="n">
        <f aca="false">IFERROR(Q55/Q$58,0)</f>
        <v>0.0201867529535679</v>
      </c>
      <c r="AI55" s="57" t="n">
        <f aca="false">IFERROR(R55/R$58,0)</f>
        <v>0.0216062990146657</v>
      </c>
      <c r="AJ55" s="49" t="n">
        <f aca="false">K55-N55</f>
        <v>396333.96</v>
      </c>
      <c r="AK55" s="57" t="n">
        <f aca="false">IFERROR(I55/I$58,0)</f>
        <v>0.0209172959296254</v>
      </c>
    </row>
    <row r="56" customFormat="false" ht="15" hidden="false" customHeight="false" outlineLevel="0" collapsed="false">
      <c r="A56" s="13" t="n">
        <v>51</v>
      </c>
      <c r="B56" s="53"/>
      <c r="C56" s="54" t="n">
        <v>66856</v>
      </c>
      <c r="D56" s="54" t="n">
        <v>36760</v>
      </c>
      <c r="E56" s="54" t="n">
        <v>8002</v>
      </c>
      <c r="F56" s="54" t="n">
        <v>101689</v>
      </c>
      <c r="G56" s="54" t="n">
        <v>26712</v>
      </c>
      <c r="H56" s="54" t="n">
        <v>18509</v>
      </c>
      <c r="I56" s="55" t="n">
        <f aca="false">SUM(C56:H56)</f>
        <v>258528</v>
      </c>
      <c r="J56" s="54" t="n">
        <v>5559</v>
      </c>
      <c r="K56" s="56" t="n">
        <v>417147.13</v>
      </c>
      <c r="L56" s="54" t="n">
        <v>10600</v>
      </c>
      <c r="M56" s="56" t="n">
        <v>60319.88</v>
      </c>
      <c r="N56" s="56" t="n">
        <v>112223.63</v>
      </c>
      <c r="O56" s="54" t="n">
        <v>1850</v>
      </c>
      <c r="P56" s="56" t="n">
        <v>29083.14</v>
      </c>
      <c r="Q56" s="56" t="n">
        <v>11586.16</v>
      </c>
      <c r="R56" s="56" t="n">
        <v>1543.41</v>
      </c>
      <c r="S56" s="27"/>
      <c r="T56" s="27"/>
      <c r="U56" s="57" t="n">
        <f aca="false">IFERROR(J56/I56,0)</f>
        <v>0.021502506498329</v>
      </c>
      <c r="V56" s="58" t="n">
        <f aca="false">IFERROR(K56/J56,0)</f>
        <v>75.0399586256521</v>
      </c>
      <c r="W56" s="59" t="n">
        <f aca="false">IFERROR(L56/J56,0)</f>
        <v>1.90681777298075</v>
      </c>
      <c r="X56" s="22" t="n">
        <f aca="false">IFERROR(M56/(K56+M56),0)</f>
        <v>0.126333084248061</v>
      </c>
      <c r="Y56" s="22" t="n">
        <f aca="false">IFERROR(N56/K56,0)</f>
        <v>0.26902649432108</v>
      </c>
      <c r="Z56" s="22" t="n">
        <f aca="false">IFERROR(O56/J56,0)</f>
        <v>0.332793667925886</v>
      </c>
      <c r="AA56" s="58" t="n">
        <f aca="false">IFERROR(P56/C56,0)</f>
        <v>0.4350116668661</v>
      </c>
      <c r="AB56" s="58" t="n">
        <f aca="false">IFERROR(Q56/D56,0)</f>
        <v>0.315183895538629</v>
      </c>
      <c r="AC56" s="58" t="n">
        <f aca="false">IFERROR(R56/E56,0)</f>
        <v>0.192878030492377</v>
      </c>
      <c r="AD56" s="57" t="n">
        <f aca="false">IFERROR(F56/F$58,0)</f>
        <v>0.0163935483361328</v>
      </c>
      <c r="AE56" s="57" t="n">
        <f aca="false">IFERROR(G56/G$58,0)</f>
        <v>0.0142695814106543</v>
      </c>
      <c r="AF56" s="57" t="n">
        <f aca="false">IFERROR(H56/H$58,0)</f>
        <v>0.0170870972060025</v>
      </c>
      <c r="AG56" s="57" t="n">
        <f aca="false">IFERROR(P56/P$58,0)</f>
        <v>0.0167340587654529</v>
      </c>
      <c r="AH56" s="57" t="n">
        <f aca="false">IFERROR(Q56/Q$58,0)</f>
        <v>0.0161728754612542</v>
      </c>
      <c r="AI56" s="57" t="n">
        <f aca="false">IFERROR(R56/R$58,0)</f>
        <v>0.0167230218957049</v>
      </c>
      <c r="AJ56" s="49" t="n">
        <f aca="false">K56-N56</f>
        <v>304923.5</v>
      </c>
      <c r="AK56" s="57" t="n">
        <f aca="false">IFERROR(I56/I$58,0)</f>
        <v>0.0164920895345007</v>
      </c>
    </row>
    <row r="57" customFormat="false" ht="15" hidden="false" customHeight="false" outlineLevel="0" collapsed="false">
      <c r="A57" s="13" t="n">
        <v>52</v>
      </c>
      <c r="B57" s="53"/>
      <c r="C57" s="54" t="n">
        <v>60967</v>
      </c>
      <c r="D57" s="54" t="n">
        <v>34630</v>
      </c>
      <c r="E57" s="54" t="n">
        <v>7510</v>
      </c>
      <c r="F57" s="54" t="n">
        <v>91635</v>
      </c>
      <c r="G57" s="54" t="n">
        <v>25615</v>
      </c>
      <c r="H57" s="54" t="n">
        <v>17264</v>
      </c>
      <c r="I57" s="55" t="n">
        <f aca="false">SUM(C57:H57)</f>
        <v>237621</v>
      </c>
      <c r="J57" s="54" t="n">
        <v>5227</v>
      </c>
      <c r="K57" s="56" t="n">
        <v>396553.96</v>
      </c>
      <c r="L57" s="54" t="n">
        <v>10129</v>
      </c>
      <c r="M57" s="56" t="n">
        <v>32272.2</v>
      </c>
      <c r="N57" s="56" t="n">
        <v>103847.38</v>
      </c>
      <c r="O57" s="54" t="n">
        <v>1885</v>
      </c>
      <c r="P57" s="56" t="n">
        <v>26814.9</v>
      </c>
      <c r="Q57" s="56" t="n">
        <v>11533.19</v>
      </c>
      <c r="R57" s="56" t="n">
        <v>1449.24</v>
      </c>
      <c r="S57" s="27"/>
      <c r="T57" s="27"/>
      <c r="U57" s="57" t="n">
        <f aca="false">IFERROR(J57/I57,0)</f>
        <v>0.0219972140509467</v>
      </c>
      <c r="V57" s="58" t="n">
        <f aca="false">IFERROR(K57/J57,0)</f>
        <v>75.8664549454754</v>
      </c>
      <c r="W57" s="59" t="n">
        <f aca="false">IFERROR(L57/J57,0)</f>
        <v>1.93782284293094</v>
      </c>
      <c r="X57" s="22" t="n">
        <f aca="false">IFERROR(M57/(K57+M57),0)</f>
        <v>0.0752570692049198</v>
      </c>
      <c r="Y57" s="22" t="n">
        <f aca="false">IFERROR(N57/K57,0)</f>
        <v>0.261874525222242</v>
      </c>
      <c r="Z57" s="22" t="n">
        <f aca="false">IFERROR(O57/J57,0)</f>
        <v>0.360627511000574</v>
      </c>
      <c r="AA57" s="58" t="n">
        <f aca="false">IFERROR(P57/C57,0)</f>
        <v>0.439826463496646</v>
      </c>
      <c r="AB57" s="58" t="n">
        <f aca="false">IFERROR(Q57/D57,0)</f>
        <v>0.333040427375108</v>
      </c>
      <c r="AC57" s="58" t="n">
        <f aca="false">IFERROR(R57/E57,0)</f>
        <v>0.192974700399467</v>
      </c>
      <c r="AD57" s="57" t="n">
        <f aca="false">IFERROR(F57/F$58,0)</f>
        <v>0.0147727168305473</v>
      </c>
      <c r="AE57" s="57" t="n">
        <f aca="false">IFERROR(G57/G$58,0)</f>
        <v>0.0136835627371185</v>
      </c>
      <c r="AF57" s="57" t="n">
        <f aca="false">IFERROR(H57/H$58,0)</f>
        <v>0.0159377408916974</v>
      </c>
      <c r="AG57" s="57" t="n">
        <f aca="false">IFERROR(P57/P$58,0)</f>
        <v>0.0154289431055155</v>
      </c>
      <c r="AH57" s="57" t="n">
        <f aca="false">IFERROR(Q57/Q$58,0)</f>
        <v>0.0160989357596462</v>
      </c>
      <c r="AI57" s="57" t="n">
        <f aca="false">IFERROR(R57/R$58,0)</f>
        <v>0.01570267929593</v>
      </c>
      <c r="AJ57" s="49" t="n">
        <f aca="false">K57-N57</f>
        <v>292706.58</v>
      </c>
      <c r="AK57" s="57" t="n">
        <f aca="false">IFERROR(I57/I$58,0)</f>
        <v>0.0151583844197828</v>
      </c>
    </row>
    <row r="58" customFormat="false" ht="15" hidden="false" customHeight="false" outlineLevel="0" collapsed="false">
      <c r="A58" s="60" t="s">
        <v>483</v>
      </c>
      <c r="B58" s="61"/>
      <c r="C58" s="62" t="n">
        <f aca="false">SUM(C6:C57)</f>
        <v>3875844</v>
      </c>
      <c r="D58" s="62" t="n">
        <f aca="false">SUM(D6:D57)</f>
        <v>2178373</v>
      </c>
      <c r="E58" s="62" t="n">
        <f aca="false">SUM(E6:E57)</f>
        <v>463504</v>
      </c>
      <c r="F58" s="62" t="n">
        <f aca="false">SUM(F6:F57)</f>
        <v>6202989</v>
      </c>
      <c r="G58" s="62" t="n">
        <f aca="false">SUM(G6:G57)</f>
        <v>1871954</v>
      </c>
      <c r="H58" s="62" t="n">
        <f aca="false">SUM(H6:H57)</f>
        <v>1083215</v>
      </c>
      <c r="I58" s="62" t="n">
        <f aca="false">SUM(I6:I57)</f>
        <v>15675879</v>
      </c>
      <c r="J58" s="62" t="n">
        <f aca="false">SUM(J6:J57)</f>
        <v>355935</v>
      </c>
      <c r="K58" s="63" t="n">
        <f aca="false">SUM(K6:K57)</f>
        <v>26103174.45</v>
      </c>
      <c r="L58" s="62" t="n">
        <f aca="false">SUM(L6:L57)</f>
        <v>677765</v>
      </c>
      <c r="M58" s="63" t="n">
        <f aca="false">SUM(M6:M57)</f>
        <v>4470749.46</v>
      </c>
      <c r="N58" s="63" t="n">
        <f aca="false">SUM(N6:N57)</f>
        <v>6775520.54</v>
      </c>
      <c r="O58" s="62" t="n">
        <f aca="false">SUM(O6:O57)</f>
        <v>134807</v>
      </c>
      <c r="P58" s="63" t="n">
        <f aca="false">SUM(P6:P57)</f>
        <v>1737960.91</v>
      </c>
      <c r="Q58" s="63" t="n">
        <f aca="false">SUM(Q6:Q57)</f>
        <v>716394.56</v>
      </c>
      <c r="R58" s="63" t="n">
        <f aca="false">SUM(R6:R57)</f>
        <v>92292.53</v>
      </c>
      <c r="S58" s="61"/>
      <c r="T58" s="61"/>
      <c r="U58" s="64" t="n">
        <f aca="false">IFERROR(J58/I58,0)</f>
        <v>0.022705903764631</v>
      </c>
      <c r="V58" s="65" t="n">
        <f aca="false">IFERROR(K58/J58,0)</f>
        <v>73.3369139028193</v>
      </c>
      <c r="W58" s="66" t="n">
        <f aca="false">IFERROR(L58/J58,0)</f>
        <v>1.90418194333235</v>
      </c>
      <c r="X58" s="67" t="n">
        <f aca="false">IFERROR(M58/(K58+M58),0)</f>
        <v>0.146227532755052</v>
      </c>
      <c r="Y58" s="67" t="n">
        <f aca="false">IFERROR(N58/K58,0)</f>
        <v>0.259566917923272</v>
      </c>
      <c r="Z58" s="67" t="n">
        <f aca="false">IFERROR(O58/J58,0)</f>
        <v>0.378740500372259</v>
      </c>
      <c r="AA58" s="65" t="n">
        <f aca="false">IFERROR(P58/C58,0)</f>
        <v>0.448408375053279</v>
      </c>
      <c r="AB58" s="65" t="n">
        <f aca="false">IFERROR(Q58/D58,0)</f>
        <v>0.328866801048305</v>
      </c>
      <c r="AC58" s="65" t="n">
        <f aca="false">IFERROR(R58/E58,0)</f>
        <v>0.199119166177638</v>
      </c>
      <c r="AD58" s="68"/>
      <c r="AE58" s="68"/>
      <c r="AF58" s="68"/>
      <c r="AG58" s="68"/>
      <c r="AH58" s="68"/>
      <c r="AI58" s="68"/>
      <c r="AJ58" s="63" t="n">
        <f aca="false">SUM(AJ6:AJ57)</f>
        <v>19327653.91</v>
      </c>
      <c r="AK58" s="68"/>
    </row>
  </sheetData>
  <sheetProtection sheet="true" formatColumns="false" formatRows="false"/>
  <dataValidations count="1">
    <dataValidation allowBlank="true" errorStyle="stop" operator="between" showDropDown="false" showErrorMessage="false" showInputMessage="false" sqref="S6:S57" type="list">
      <formula1>"Y"</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K5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8"/>
    <col collapsed="false" customWidth="true" hidden="false" outlineLevel="0" max="18" min="3" style="0" width="12"/>
    <col collapsed="false" customWidth="true" hidden="false" outlineLevel="0" max="19" min="19" style="0" width="10"/>
    <col collapsed="false" customWidth="true" hidden="false" outlineLevel="0" max="20" min="20" style="0" width="60"/>
    <col collapsed="false" customWidth="true" hidden="false" outlineLevel="0" max="37" min="21" style="0" width="12"/>
  </cols>
  <sheetData>
    <row r="1" customFormat="false" ht="17.35" hidden="false" customHeight="false" outlineLevel="0" collapsed="false">
      <c r="A1" s="1" t="s">
        <v>486</v>
      </c>
      <c r="D1" s="52" t="str">
        <f aca="false">Settings!B9</f>
        <v>FY2024</v>
      </c>
    </row>
    <row r="2" customFormat="false" ht="15" hidden="false" customHeight="false" outlineLevel="0" collapsed="false">
      <c r="A2" s="2" t="s">
        <v>445</v>
      </c>
    </row>
    <row r="5" customFormat="false" ht="42" hidden="false" customHeight="true" outlineLevel="0" collapsed="false">
      <c r="A5" s="19" t="s">
        <v>410</v>
      </c>
      <c r="B5" s="19" t="s">
        <v>446</v>
      </c>
      <c r="C5" s="19" t="s">
        <v>447</v>
      </c>
      <c r="D5" s="19" t="s">
        <v>448</v>
      </c>
      <c r="E5" s="19" t="s">
        <v>449</v>
      </c>
      <c r="F5" s="19" t="s">
        <v>450</v>
      </c>
      <c r="G5" s="19" t="s">
        <v>451</v>
      </c>
      <c r="H5" s="19" t="s">
        <v>452</v>
      </c>
      <c r="I5" s="19" t="s">
        <v>453</v>
      </c>
      <c r="J5" s="19" t="s">
        <v>454</v>
      </c>
      <c r="K5" s="19" t="s">
        <v>455</v>
      </c>
      <c r="L5" s="19" t="s">
        <v>456</v>
      </c>
      <c r="M5" s="19" t="s">
        <v>457</v>
      </c>
      <c r="N5" s="19" t="s">
        <v>458</v>
      </c>
      <c r="O5" s="19" t="s">
        <v>91</v>
      </c>
      <c r="P5" s="19" t="s">
        <v>459</v>
      </c>
      <c r="Q5" s="19" t="s">
        <v>460</v>
      </c>
      <c r="R5" s="19" t="s">
        <v>461</v>
      </c>
      <c r="S5" s="19" t="s">
        <v>462</v>
      </c>
      <c r="T5" s="19" t="s">
        <v>463</v>
      </c>
      <c r="U5" s="19" t="s">
        <v>464</v>
      </c>
      <c r="V5" s="19" t="s">
        <v>465</v>
      </c>
      <c r="W5" s="19" t="s">
        <v>466</v>
      </c>
      <c r="X5" s="19" t="s">
        <v>467</v>
      </c>
      <c r="Y5" s="19" t="s">
        <v>468</v>
      </c>
      <c r="Z5" s="19" t="s">
        <v>469</v>
      </c>
      <c r="AA5" s="19" t="s">
        <v>470</v>
      </c>
      <c r="AB5" s="19" t="s">
        <v>471</v>
      </c>
      <c r="AC5" s="19" t="s">
        <v>472</v>
      </c>
      <c r="AD5" s="19" t="s">
        <v>473</v>
      </c>
      <c r="AE5" s="19" t="s">
        <v>474</v>
      </c>
      <c r="AF5" s="19" t="s">
        <v>475</v>
      </c>
      <c r="AG5" s="19" t="s">
        <v>476</v>
      </c>
      <c r="AH5" s="19" t="s">
        <v>477</v>
      </c>
      <c r="AI5" s="19" t="s">
        <v>478</v>
      </c>
      <c r="AJ5" s="19" t="s">
        <v>97</v>
      </c>
      <c r="AK5" s="19" t="s">
        <v>479</v>
      </c>
    </row>
    <row r="6" customFormat="false" ht="15" hidden="false" customHeight="false" outlineLevel="0" collapsed="false">
      <c r="A6" s="13" t="n">
        <v>1</v>
      </c>
      <c r="B6" s="53"/>
      <c r="C6" s="54" t="n">
        <v>63320</v>
      </c>
      <c r="D6" s="54" t="n">
        <v>32167</v>
      </c>
      <c r="E6" s="54" t="n">
        <v>7558</v>
      </c>
      <c r="F6" s="54" t="n">
        <v>101717</v>
      </c>
      <c r="G6" s="54" t="n">
        <v>27607</v>
      </c>
      <c r="H6" s="54" t="n">
        <v>16534</v>
      </c>
      <c r="I6" s="55" t="n">
        <f aca="false">SUM(C6:H6)</f>
        <v>248903</v>
      </c>
      <c r="J6" s="54" t="n">
        <v>5315</v>
      </c>
      <c r="K6" s="56" t="n">
        <v>385481.79</v>
      </c>
      <c r="L6" s="54" t="n">
        <v>10257</v>
      </c>
      <c r="M6" s="56" t="n">
        <v>34564.61</v>
      </c>
      <c r="N6" s="56" t="n">
        <v>99252.5</v>
      </c>
      <c r="O6" s="54" t="n">
        <v>1894</v>
      </c>
      <c r="P6" s="56" t="n">
        <v>27807.26</v>
      </c>
      <c r="Q6" s="56" t="n">
        <v>9550.78</v>
      </c>
      <c r="R6" s="56" t="n">
        <v>1448.14</v>
      </c>
      <c r="S6" s="27"/>
      <c r="T6" s="27"/>
      <c r="U6" s="57" t="n">
        <f aca="false">IFERROR(J6/I6,0)</f>
        <v>0.0213537000357569</v>
      </c>
      <c r="V6" s="58" t="n">
        <f aca="false">IFERROR(K6/J6,0)</f>
        <v>72.5271476952023</v>
      </c>
      <c r="W6" s="59" t="n">
        <f aca="false">IFERROR(L6/J6,0)</f>
        <v>1.92982126058326</v>
      </c>
      <c r="X6" s="22" t="n">
        <f aca="false">IFERROR(M6/(K6+M6),0)</f>
        <v>0.0822875996556571</v>
      </c>
      <c r="Y6" s="22" t="n">
        <f aca="false">IFERROR(N6/K6,0)</f>
        <v>0.257476494544658</v>
      </c>
      <c r="Z6" s="22" t="n">
        <f aca="false">IFERROR(O6/J6,0)</f>
        <v>0.356349952963311</v>
      </c>
      <c r="AA6" s="58" t="n">
        <f aca="false">IFERROR(P6/C6,0)</f>
        <v>0.439154453569172</v>
      </c>
      <c r="AB6" s="58" t="n">
        <f aca="false">IFERROR(Q6/D6,0)</f>
        <v>0.29691236360245</v>
      </c>
      <c r="AC6" s="58" t="n">
        <f aca="false">IFERROR(R6/E6,0)</f>
        <v>0.191603598835671</v>
      </c>
      <c r="AD6" s="57" t="n">
        <f aca="false">IFERROR(F6/F$58,0)</f>
        <v>0.0172817511422399</v>
      </c>
      <c r="AE6" s="57" t="n">
        <f aca="false">IFERROR(G6/G$58,0)</f>
        <v>0.0153438456489273</v>
      </c>
      <c r="AF6" s="57" t="n">
        <f aca="false">IFERROR(H6/H$58,0)</f>
        <v>0.0160600986102099</v>
      </c>
      <c r="AG6" s="57" t="n">
        <f aca="false">IFERROR(P6/P$58,0)</f>
        <v>0.0182348298873563</v>
      </c>
      <c r="AH6" s="57" t="n">
        <f aca="false">IFERROR(Q6/Q$58,0)</f>
        <v>0.0152730369709558</v>
      </c>
      <c r="AI6" s="57" t="n">
        <f aca="false">IFERROR(R6/R$58,0)</f>
        <v>0.016525573820179</v>
      </c>
      <c r="AJ6" s="49" t="n">
        <f aca="false">K6-N6</f>
        <v>286229.29</v>
      </c>
      <c r="AK6" s="57" t="n">
        <f aca="false">IFERROR(I6/I$58,0)</f>
        <v>0.0167284167883534</v>
      </c>
    </row>
    <row r="7" customFormat="false" ht="15" hidden="false" customHeight="false" outlineLevel="0" collapsed="false">
      <c r="A7" s="13" t="n">
        <v>2</v>
      </c>
      <c r="B7" s="53"/>
      <c r="C7" s="54" t="n">
        <v>57196</v>
      </c>
      <c r="D7" s="54" t="n">
        <v>34193</v>
      </c>
      <c r="E7" s="54" t="n">
        <v>6934</v>
      </c>
      <c r="F7" s="54" t="n">
        <v>89190</v>
      </c>
      <c r="G7" s="54" t="n">
        <v>24931</v>
      </c>
      <c r="H7" s="54" t="n">
        <v>17011</v>
      </c>
      <c r="I7" s="55" t="n">
        <f aca="false">SUM(C7:H7)</f>
        <v>229455</v>
      </c>
      <c r="J7" s="54" t="n">
        <v>4771</v>
      </c>
      <c r="K7" s="56" t="n">
        <v>336600.17</v>
      </c>
      <c r="L7" s="54" t="n">
        <v>9012</v>
      </c>
      <c r="M7" s="56" t="n">
        <v>29635.38</v>
      </c>
      <c r="N7" s="56" t="n">
        <v>86500.66</v>
      </c>
      <c r="O7" s="54" t="n">
        <v>1715</v>
      </c>
      <c r="P7" s="56" t="n">
        <v>23997.13</v>
      </c>
      <c r="Q7" s="56" t="n">
        <v>10202.67</v>
      </c>
      <c r="R7" s="56" t="n">
        <v>1379.5</v>
      </c>
      <c r="S7" s="27"/>
      <c r="T7" s="27"/>
      <c r="U7" s="57" t="n">
        <f aca="false">IFERROR(J7/I7,0)</f>
        <v>0.0207927480333835</v>
      </c>
      <c r="V7" s="58" t="n">
        <f aca="false">IFERROR(K7/J7,0)</f>
        <v>70.5512827499476</v>
      </c>
      <c r="W7" s="59" t="n">
        <f aca="false">IFERROR(L7/J7,0)</f>
        <v>1.88891217774052</v>
      </c>
      <c r="X7" s="22" t="n">
        <f aca="false">IFERROR(M7/(K7+M7),0)</f>
        <v>0.0809189058790169</v>
      </c>
      <c r="Y7" s="22" t="n">
        <f aca="false">IFERROR(N7/K7,0)</f>
        <v>0.256983411505704</v>
      </c>
      <c r="Z7" s="22" t="n">
        <f aca="false">IFERROR(O7/J7,0)</f>
        <v>0.35946342485852</v>
      </c>
      <c r="AA7" s="58" t="n">
        <f aca="false">IFERROR(P7/C7,0)</f>
        <v>0.419559584586335</v>
      </c>
      <c r="AB7" s="58" t="n">
        <f aca="false">IFERROR(Q7/D7,0)</f>
        <v>0.298384757114029</v>
      </c>
      <c r="AC7" s="58" t="n">
        <f aca="false">IFERROR(R7/E7,0)</f>
        <v>0.198947216613787</v>
      </c>
      <c r="AD7" s="57" t="n">
        <f aca="false">IFERROR(F7/F$58,0)</f>
        <v>0.01515340979754</v>
      </c>
      <c r="AE7" s="57" t="n">
        <f aca="false">IFERROR(G7/G$58,0)</f>
        <v>0.0138565369606769</v>
      </c>
      <c r="AF7" s="57" t="n">
        <f aca="false">IFERROR(H7/H$58,0)</f>
        <v>0.0165234267242217</v>
      </c>
      <c r="AG7" s="57" t="n">
        <f aca="false">IFERROR(P7/P$58,0)</f>
        <v>0.0157363071131343</v>
      </c>
      <c r="AH7" s="57" t="n">
        <f aca="false">IFERROR(Q7/Q$58,0)</f>
        <v>0.0163155005258693</v>
      </c>
      <c r="AI7" s="57" t="n">
        <f aca="false">IFERROR(R7/R$58,0)</f>
        <v>0.015742282572774</v>
      </c>
      <c r="AJ7" s="49" t="n">
        <f aca="false">K7-N7</f>
        <v>250099.51</v>
      </c>
      <c r="AK7" s="57" t="n">
        <f aca="false">IFERROR(I7/I$58,0)</f>
        <v>0.0154213443557194</v>
      </c>
    </row>
    <row r="8" customFormat="false" ht="15" hidden="false" customHeight="false" outlineLevel="0" collapsed="false">
      <c r="A8" s="13" t="n">
        <v>3</v>
      </c>
      <c r="B8" s="53"/>
      <c r="C8" s="54" t="n">
        <v>61176</v>
      </c>
      <c r="D8" s="54" t="n">
        <v>35056</v>
      </c>
      <c r="E8" s="54" t="n">
        <v>7604</v>
      </c>
      <c r="F8" s="54" t="n">
        <v>95109</v>
      </c>
      <c r="G8" s="54" t="n">
        <v>28129</v>
      </c>
      <c r="H8" s="54" t="n">
        <v>17546</v>
      </c>
      <c r="I8" s="55" t="n">
        <f aca="false">SUM(C8:H8)</f>
        <v>244620</v>
      </c>
      <c r="J8" s="54" t="n">
        <v>5312</v>
      </c>
      <c r="K8" s="56" t="n">
        <v>389800.57</v>
      </c>
      <c r="L8" s="54" t="n">
        <v>9826</v>
      </c>
      <c r="M8" s="56" t="n">
        <v>35581.7</v>
      </c>
      <c r="N8" s="56" t="n">
        <v>98467.99</v>
      </c>
      <c r="O8" s="54" t="n">
        <v>1923</v>
      </c>
      <c r="P8" s="56" t="n">
        <v>24782</v>
      </c>
      <c r="Q8" s="56" t="n">
        <v>10740.83</v>
      </c>
      <c r="R8" s="56" t="n">
        <v>1536.3</v>
      </c>
      <c r="S8" s="27"/>
      <c r="T8" s="27"/>
      <c r="U8" s="57" t="n">
        <f aca="false">IFERROR(J8/I8,0)</f>
        <v>0.0217153135475431</v>
      </c>
      <c r="V8" s="58" t="n">
        <f aca="false">IFERROR(K8/J8,0)</f>
        <v>73.3811314006024</v>
      </c>
      <c r="W8" s="59" t="n">
        <f aca="false">IFERROR(L8/J8,0)</f>
        <v>1.84977409638554</v>
      </c>
      <c r="X8" s="22" t="n">
        <f aca="false">IFERROR(M8/(K8+M8),0)</f>
        <v>0.0836464105567916</v>
      </c>
      <c r="Y8" s="22" t="n">
        <f aca="false">IFERROR(N8/K8,0)</f>
        <v>0.252611200645499</v>
      </c>
      <c r="Z8" s="22" t="n">
        <f aca="false">IFERROR(O8/J8,0)</f>
        <v>0.362010542168675</v>
      </c>
      <c r="AA8" s="58" t="n">
        <f aca="false">IFERROR(P8/C8,0)</f>
        <v>0.405093500719236</v>
      </c>
      <c r="AB8" s="58" t="n">
        <f aca="false">IFERROR(Q8/D8,0)</f>
        <v>0.306390632131447</v>
      </c>
      <c r="AC8" s="58" t="n">
        <f aca="false">IFERROR(R8/E8,0)</f>
        <v>0.202038400841662</v>
      </c>
      <c r="AD8" s="57" t="n">
        <f aca="false">IFERROR(F8/F$58,0)</f>
        <v>0.0161590498086583</v>
      </c>
      <c r="AE8" s="57" t="n">
        <f aca="false">IFERROR(G8/G$58,0)</f>
        <v>0.0156339708863215</v>
      </c>
      <c r="AF8" s="57" t="n">
        <f aca="false">IFERROR(H8/H$58,0)</f>
        <v>0.0170430924286164</v>
      </c>
      <c r="AG8" s="57" t="n">
        <f aca="false">IFERROR(P8/P$58,0)</f>
        <v>0.0162509918010068</v>
      </c>
      <c r="AH8" s="57" t="n">
        <f aca="false">IFERROR(Q8/Q$58,0)</f>
        <v>0.0171760938571249</v>
      </c>
      <c r="AI8" s="57" t="n">
        <f aca="false">IFERROR(R8/R$58,0)</f>
        <v>0.0175316192218577</v>
      </c>
      <c r="AJ8" s="49" t="n">
        <f aca="false">K8-N8</f>
        <v>291332.58</v>
      </c>
      <c r="AK8" s="57" t="n">
        <f aca="false">IFERROR(I8/I$58,0)</f>
        <v>0.0164405624470858</v>
      </c>
    </row>
    <row r="9" customFormat="false" ht="15" hidden="false" customHeight="false" outlineLevel="0" collapsed="false">
      <c r="A9" s="13" t="n">
        <v>4</v>
      </c>
      <c r="B9" s="53"/>
      <c r="C9" s="54" t="n">
        <v>57392</v>
      </c>
      <c r="D9" s="54" t="n">
        <v>30961</v>
      </c>
      <c r="E9" s="54" t="n">
        <v>6484</v>
      </c>
      <c r="F9" s="54" t="n">
        <v>89334</v>
      </c>
      <c r="G9" s="54" t="n">
        <v>24063</v>
      </c>
      <c r="H9" s="54" t="n">
        <v>16919</v>
      </c>
      <c r="I9" s="55" t="n">
        <f aca="false">SUM(C9:H9)</f>
        <v>225153</v>
      </c>
      <c r="J9" s="54" t="n">
        <v>4729</v>
      </c>
      <c r="K9" s="56" t="n">
        <v>348133.01</v>
      </c>
      <c r="L9" s="54" t="n">
        <v>9310</v>
      </c>
      <c r="M9" s="56" t="n">
        <v>32618.97</v>
      </c>
      <c r="N9" s="56" t="n">
        <v>86201.12</v>
      </c>
      <c r="O9" s="54" t="n">
        <v>1673</v>
      </c>
      <c r="P9" s="56" t="n">
        <v>24838.15</v>
      </c>
      <c r="Q9" s="56" t="n">
        <v>9242.43</v>
      </c>
      <c r="R9" s="56" t="n">
        <v>1357.91</v>
      </c>
      <c r="S9" s="27"/>
      <c r="T9" s="27"/>
      <c r="U9" s="57" t="n">
        <f aca="false">IFERROR(J9/I9,0)</f>
        <v>0.0210034954009052</v>
      </c>
      <c r="V9" s="58" t="n">
        <f aca="false">IFERROR(K9/J9,0)</f>
        <v>73.616622964686</v>
      </c>
      <c r="W9" s="59" t="n">
        <f aca="false">IFERROR(L9/J9,0)</f>
        <v>1.96870374286318</v>
      </c>
      <c r="X9" s="22" t="n">
        <f aca="false">IFERROR(M9/(K9+M9),0)</f>
        <v>0.0856698630956561</v>
      </c>
      <c r="Y9" s="22" t="n">
        <f aca="false">IFERROR(N9/K9,0)</f>
        <v>0.247609728247258</v>
      </c>
      <c r="Z9" s="22" t="n">
        <f aca="false">IFERROR(O9/J9,0)</f>
        <v>0.353774582364136</v>
      </c>
      <c r="AA9" s="58" t="n">
        <f aca="false">IFERROR(P9/C9,0)</f>
        <v>0.432780701143017</v>
      </c>
      <c r="AB9" s="58" t="n">
        <f aca="false">IFERROR(Q9/D9,0)</f>
        <v>0.298518458706114</v>
      </c>
      <c r="AC9" s="58" t="n">
        <f aca="false">IFERROR(R9/E9,0)</f>
        <v>0.209424737816163</v>
      </c>
      <c r="AD9" s="57" t="n">
        <f aca="false">IFERROR(F9/F$58,0)</f>
        <v>0.0151778754440345</v>
      </c>
      <c r="AE9" s="57" t="n">
        <f aca="false">IFERROR(G9/G$58,0)</f>
        <v>0.0133741064893012</v>
      </c>
      <c r="AF9" s="57" t="n">
        <f aca="false">IFERROR(H9/H$58,0)</f>
        <v>0.0164340636498211</v>
      </c>
      <c r="AG9" s="57" t="n">
        <f aca="false">IFERROR(P9/P$58,0)</f>
        <v>0.0162878126060115</v>
      </c>
      <c r="AH9" s="57" t="n">
        <f aca="false">IFERROR(Q9/Q$58,0)</f>
        <v>0.0147799420666659</v>
      </c>
      <c r="AI9" s="57" t="n">
        <f aca="false">IFERROR(R9/R$58,0)</f>
        <v>0.0154959064359518</v>
      </c>
      <c r="AJ9" s="49" t="n">
        <f aca="false">K9-N9</f>
        <v>261931.89</v>
      </c>
      <c r="AK9" s="57" t="n">
        <f aca="false">IFERROR(I9/I$58,0)</f>
        <v>0.0151322130514623</v>
      </c>
    </row>
    <row r="10" customFormat="false" ht="15" hidden="false" customHeight="false" outlineLevel="0" collapsed="false">
      <c r="A10" s="13" t="n">
        <v>5</v>
      </c>
      <c r="B10" s="53"/>
      <c r="C10" s="54" t="n">
        <v>56791</v>
      </c>
      <c r="D10" s="54" t="n">
        <v>30546</v>
      </c>
      <c r="E10" s="54" t="n">
        <v>6764</v>
      </c>
      <c r="F10" s="54" t="n">
        <v>94265</v>
      </c>
      <c r="G10" s="54" t="n">
        <v>24410</v>
      </c>
      <c r="H10" s="54" t="n">
        <v>16286</v>
      </c>
      <c r="I10" s="55" t="n">
        <f aca="false">SUM(C10:H10)</f>
        <v>229062</v>
      </c>
      <c r="J10" s="54" t="n">
        <v>4654</v>
      </c>
      <c r="K10" s="56" t="n">
        <v>338912.88</v>
      </c>
      <c r="L10" s="54" t="n">
        <v>8957</v>
      </c>
      <c r="M10" s="56" t="n">
        <v>29957.32</v>
      </c>
      <c r="N10" s="56" t="n">
        <v>91159.21</v>
      </c>
      <c r="O10" s="54" t="n">
        <v>1616</v>
      </c>
      <c r="P10" s="56" t="n">
        <v>22903.83</v>
      </c>
      <c r="Q10" s="56" t="n">
        <v>9483.96</v>
      </c>
      <c r="R10" s="56" t="n">
        <v>1348.37</v>
      </c>
      <c r="S10" s="27"/>
      <c r="T10" s="27"/>
      <c r="U10" s="57" t="n">
        <f aca="false">IFERROR(J10/I10,0)</f>
        <v>0.0203176432581572</v>
      </c>
      <c r="V10" s="58" t="n">
        <f aca="false">IFERROR(K10/J10,0)</f>
        <v>72.8218478727976</v>
      </c>
      <c r="W10" s="59" t="n">
        <f aca="false">IFERROR(L10/J10,0)</f>
        <v>1.92458100558659</v>
      </c>
      <c r="X10" s="22" t="n">
        <f aca="false">IFERROR(M10/(K10+M10),0)</f>
        <v>0.0812137169118026</v>
      </c>
      <c r="Y10" s="22" t="n">
        <f aca="false">IFERROR(N10/K10,0)</f>
        <v>0.268975348473035</v>
      </c>
      <c r="Z10" s="22" t="n">
        <f aca="false">IFERROR(O10/J10,0)</f>
        <v>0.34722819080361</v>
      </c>
      <c r="AA10" s="58" t="n">
        <f aca="false">IFERROR(P10/C10,0)</f>
        <v>0.40330034688595</v>
      </c>
      <c r="AB10" s="58" t="n">
        <f aca="false">IFERROR(Q10/D10,0)</f>
        <v>0.310481241406403</v>
      </c>
      <c r="AC10" s="58" t="n">
        <f aca="false">IFERROR(R10/E10,0)</f>
        <v>0.199345062093436</v>
      </c>
      <c r="AD10" s="57" t="n">
        <f aca="false">IFERROR(F10/F$58,0)</f>
        <v>0.0160156539361487</v>
      </c>
      <c r="AE10" s="57" t="n">
        <f aca="false">IFERROR(G10/G$58,0)</f>
        <v>0.0135669675187567</v>
      </c>
      <c r="AF10" s="57" t="n">
        <f aca="false">IFERROR(H10/H$58,0)</f>
        <v>0.0158192068444344</v>
      </c>
      <c r="AG10" s="57" t="n">
        <f aca="false">IFERROR(P10/P$58,0)</f>
        <v>0.0150193670220988</v>
      </c>
      <c r="AH10" s="57" t="n">
        <f aca="false">IFERROR(Q10/Q$58,0)</f>
        <v>0.0151661824176733</v>
      </c>
      <c r="AI10" s="57" t="n">
        <f aca="false">IFERROR(R10/R$58,0)</f>
        <v>0.0153870399076848</v>
      </c>
      <c r="AJ10" s="49" t="n">
        <f aca="false">K10-N10</f>
        <v>247753.67</v>
      </c>
      <c r="AK10" s="57" t="n">
        <f aca="false">IFERROR(I10/I$58,0)</f>
        <v>0.01539493138441</v>
      </c>
    </row>
    <row r="11" customFormat="false" ht="15" hidden="false" customHeight="false" outlineLevel="0" collapsed="false">
      <c r="A11" s="13" t="n">
        <v>6</v>
      </c>
      <c r="B11" s="53"/>
      <c r="C11" s="54" t="n">
        <v>62463</v>
      </c>
      <c r="D11" s="54" t="n">
        <v>34068</v>
      </c>
      <c r="E11" s="54" t="n">
        <v>7299</v>
      </c>
      <c r="F11" s="54" t="n">
        <v>99933</v>
      </c>
      <c r="G11" s="54" t="n">
        <v>26863</v>
      </c>
      <c r="H11" s="54" t="n">
        <v>17552</v>
      </c>
      <c r="I11" s="55" t="n">
        <f aca="false">SUM(C11:H11)</f>
        <v>248178</v>
      </c>
      <c r="J11" s="54" t="n">
        <v>5088</v>
      </c>
      <c r="K11" s="56" t="n">
        <v>359777.52</v>
      </c>
      <c r="L11" s="54" t="n">
        <v>9287</v>
      </c>
      <c r="M11" s="56" t="n">
        <v>28745.09</v>
      </c>
      <c r="N11" s="56" t="n">
        <v>96642.39</v>
      </c>
      <c r="O11" s="54" t="n">
        <v>1733</v>
      </c>
      <c r="P11" s="56" t="n">
        <v>27357.12</v>
      </c>
      <c r="Q11" s="56" t="n">
        <v>9966.13</v>
      </c>
      <c r="R11" s="56" t="n">
        <v>1404.74</v>
      </c>
      <c r="S11" s="27"/>
      <c r="T11" s="27"/>
      <c r="U11" s="57" t="n">
        <f aca="false">IFERROR(J11/I11,0)</f>
        <v>0.0205014143074729</v>
      </c>
      <c r="V11" s="58" t="n">
        <f aca="false">IFERROR(K11/J11,0)</f>
        <v>70.7109905660377</v>
      </c>
      <c r="W11" s="59" t="n">
        <f aca="false">IFERROR(L11/J11,0)</f>
        <v>1.8252751572327</v>
      </c>
      <c r="X11" s="22" t="n">
        <f aca="false">IFERROR(M11/(K11+M11),0)</f>
        <v>0.0739856298195876</v>
      </c>
      <c r="Y11" s="22" t="n">
        <f aca="false">IFERROR(N11/K11,0)</f>
        <v>0.268617088694146</v>
      </c>
      <c r="Z11" s="22" t="n">
        <f aca="false">IFERROR(O11/J11,0)</f>
        <v>0.34060534591195</v>
      </c>
      <c r="AA11" s="58" t="n">
        <f aca="false">IFERROR(P11/C11,0)</f>
        <v>0.43797320013448</v>
      </c>
      <c r="AB11" s="58" t="n">
        <f aca="false">IFERROR(Q11/D11,0)</f>
        <v>0.29253639779265</v>
      </c>
      <c r="AC11" s="58" t="n">
        <f aca="false">IFERROR(R11/E11,0)</f>
        <v>0.192456500890533</v>
      </c>
      <c r="AD11" s="57" t="n">
        <f aca="false">IFERROR(F11/F$58,0)</f>
        <v>0.0169786489662245</v>
      </c>
      <c r="AE11" s="57" t="n">
        <f aca="false">IFERROR(G11/G$58,0)</f>
        <v>0.0149303338163196</v>
      </c>
      <c r="AF11" s="57" t="n">
        <f aca="false">IFERROR(H11/H$58,0)</f>
        <v>0.0170489204552077</v>
      </c>
      <c r="AG11" s="57" t="n">
        <f aca="false">IFERROR(P11/P$58,0)</f>
        <v>0.0179396470349107</v>
      </c>
      <c r="AH11" s="57" t="n">
        <f aca="false">IFERROR(Q11/Q$58,0)</f>
        <v>0.0159372398848421</v>
      </c>
      <c r="AI11" s="57" t="n">
        <f aca="false">IFERROR(R11/R$58,0)</f>
        <v>0.0160303109976647</v>
      </c>
      <c r="AJ11" s="49" t="n">
        <f aca="false">K11-N11</f>
        <v>263135.13</v>
      </c>
      <c r="AK11" s="57" t="n">
        <f aca="false">IFERROR(I11/I$58,0)</f>
        <v>0.0166796905690167</v>
      </c>
    </row>
    <row r="12" customFormat="false" ht="15" hidden="false" customHeight="false" outlineLevel="0" collapsed="false">
      <c r="A12" s="13" t="n">
        <v>7</v>
      </c>
      <c r="B12" s="53"/>
      <c r="C12" s="54" t="n">
        <v>59877</v>
      </c>
      <c r="D12" s="54" t="n">
        <v>34591</v>
      </c>
      <c r="E12" s="54" t="n">
        <v>7328</v>
      </c>
      <c r="F12" s="54" t="n">
        <v>98001</v>
      </c>
      <c r="G12" s="54" t="n">
        <v>25209</v>
      </c>
      <c r="H12" s="54" t="n">
        <v>16936</v>
      </c>
      <c r="I12" s="55" t="n">
        <f aca="false">SUM(C12:H12)</f>
        <v>241942</v>
      </c>
      <c r="J12" s="54" t="n">
        <v>5252</v>
      </c>
      <c r="K12" s="56" t="n">
        <v>380318.77</v>
      </c>
      <c r="L12" s="54" t="n">
        <v>10111</v>
      </c>
      <c r="M12" s="56" t="n">
        <v>30877.92</v>
      </c>
      <c r="N12" s="56" t="n">
        <v>100267.47</v>
      </c>
      <c r="O12" s="54" t="n">
        <v>1734</v>
      </c>
      <c r="P12" s="56" t="n">
        <v>24646.8</v>
      </c>
      <c r="Q12" s="56" t="n">
        <v>10730.73</v>
      </c>
      <c r="R12" s="56" t="n">
        <v>1404.13</v>
      </c>
      <c r="S12" s="27"/>
      <c r="T12" s="27"/>
      <c r="U12" s="57" t="n">
        <f aca="false">IFERROR(J12/I12,0)</f>
        <v>0.0217076820064313</v>
      </c>
      <c r="V12" s="58" t="n">
        <f aca="false">IFERROR(K12/J12,0)</f>
        <v>72.4140841584159</v>
      </c>
      <c r="W12" s="59" t="n">
        <f aca="false">IFERROR(L12/J12,0)</f>
        <v>1.92517136329018</v>
      </c>
      <c r="X12" s="22" t="n">
        <f aca="false">IFERROR(M12/(K12+M12),0)</f>
        <v>0.0750928223668337</v>
      </c>
      <c r="Y12" s="22" t="n">
        <f aca="false">IFERROR(N12/K12,0)</f>
        <v>0.263640603381211</v>
      </c>
      <c r="Z12" s="22" t="n">
        <f aca="false">IFERROR(O12/J12,0)</f>
        <v>0.33015993907083</v>
      </c>
      <c r="AA12" s="58" t="n">
        <f aca="false">IFERROR(P12/C12,0)</f>
        <v>0.411623828849141</v>
      </c>
      <c r="AB12" s="58" t="n">
        <f aca="false">IFERROR(Q12/D12,0)</f>
        <v>0.310217397588968</v>
      </c>
      <c r="AC12" s="58" t="n">
        <f aca="false">IFERROR(R12/E12,0)</f>
        <v>0.191611626637555</v>
      </c>
      <c r="AD12" s="57" t="n">
        <f aca="false">IFERROR(F12/F$58,0)</f>
        <v>0.0166504015424231</v>
      </c>
      <c r="AE12" s="57" t="n">
        <f aca="false">IFERROR(G12/G$58,0)</f>
        <v>0.0140110481024309</v>
      </c>
      <c r="AF12" s="57" t="n">
        <f aca="false">IFERROR(H12/H$58,0)</f>
        <v>0.0164505763918299</v>
      </c>
      <c r="AG12" s="57" t="n">
        <f aca="false">IFERROR(P12/P$58,0)</f>
        <v>0.0161623333355279</v>
      </c>
      <c r="AH12" s="57" t="n">
        <f aca="false">IFERROR(Q12/Q$58,0)</f>
        <v>0.0171599425403312</v>
      </c>
      <c r="AI12" s="57" t="n">
        <f aca="false">IFERROR(R12/R$58,0)</f>
        <v>0.0160233499303437</v>
      </c>
      <c r="AJ12" s="49" t="n">
        <f aca="false">K12-N12</f>
        <v>280051.3</v>
      </c>
      <c r="AK12" s="57" t="n">
        <f aca="false">IFERROR(I12/I$58,0)</f>
        <v>0.0162605778741429</v>
      </c>
    </row>
    <row r="13" customFormat="false" ht="15" hidden="false" customHeight="false" outlineLevel="0" collapsed="false">
      <c r="A13" s="13" t="n">
        <v>8</v>
      </c>
      <c r="B13" s="53"/>
      <c r="C13" s="54" t="n">
        <v>62129</v>
      </c>
      <c r="D13" s="54" t="n">
        <v>36051</v>
      </c>
      <c r="E13" s="54" t="n">
        <v>7171</v>
      </c>
      <c r="F13" s="54" t="n">
        <v>93171</v>
      </c>
      <c r="G13" s="54" t="n">
        <v>28653</v>
      </c>
      <c r="H13" s="54" t="n">
        <v>16571</v>
      </c>
      <c r="I13" s="55" t="n">
        <f aca="false">SUM(C13:H13)</f>
        <v>243746</v>
      </c>
      <c r="J13" s="54" t="n">
        <v>5132</v>
      </c>
      <c r="K13" s="56" t="n">
        <v>360580.01</v>
      </c>
      <c r="L13" s="54" t="n">
        <v>9695</v>
      </c>
      <c r="M13" s="56" t="n">
        <v>33581.42</v>
      </c>
      <c r="N13" s="56" t="n">
        <v>96333.96</v>
      </c>
      <c r="O13" s="54" t="n">
        <v>1713</v>
      </c>
      <c r="P13" s="56" t="n">
        <v>26552.13</v>
      </c>
      <c r="Q13" s="56" t="n">
        <v>10968.64</v>
      </c>
      <c r="R13" s="56" t="n">
        <v>1498.86</v>
      </c>
      <c r="S13" s="27"/>
      <c r="T13" s="27"/>
      <c r="U13" s="57" t="n">
        <f aca="false">IFERROR(J13/I13,0)</f>
        <v>0.0210547044874583</v>
      </c>
      <c r="V13" s="58" t="n">
        <f aca="false">IFERROR(K13/J13,0)</f>
        <v>70.2611087295401</v>
      </c>
      <c r="W13" s="59" t="n">
        <f aca="false">IFERROR(L13/J13,0)</f>
        <v>1.88912704598597</v>
      </c>
      <c r="X13" s="22" t="n">
        <f aca="false">IFERROR(M13/(K13+M13),0)</f>
        <v>0.0851971234222486</v>
      </c>
      <c r="Y13" s="22" t="n">
        <f aca="false">IFERROR(N13/K13,0)</f>
        <v>0.267163895192082</v>
      </c>
      <c r="Z13" s="22" t="n">
        <f aca="false">IFERROR(O13/J13,0)</f>
        <v>0.333787996882307</v>
      </c>
      <c r="AA13" s="58" t="n">
        <f aca="false">IFERROR(P13/C13,0)</f>
        <v>0.427370953982842</v>
      </c>
      <c r="AB13" s="58" t="n">
        <f aca="false">IFERROR(Q13/D13,0)</f>
        <v>0.304253418767857</v>
      </c>
      <c r="AC13" s="58" t="n">
        <f aca="false">IFERROR(R13/E13,0)</f>
        <v>0.209016873518338</v>
      </c>
      <c r="AD13" s="57" t="n">
        <f aca="false">IFERROR(F13/F$58,0)</f>
        <v>0.0158297829829196</v>
      </c>
      <c r="AE13" s="57" t="n">
        <f aca="false">IFERROR(G13/G$58,0)</f>
        <v>0.0159252077146635</v>
      </c>
      <c r="AF13" s="57" t="n">
        <f aca="false">IFERROR(H13/H$58,0)</f>
        <v>0.0160960381075232</v>
      </c>
      <c r="AG13" s="57" t="n">
        <f aca="false">IFERROR(P13/P$58,0)</f>
        <v>0.0174117684984773</v>
      </c>
      <c r="AH13" s="57" t="n">
        <f aca="false">IFERROR(Q13/Q$58,0)</f>
        <v>0.0175403940035374</v>
      </c>
      <c r="AI13" s="57" t="n">
        <f aca="false">IFERROR(R13/R$58,0)</f>
        <v>0.0171043694505458</v>
      </c>
      <c r="AJ13" s="49" t="n">
        <f aca="false">K13-N13</f>
        <v>264246.05</v>
      </c>
      <c r="AK13" s="57" t="n">
        <f aca="false">IFERROR(I13/I$58,0)</f>
        <v>0.0163818221495683</v>
      </c>
    </row>
    <row r="14" customFormat="false" ht="15" hidden="false" customHeight="false" outlineLevel="0" collapsed="false">
      <c r="A14" s="13" t="n">
        <v>9</v>
      </c>
      <c r="B14" s="53"/>
      <c r="C14" s="54" t="n">
        <v>66246</v>
      </c>
      <c r="D14" s="54" t="n">
        <v>39173</v>
      </c>
      <c r="E14" s="54" t="n">
        <v>8777</v>
      </c>
      <c r="F14" s="54" t="n">
        <v>116034</v>
      </c>
      <c r="G14" s="54" t="n">
        <v>31431</v>
      </c>
      <c r="H14" s="54" t="n">
        <v>19805</v>
      </c>
      <c r="I14" s="55" t="n">
        <f aca="false">SUM(C14:H14)</f>
        <v>281466</v>
      </c>
      <c r="J14" s="54" t="n">
        <v>5774</v>
      </c>
      <c r="K14" s="56" t="n">
        <v>404229.07</v>
      </c>
      <c r="L14" s="54" t="n">
        <v>10742</v>
      </c>
      <c r="M14" s="56" t="n">
        <v>32364.89</v>
      </c>
      <c r="N14" s="56" t="n">
        <v>105638.18</v>
      </c>
      <c r="O14" s="54" t="n">
        <v>1901</v>
      </c>
      <c r="P14" s="56" t="n">
        <v>26869.86</v>
      </c>
      <c r="Q14" s="56" t="n">
        <v>11623.17</v>
      </c>
      <c r="R14" s="56" t="n">
        <v>1747.6</v>
      </c>
      <c r="S14" s="27"/>
      <c r="T14" s="27"/>
      <c r="U14" s="57" t="n">
        <f aca="false">IFERROR(J14/I14,0)</f>
        <v>0.0205140230081076</v>
      </c>
      <c r="V14" s="58" t="n">
        <f aca="false">IFERROR(K14/J14,0)</f>
        <v>70.0084984412885</v>
      </c>
      <c r="W14" s="59" t="n">
        <f aca="false">IFERROR(L14/J14,0)</f>
        <v>1.86040872878421</v>
      </c>
      <c r="X14" s="22" t="n">
        <f aca="false">IFERROR(M14/(K14+M14),0)</f>
        <v>0.0741304116987784</v>
      </c>
      <c r="Y14" s="22" t="n">
        <f aca="false">IFERROR(N14/K14,0)</f>
        <v>0.261332466761977</v>
      </c>
      <c r="Z14" s="22" t="n">
        <f aca="false">IFERROR(O14/J14,0)</f>
        <v>0.32923449948043</v>
      </c>
      <c r="AA14" s="58" t="n">
        <f aca="false">IFERROR(P14/C14,0)</f>
        <v>0.405607281949099</v>
      </c>
      <c r="AB14" s="58" t="n">
        <f aca="false">IFERROR(Q14/D14,0)</f>
        <v>0.296713807979986</v>
      </c>
      <c r="AC14" s="58" t="n">
        <f aca="false">IFERROR(R14/E14,0)</f>
        <v>0.199111313660704</v>
      </c>
      <c r="AD14" s="57" t="n">
        <f aca="false">IFERROR(F14/F$58,0)</f>
        <v>0.0197142140648924</v>
      </c>
      <c r="AE14" s="57" t="n">
        <f aca="false">IFERROR(G14/G$58,0)</f>
        <v>0.0174692075412553</v>
      </c>
      <c r="AF14" s="57" t="n">
        <f aca="false">IFERROR(H14/H$58,0)</f>
        <v>0.0192373444402569</v>
      </c>
      <c r="AG14" s="57" t="n">
        <f aca="false">IFERROR(P14/P$58,0)</f>
        <v>0.0176201224499314</v>
      </c>
      <c r="AH14" s="57" t="n">
        <f aca="false">IFERROR(Q14/Q$58,0)</f>
        <v>0.0185870792887811</v>
      </c>
      <c r="AI14" s="57" t="n">
        <f aca="false">IFERROR(R14/R$58,0)</f>
        <v>0.0199428872955272</v>
      </c>
      <c r="AJ14" s="49" t="n">
        <f aca="false">K14-N14</f>
        <v>298590.89</v>
      </c>
      <c r="AK14" s="57" t="n">
        <f aca="false">IFERROR(I14/I$58,0)</f>
        <v>0.0189169297266432</v>
      </c>
    </row>
    <row r="15" customFormat="false" ht="15" hidden="false" customHeight="false" outlineLevel="0" collapsed="false">
      <c r="A15" s="13" t="n">
        <v>10</v>
      </c>
      <c r="B15" s="53" t="s">
        <v>422</v>
      </c>
      <c r="C15" s="54" t="n">
        <v>62993</v>
      </c>
      <c r="D15" s="54" t="n">
        <v>37183</v>
      </c>
      <c r="E15" s="54" t="n">
        <v>7998</v>
      </c>
      <c r="F15" s="54" t="n">
        <v>98575</v>
      </c>
      <c r="G15" s="54" t="n">
        <v>28473</v>
      </c>
      <c r="H15" s="54" t="n">
        <v>17199</v>
      </c>
      <c r="I15" s="55" t="n">
        <f aca="false">SUM(C15:H15)</f>
        <v>252421</v>
      </c>
      <c r="J15" s="54" t="n">
        <v>5475</v>
      </c>
      <c r="K15" s="56" t="n">
        <v>385351.26</v>
      </c>
      <c r="L15" s="54" t="n">
        <v>10777</v>
      </c>
      <c r="M15" s="56" t="n">
        <v>31481.21</v>
      </c>
      <c r="N15" s="56" t="n">
        <v>102933.74</v>
      </c>
      <c r="O15" s="54" t="n">
        <v>2570</v>
      </c>
      <c r="P15" s="56" t="n">
        <v>26356.58</v>
      </c>
      <c r="Q15" s="56" t="n">
        <v>10968.32</v>
      </c>
      <c r="R15" s="56" t="n">
        <v>1610.17</v>
      </c>
      <c r="S15" s="27"/>
      <c r="T15" s="27"/>
      <c r="U15" s="57" t="n">
        <f aca="false">IFERROR(J15/I15,0)</f>
        <v>0.0216899544808079</v>
      </c>
      <c r="V15" s="58" t="n">
        <f aca="false">IFERROR(K15/J15,0)</f>
        <v>70.3837917808219</v>
      </c>
      <c r="W15" s="59" t="n">
        <f aca="false">IFERROR(L15/J15,0)</f>
        <v>1.96840182648402</v>
      </c>
      <c r="X15" s="22" t="n">
        <f aca="false">IFERROR(M15/(K15+M15),0)</f>
        <v>0.0755248505472714</v>
      </c>
      <c r="Y15" s="22" t="n">
        <f aca="false">IFERROR(N15/K15,0)</f>
        <v>0.267116656112659</v>
      </c>
      <c r="Z15" s="22" t="n">
        <f aca="false">IFERROR(O15/J15,0)</f>
        <v>0.469406392694064</v>
      </c>
      <c r="AA15" s="58" t="n">
        <f aca="false">IFERROR(P15/C15,0)</f>
        <v>0.418404902131983</v>
      </c>
      <c r="AB15" s="58" t="n">
        <f aca="false">IFERROR(Q15/D15,0)</f>
        <v>0.294982115482882</v>
      </c>
      <c r="AC15" s="58" t="n">
        <f aca="false">IFERROR(R15/E15,0)</f>
        <v>0.201321580395099</v>
      </c>
      <c r="AD15" s="57" t="n">
        <f aca="false">IFERROR(F15/F$58,0)</f>
        <v>0.0167479243277554</v>
      </c>
      <c r="AE15" s="57" t="n">
        <f aca="false">IFERROR(G15/G$58,0)</f>
        <v>0.0158251645293552</v>
      </c>
      <c r="AF15" s="57" t="n">
        <f aca="false">IFERROR(H15/H$58,0)</f>
        <v>0.0167060382240837</v>
      </c>
      <c r="AG15" s="57" t="n">
        <f aca="false">IFERROR(P15/P$58,0)</f>
        <v>0.0172835350448946</v>
      </c>
      <c r="AH15" s="57" t="n">
        <f aca="false">IFERROR(Q15/Q$58,0)</f>
        <v>0.0175398822786489</v>
      </c>
      <c r="AI15" s="57" t="n">
        <f aca="false">IFERROR(R15/R$58,0)</f>
        <v>0.0183745930628514</v>
      </c>
      <c r="AJ15" s="49" t="n">
        <f aca="false">K15-N15</f>
        <v>282417.52</v>
      </c>
      <c r="AK15" s="57" t="n">
        <f aca="false">IFERROR(I15/I$58,0)</f>
        <v>0.0169648565671485</v>
      </c>
    </row>
    <row r="16" customFormat="false" ht="15" hidden="false" customHeight="false" outlineLevel="0" collapsed="false">
      <c r="A16" s="13" t="n">
        <v>11</v>
      </c>
      <c r="B16" s="53"/>
      <c r="C16" s="54" t="n">
        <v>66554</v>
      </c>
      <c r="D16" s="54" t="n">
        <v>37193</v>
      </c>
      <c r="E16" s="54" t="n">
        <v>8452</v>
      </c>
      <c r="F16" s="54" t="n">
        <v>112294</v>
      </c>
      <c r="G16" s="54" t="n">
        <v>29703</v>
      </c>
      <c r="H16" s="54" t="n">
        <v>19805</v>
      </c>
      <c r="I16" s="55" t="n">
        <f aca="false">SUM(C16:H16)</f>
        <v>274001</v>
      </c>
      <c r="J16" s="54" t="n">
        <v>5875</v>
      </c>
      <c r="K16" s="56" t="n">
        <v>426577.07</v>
      </c>
      <c r="L16" s="54" t="n">
        <v>11554</v>
      </c>
      <c r="M16" s="56" t="n">
        <v>34600.62</v>
      </c>
      <c r="N16" s="56" t="n">
        <v>110449.88</v>
      </c>
      <c r="O16" s="54" t="n">
        <v>2158</v>
      </c>
      <c r="P16" s="56" t="n">
        <v>27014.97</v>
      </c>
      <c r="Q16" s="56" t="n">
        <v>11640.29</v>
      </c>
      <c r="R16" s="56" t="n">
        <v>1704.46</v>
      </c>
      <c r="S16" s="27"/>
      <c r="T16" s="27"/>
      <c r="U16" s="57" t="n">
        <f aca="false">IFERROR(J16/I16,0)</f>
        <v>0.0214415275856657</v>
      </c>
      <c r="V16" s="58" t="n">
        <f aca="false">IFERROR(K16/J16,0)</f>
        <v>72.6088629787234</v>
      </c>
      <c r="W16" s="59" t="n">
        <f aca="false">IFERROR(L16/J16,0)</f>
        <v>1.96663829787234</v>
      </c>
      <c r="X16" s="22" t="n">
        <f aca="false">IFERROR(M16/(K16+M16),0)</f>
        <v>0.0750266562114052</v>
      </c>
      <c r="Y16" s="22" t="n">
        <f aca="false">IFERROR(N16/K16,0)</f>
        <v>0.258921277695494</v>
      </c>
      <c r="Z16" s="22" t="n">
        <f aca="false">IFERROR(O16/J16,0)</f>
        <v>0.36731914893617</v>
      </c>
      <c r="AA16" s="58" t="n">
        <f aca="false">IFERROR(P16/C16,0)</f>
        <v>0.40591053881059</v>
      </c>
      <c r="AB16" s="58" t="n">
        <f aca="false">IFERROR(Q16/D16,0)</f>
        <v>0.312969913693437</v>
      </c>
      <c r="AC16" s="58" t="n">
        <f aca="false">IFERROR(R16/E16,0)</f>
        <v>0.201663511594889</v>
      </c>
      <c r="AD16" s="57" t="n">
        <f aca="false">IFERROR(F16/F$58,0)</f>
        <v>0.0190787868573265</v>
      </c>
      <c r="AE16" s="57" t="n">
        <f aca="false">IFERROR(G16/G$58,0)</f>
        <v>0.0165087929622954</v>
      </c>
      <c r="AF16" s="57" t="n">
        <f aca="false">IFERROR(H16/H$58,0)</f>
        <v>0.0192373444402569</v>
      </c>
      <c r="AG16" s="57" t="n">
        <f aca="false">IFERROR(P16/P$58,0)</f>
        <v>0.0177152794760085</v>
      </c>
      <c r="AH16" s="57" t="n">
        <f aca="false">IFERROR(Q16/Q$58,0)</f>
        <v>0.0186144565703165</v>
      </c>
      <c r="AI16" s="57" t="n">
        <f aca="false">IFERROR(R16/R$58,0)</f>
        <v>0.0194505914853137</v>
      </c>
      <c r="AJ16" s="49" t="n">
        <f aca="false">K16-N16</f>
        <v>316127.19</v>
      </c>
      <c r="AK16" s="57" t="n">
        <f aca="false">IFERROR(I16/I$58,0)</f>
        <v>0.0184152176889215</v>
      </c>
    </row>
    <row r="17" customFormat="false" ht="15" hidden="false" customHeight="false" outlineLevel="0" collapsed="false">
      <c r="A17" s="13" t="n">
        <v>12</v>
      </c>
      <c r="B17" s="53"/>
      <c r="C17" s="54" t="n">
        <v>59921</v>
      </c>
      <c r="D17" s="54" t="n">
        <v>36949</v>
      </c>
      <c r="E17" s="54" t="n">
        <v>7401</v>
      </c>
      <c r="F17" s="54" t="n">
        <v>96706</v>
      </c>
      <c r="G17" s="54" t="n">
        <v>27639</v>
      </c>
      <c r="H17" s="54" t="n">
        <v>16986</v>
      </c>
      <c r="I17" s="55" t="n">
        <f aca="false">SUM(C17:H17)</f>
        <v>245602</v>
      </c>
      <c r="J17" s="54" t="n">
        <v>5255</v>
      </c>
      <c r="K17" s="56" t="n">
        <v>384786.45</v>
      </c>
      <c r="L17" s="54" t="n">
        <v>10199</v>
      </c>
      <c r="M17" s="56" t="n">
        <v>31676.96</v>
      </c>
      <c r="N17" s="56" t="n">
        <v>102586.19</v>
      </c>
      <c r="O17" s="54" t="n">
        <v>1821</v>
      </c>
      <c r="P17" s="56" t="n">
        <v>24272.92</v>
      </c>
      <c r="Q17" s="56" t="n">
        <v>10892.29</v>
      </c>
      <c r="R17" s="56" t="n">
        <v>1515.89</v>
      </c>
      <c r="S17" s="27"/>
      <c r="T17" s="27"/>
      <c r="U17" s="57" t="n">
        <f aca="false">IFERROR(J17/I17,0)</f>
        <v>0.0213964055667299</v>
      </c>
      <c r="V17" s="58" t="n">
        <f aca="false">IFERROR(K17/J17,0)</f>
        <v>73.2229210275928</v>
      </c>
      <c r="W17" s="59" t="n">
        <f aca="false">IFERROR(L17/J17,0)</f>
        <v>1.94081826831589</v>
      </c>
      <c r="X17" s="22" t="n">
        <f aca="false">IFERROR(M17/(K17+M17),0)</f>
        <v>0.0760618081670128</v>
      </c>
      <c r="Y17" s="22" t="n">
        <f aca="false">IFERROR(N17/K17,0)</f>
        <v>0.266605515864709</v>
      </c>
      <c r="Z17" s="22" t="n">
        <f aca="false">IFERROR(O17/J17,0)</f>
        <v>0.346527117031399</v>
      </c>
      <c r="AA17" s="58" t="n">
        <f aca="false">IFERROR(P17/C17,0)</f>
        <v>0.40508202466581</v>
      </c>
      <c r="AB17" s="58" t="n">
        <f aca="false">IFERROR(Q17/D17,0)</f>
        <v>0.294792551895856</v>
      </c>
      <c r="AC17" s="58" t="n">
        <f aca="false">IFERROR(R17/E17,0)</f>
        <v>0.204822321307931</v>
      </c>
      <c r="AD17" s="57" t="n">
        <f aca="false">IFERROR(F17/F$58,0)</f>
        <v>0.0164303806242953</v>
      </c>
      <c r="AE17" s="57" t="n">
        <f aca="false">IFERROR(G17/G$58,0)</f>
        <v>0.0153616311040933</v>
      </c>
      <c r="AF17" s="57" t="n">
        <f aca="false">IFERROR(H17/H$58,0)</f>
        <v>0.0164991432800911</v>
      </c>
      <c r="AG17" s="57" t="n">
        <f aca="false">IFERROR(P17/P$58,0)</f>
        <v>0.0159171585790692</v>
      </c>
      <c r="AH17" s="57" t="n">
        <f aca="false">IFERROR(Q17/Q$58,0)</f>
        <v>0.0174182996434189</v>
      </c>
      <c r="AI17" s="57" t="n">
        <f aca="false">IFERROR(R17/R$58,0)</f>
        <v>0.0172987087562467</v>
      </c>
      <c r="AJ17" s="49" t="n">
        <f aca="false">K17-N17</f>
        <v>282200.26</v>
      </c>
      <c r="AK17" s="57" t="n">
        <f aca="false">IFERROR(I17/I$58,0)</f>
        <v>0.0165065612710701</v>
      </c>
    </row>
    <row r="18" customFormat="false" ht="15" hidden="false" customHeight="false" outlineLevel="0" collapsed="false">
      <c r="A18" s="13" t="n">
        <v>13</v>
      </c>
      <c r="B18" s="53"/>
      <c r="C18" s="54" t="n">
        <v>61957</v>
      </c>
      <c r="D18" s="54" t="n">
        <v>36417</v>
      </c>
      <c r="E18" s="54" t="n">
        <v>7407</v>
      </c>
      <c r="F18" s="54" t="n">
        <v>106758</v>
      </c>
      <c r="G18" s="54" t="n">
        <v>28199</v>
      </c>
      <c r="H18" s="54" t="n">
        <v>18018</v>
      </c>
      <c r="I18" s="55" t="n">
        <f aca="false">SUM(C18:H18)</f>
        <v>258756</v>
      </c>
      <c r="J18" s="54" t="n">
        <v>5382</v>
      </c>
      <c r="K18" s="56" t="n">
        <v>394273.77</v>
      </c>
      <c r="L18" s="54" t="n">
        <v>9911</v>
      </c>
      <c r="M18" s="56" t="n">
        <v>35097.77</v>
      </c>
      <c r="N18" s="56" t="n">
        <v>98374.2</v>
      </c>
      <c r="O18" s="54" t="n">
        <v>1800</v>
      </c>
      <c r="P18" s="56" t="n">
        <v>26015.45</v>
      </c>
      <c r="Q18" s="56" t="n">
        <v>10747.5</v>
      </c>
      <c r="R18" s="56" t="n">
        <v>1428.89</v>
      </c>
      <c r="S18" s="27"/>
      <c r="T18" s="27"/>
      <c r="U18" s="57" t="n">
        <f aca="false">IFERROR(J18/I18,0)</f>
        <v>0.0207995176923434</v>
      </c>
      <c r="V18" s="58" t="n">
        <f aca="false">IFERROR(K18/J18,0)</f>
        <v>73.2578539576366</v>
      </c>
      <c r="W18" s="59" t="n">
        <f aca="false">IFERROR(L18/J18,0)</f>
        <v>1.84150873281308</v>
      </c>
      <c r="X18" s="22" t="n">
        <f aca="false">IFERROR(M18/(K18+M18),0)</f>
        <v>0.0817421899923781</v>
      </c>
      <c r="Y18" s="22" t="n">
        <f aca="false">IFERROR(N18/K18,0)</f>
        <v>0.249507341053908</v>
      </c>
      <c r="Z18" s="22" t="n">
        <f aca="false">IFERROR(O18/J18,0)</f>
        <v>0.334448160535117</v>
      </c>
      <c r="AA18" s="58" t="n">
        <f aca="false">IFERROR(P18/C18,0)</f>
        <v>0.419895249931404</v>
      </c>
      <c r="AB18" s="58" t="n">
        <f aca="false">IFERROR(Q18/D18,0)</f>
        <v>0.295123156767444</v>
      </c>
      <c r="AC18" s="58" t="n">
        <f aca="false">IFERROR(R18/E18,0)</f>
        <v>0.192910760091805</v>
      </c>
      <c r="AD18" s="57" t="n">
        <f aca="false">IFERROR(F18/F$58,0)</f>
        <v>0.0181382186698708</v>
      </c>
      <c r="AE18" s="57" t="n">
        <f aca="false">IFERROR(G18/G$58,0)</f>
        <v>0.0156728765694969</v>
      </c>
      <c r="AF18" s="57" t="n">
        <f aca="false">IFERROR(H18/H$58,0)</f>
        <v>0.017501563853802</v>
      </c>
      <c r="AG18" s="57" t="n">
        <f aca="false">IFERROR(P18/P$58,0)</f>
        <v>0.0170598363590308</v>
      </c>
      <c r="AH18" s="57" t="n">
        <f aca="false">IFERROR(Q18/Q$58,0)</f>
        <v>0.0171867601227698</v>
      </c>
      <c r="AI18" s="57" t="n">
        <f aca="false">IFERROR(R18/R$58,0)</f>
        <v>0.0163059007940638</v>
      </c>
      <c r="AJ18" s="49" t="n">
        <f aca="false">K18-N18</f>
        <v>295899.57</v>
      </c>
      <c r="AK18" s="57" t="n">
        <f aca="false">IFERROR(I18/I$58,0)</f>
        <v>0.0173906229112834</v>
      </c>
    </row>
    <row r="19" customFormat="false" ht="15" hidden="false" customHeight="false" outlineLevel="0" collapsed="false">
      <c r="A19" s="13" t="n">
        <v>14</v>
      </c>
      <c r="B19" s="53"/>
      <c r="C19" s="54" t="n">
        <v>74908</v>
      </c>
      <c r="D19" s="54" t="n">
        <v>41310</v>
      </c>
      <c r="E19" s="54" t="n">
        <v>8392</v>
      </c>
      <c r="F19" s="54" t="n">
        <v>114309</v>
      </c>
      <c r="G19" s="54" t="n">
        <v>32763</v>
      </c>
      <c r="H19" s="54" t="n">
        <v>20975</v>
      </c>
      <c r="I19" s="55" t="n">
        <f aca="false">SUM(C19:H19)</f>
        <v>292657</v>
      </c>
      <c r="J19" s="54" t="n">
        <v>6044</v>
      </c>
      <c r="K19" s="56" t="n">
        <v>432351.96</v>
      </c>
      <c r="L19" s="54" t="n">
        <v>11550</v>
      </c>
      <c r="M19" s="56" t="n">
        <v>39978.4</v>
      </c>
      <c r="N19" s="56" t="n">
        <v>109177.04</v>
      </c>
      <c r="O19" s="54" t="n">
        <v>2075</v>
      </c>
      <c r="P19" s="56" t="n">
        <v>31556</v>
      </c>
      <c r="Q19" s="56" t="n">
        <v>11825.34</v>
      </c>
      <c r="R19" s="56" t="n">
        <v>1754.95</v>
      </c>
      <c r="S19" s="27"/>
      <c r="T19" s="27"/>
      <c r="U19" s="57" t="n">
        <f aca="false">IFERROR(J19/I19,0)</f>
        <v>0.0206521627707521</v>
      </c>
      <c r="V19" s="58" t="n">
        <f aca="false">IFERROR(K19/J19,0)</f>
        <v>71.5340767703508</v>
      </c>
      <c r="W19" s="59" t="n">
        <f aca="false">IFERROR(L19/J19,0)</f>
        <v>1.91098610191926</v>
      </c>
      <c r="X19" s="22" t="n">
        <f aca="false">IFERROR(M19/(K19+M19),0)</f>
        <v>0.0846407586418963</v>
      </c>
      <c r="Y19" s="22" t="n">
        <f aca="false">IFERROR(N19/K19,0)</f>
        <v>0.252518896872816</v>
      </c>
      <c r="Z19" s="22" t="n">
        <f aca="false">IFERROR(O19/J19,0)</f>
        <v>0.343315684976837</v>
      </c>
      <c r="AA19" s="58" t="n">
        <f aca="false">IFERROR(P19/C19,0)</f>
        <v>0.421263416457521</v>
      </c>
      <c r="AB19" s="58" t="n">
        <f aca="false">IFERROR(Q19/D19,0)</f>
        <v>0.286258533042847</v>
      </c>
      <c r="AC19" s="58" t="n">
        <f aca="false">IFERROR(R19/E19,0)</f>
        <v>0.209121782650143</v>
      </c>
      <c r="AD19" s="57" t="n">
        <f aca="false">IFERROR(F19/F$58,0)</f>
        <v>0.0194211360079269</v>
      </c>
      <c r="AE19" s="57" t="n">
        <f aca="false">IFERROR(G19/G$58,0)</f>
        <v>0.0182095271125369</v>
      </c>
      <c r="AF19" s="57" t="n">
        <f aca="false">IFERROR(H19/H$58,0)</f>
        <v>0.0203738096255687</v>
      </c>
      <c r="AG19" s="57" t="n">
        <f aca="false">IFERROR(P19/P$58,0)</f>
        <v>0.0206930956852784</v>
      </c>
      <c r="AH19" s="57" t="n">
        <f aca="false">IFERROR(Q19/Q$58,0)</f>
        <v>0.0189103774785015</v>
      </c>
      <c r="AI19" s="57" t="n">
        <f aca="false">IFERROR(R19/R$58,0)</f>
        <v>0.020026762450953</v>
      </c>
      <c r="AJ19" s="49" t="n">
        <f aca="false">K19-N19</f>
        <v>323174.92</v>
      </c>
      <c r="AK19" s="57" t="n">
        <f aca="false">IFERROR(I19/I$58,0)</f>
        <v>0.0196690609274663</v>
      </c>
    </row>
    <row r="20" customFormat="false" ht="15" hidden="false" customHeight="false" outlineLevel="0" collapsed="false">
      <c r="A20" s="13" t="n">
        <v>15</v>
      </c>
      <c r="B20" s="53"/>
      <c r="C20" s="54" t="n">
        <v>65221</v>
      </c>
      <c r="D20" s="54" t="n">
        <v>36237</v>
      </c>
      <c r="E20" s="54" t="n">
        <v>7877</v>
      </c>
      <c r="F20" s="54" t="n">
        <v>110277</v>
      </c>
      <c r="G20" s="54" t="n">
        <v>28754</v>
      </c>
      <c r="H20" s="54" t="n">
        <v>18975</v>
      </c>
      <c r="I20" s="55" t="n">
        <f aca="false">SUM(C20:H20)</f>
        <v>267341</v>
      </c>
      <c r="J20" s="54" t="n">
        <v>5401</v>
      </c>
      <c r="K20" s="56" t="n">
        <v>396049.77</v>
      </c>
      <c r="L20" s="54" t="n">
        <v>10021</v>
      </c>
      <c r="M20" s="56" t="n">
        <v>37276.97</v>
      </c>
      <c r="N20" s="56" t="n">
        <v>104188.61</v>
      </c>
      <c r="O20" s="54" t="n">
        <v>1814</v>
      </c>
      <c r="P20" s="56" t="n">
        <v>27084.76</v>
      </c>
      <c r="Q20" s="56" t="n">
        <v>10879.43</v>
      </c>
      <c r="R20" s="56" t="n">
        <v>1539.22</v>
      </c>
      <c r="S20" s="27"/>
      <c r="T20" s="27"/>
      <c r="U20" s="57" t="n">
        <f aca="false">IFERROR(J20/I20,0)</f>
        <v>0.0202026625171597</v>
      </c>
      <c r="V20" s="58" t="n">
        <f aca="false">IFERROR(K20/J20,0)</f>
        <v>73.3289705610072</v>
      </c>
      <c r="W20" s="59" t="n">
        <f aca="false">IFERROR(L20/J20,0)</f>
        <v>1.85539714867617</v>
      </c>
      <c r="X20" s="22" t="n">
        <f aca="false">IFERROR(M20/(K20+M20),0)</f>
        <v>0.0860250858278444</v>
      </c>
      <c r="Y20" s="22" t="n">
        <f aca="false">IFERROR(N20/K20,0)</f>
        <v>0.263069487453559</v>
      </c>
      <c r="Z20" s="22" t="n">
        <f aca="false">IFERROR(O20/J20,0)</f>
        <v>0.335863728939085</v>
      </c>
      <c r="AA20" s="58" t="n">
        <f aca="false">IFERROR(P20/C20,0)</f>
        <v>0.415276674690667</v>
      </c>
      <c r="AB20" s="58" t="n">
        <f aca="false">IFERROR(Q20/D20,0)</f>
        <v>0.300229875541574</v>
      </c>
      <c r="AC20" s="58" t="n">
        <f aca="false">IFERROR(R20/E20,0)</f>
        <v>0.19540688079218</v>
      </c>
      <c r="AD20" s="57" t="n">
        <f aca="false">IFERROR(F20/F$58,0)</f>
        <v>0.0187360979060805</v>
      </c>
      <c r="AE20" s="57" t="n">
        <f aca="false">IFERROR(G20/G$58,0)</f>
        <v>0.0159813430575309</v>
      </c>
      <c r="AF20" s="57" t="n">
        <f aca="false">IFERROR(H20/H$58,0)</f>
        <v>0.0184311340951212</v>
      </c>
      <c r="AG20" s="57" t="n">
        <f aca="false">IFERROR(P20/P$58,0)</f>
        <v>0.0177610448185068</v>
      </c>
      <c r="AH20" s="57" t="n">
        <f aca="false">IFERROR(Q20/Q$58,0)</f>
        <v>0.0173977346994618</v>
      </c>
      <c r="AI20" s="57" t="n">
        <f aca="false">IFERROR(R20/R$58,0)</f>
        <v>0.0175649410523125</v>
      </c>
      <c r="AJ20" s="49" t="n">
        <f aca="false">K20-N20</f>
        <v>291861.16</v>
      </c>
      <c r="AK20" s="57" t="n">
        <f aca="false">IFERROR(I20/I$58,0)</f>
        <v>0.017967608556808</v>
      </c>
    </row>
    <row r="21" customFormat="false" ht="15" hidden="false" customHeight="false" outlineLevel="0" collapsed="false">
      <c r="A21" s="13" t="n">
        <v>16</v>
      </c>
      <c r="B21" s="53"/>
      <c r="C21" s="54" t="n">
        <v>73081</v>
      </c>
      <c r="D21" s="54" t="n">
        <v>40286</v>
      </c>
      <c r="E21" s="54" t="n">
        <v>8535</v>
      </c>
      <c r="F21" s="54" t="n">
        <v>112601</v>
      </c>
      <c r="G21" s="54" t="n">
        <v>34029</v>
      </c>
      <c r="H21" s="54" t="n">
        <v>20407</v>
      </c>
      <c r="I21" s="55" t="n">
        <f aca="false">SUM(C21:H21)</f>
        <v>288939</v>
      </c>
      <c r="J21" s="54" t="n">
        <v>6178</v>
      </c>
      <c r="K21" s="56" t="n">
        <v>433782.21</v>
      </c>
      <c r="L21" s="54" t="n">
        <v>12122</v>
      </c>
      <c r="M21" s="56" t="n">
        <v>36263.35</v>
      </c>
      <c r="N21" s="56" t="n">
        <v>112705.05</v>
      </c>
      <c r="O21" s="54" t="n">
        <v>2212</v>
      </c>
      <c r="P21" s="56" t="n">
        <v>31498.63</v>
      </c>
      <c r="Q21" s="56" t="n">
        <v>11536.59</v>
      </c>
      <c r="R21" s="56" t="n">
        <v>1733.24</v>
      </c>
      <c r="S21" s="27"/>
      <c r="T21" s="27"/>
      <c r="U21" s="57" t="n">
        <f aca="false">IFERROR(J21/I21,0)</f>
        <v>0.0213816757170199</v>
      </c>
      <c r="V21" s="58" t="n">
        <f aca="false">IFERROR(K21/J21,0)</f>
        <v>70.2140191000324</v>
      </c>
      <c r="W21" s="59" t="n">
        <f aca="false">IFERROR(L21/J21,0)</f>
        <v>1.96212366461638</v>
      </c>
      <c r="X21" s="22" t="n">
        <f aca="false">IFERROR(M21/(K21+M21),0)</f>
        <v>0.0771485853413869</v>
      </c>
      <c r="Y21" s="22" t="n">
        <f aca="false">IFERROR(N21/K21,0)</f>
        <v>0.259819437961737</v>
      </c>
      <c r="Z21" s="22" t="n">
        <f aca="false">IFERROR(O21/J21,0)</f>
        <v>0.358044674651991</v>
      </c>
      <c r="AA21" s="58" t="n">
        <f aca="false">IFERROR(P21/C21,0)</f>
        <v>0.431009838398489</v>
      </c>
      <c r="AB21" s="58" t="n">
        <f aca="false">IFERROR(Q21/D21,0)</f>
        <v>0.286367224345927</v>
      </c>
      <c r="AC21" s="58" t="n">
        <f aca="false">IFERROR(R21/E21,0)</f>
        <v>0.203074399531342</v>
      </c>
      <c r="AD21" s="57" t="n">
        <f aca="false">IFERROR(F21/F$58,0)</f>
        <v>0.0191309462564503</v>
      </c>
      <c r="AE21" s="57" t="n">
        <f aca="false">IFERROR(G21/G$58,0)</f>
        <v>0.0189131641825388</v>
      </c>
      <c r="AF21" s="57" t="n">
        <f aca="false">IFERROR(H21/H$58,0)</f>
        <v>0.0198220897749216</v>
      </c>
      <c r="AG21" s="57" t="n">
        <f aca="false">IFERROR(P21/P$58,0)</f>
        <v>0.0206554748556592</v>
      </c>
      <c r="AH21" s="57" t="n">
        <f aca="false">IFERROR(Q21/Q$58,0)</f>
        <v>0.018448625723633</v>
      </c>
      <c r="AI21" s="57" t="n">
        <f aca="false">IFERROR(R21/R$58,0)</f>
        <v>0.0197790169238382</v>
      </c>
      <c r="AJ21" s="49" t="n">
        <f aca="false">K21-N21</f>
        <v>321077.16</v>
      </c>
      <c r="AK21" s="57" t="n">
        <f aca="false">IFERROR(I21/I$58,0)</f>
        <v>0.0194191794329921</v>
      </c>
    </row>
    <row r="22" customFormat="false" ht="15" hidden="false" customHeight="false" outlineLevel="0" collapsed="false">
      <c r="A22" s="13" t="n">
        <v>17</v>
      </c>
      <c r="B22" s="53"/>
      <c r="C22" s="54" t="n">
        <v>64133</v>
      </c>
      <c r="D22" s="54" t="n">
        <v>37653</v>
      </c>
      <c r="E22" s="54" t="n">
        <v>7985</v>
      </c>
      <c r="F22" s="54" t="n">
        <v>111025</v>
      </c>
      <c r="G22" s="54" t="n">
        <v>30833</v>
      </c>
      <c r="H22" s="54" t="n">
        <v>19100</v>
      </c>
      <c r="I22" s="55" t="n">
        <f aca="false">SUM(C22:H22)</f>
        <v>270729</v>
      </c>
      <c r="J22" s="54" t="n">
        <v>5709</v>
      </c>
      <c r="K22" s="56" t="n">
        <v>412443.66</v>
      </c>
      <c r="L22" s="54" t="n">
        <v>10948</v>
      </c>
      <c r="M22" s="56" t="n">
        <v>35612.73</v>
      </c>
      <c r="N22" s="56" t="n">
        <v>108421.63</v>
      </c>
      <c r="O22" s="54" t="n">
        <v>2083</v>
      </c>
      <c r="P22" s="56" t="n">
        <v>26465.59</v>
      </c>
      <c r="Q22" s="56" t="n">
        <v>10762.54</v>
      </c>
      <c r="R22" s="56" t="n">
        <v>1584.87</v>
      </c>
      <c r="S22" s="27"/>
      <c r="T22" s="27"/>
      <c r="U22" s="57" t="n">
        <f aca="false">IFERROR(J22/I22,0)</f>
        <v>0.021087508172379</v>
      </c>
      <c r="V22" s="58" t="n">
        <f aca="false">IFERROR(K22/J22,0)</f>
        <v>72.2444666316343</v>
      </c>
      <c r="W22" s="59" t="n">
        <f aca="false">IFERROR(L22/J22,0)</f>
        <v>1.91767384830969</v>
      </c>
      <c r="X22" s="22" t="n">
        <f aca="false">IFERROR(M22/(K22+M22),0)</f>
        <v>0.0794826963632859</v>
      </c>
      <c r="Y22" s="22" t="n">
        <f aca="false">IFERROR(N22/K22,0)</f>
        <v>0.262876219263499</v>
      </c>
      <c r="Z22" s="22" t="n">
        <f aca="false">IFERROR(O22/J22,0)</f>
        <v>0.364862497810475</v>
      </c>
      <c r="AA22" s="58" t="n">
        <f aca="false">IFERROR(P22/C22,0)</f>
        <v>0.412667269580403</v>
      </c>
      <c r="AB22" s="58" t="n">
        <f aca="false">IFERROR(Q22/D22,0)</f>
        <v>0.285834860436087</v>
      </c>
      <c r="AC22" s="58" t="n">
        <f aca="false">IFERROR(R22/E22,0)</f>
        <v>0.19848090169067</v>
      </c>
      <c r="AD22" s="57" t="n">
        <f aca="false">IFERROR(F22/F$58,0)</f>
        <v>0.0188631833475936</v>
      </c>
      <c r="AE22" s="57" t="n">
        <f aca="false">IFERROR(G22/G$58,0)</f>
        <v>0.0171368418478421</v>
      </c>
      <c r="AF22" s="57" t="n">
        <f aca="false">IFERROR(H22/H$58,0)</f>
        <v>0.0185525513157741</v>
      </c>
      <c r="AG22" s="57" t="n">
        <f aca="false">IFERROR(P22/P$58,0)</f>
        <v>0.0173550192114763</v>
      </c>
      <c r="AH22" s="57" t="n">
        <f aca="false">IFERROR(Q22/Q$58,0)</f>
        <v>0.0172108111925299</v>
      </c>
      <c r="AI22" s="57" t="n">
        <f aca="false">IFERROR(R22/R$58,0)</f>
        <v>0.0180858799428143</v>
      </c>
      <c r="AJ22" s="49" t="n">
        <f aca="false">K22-N22</f>
        <v>304022.03</v>
      </c>
      <c r="AK22" s="57" t="n">
        <f aca="false">IFERROR(I22/I$58,0)</f>
        <v>0.0181953112204117</v>
      </c>
    </row>
    <row r="23" customFormat="false" ht="15" hidden="false" customHeight="false" outlineLevel="0" collapsed="false">
      <c r="A23" s="13" t="n">
        <v>18</v>
      </c>
      <c r="B23" s="53"/>
      <c r="C23" s="54" t="n">
        <v>70005</v>
      </c>
      <c r="D23" s="54" t="n">
        <v>41102</v>
      </c>
      <c r="E23" s="54" t="n">
        <v>9157</v>
      </c>
      <c r="F23" s="54" t="n">
        <v>122065</v>
      </c>
      <c r="G23" s="54" t="n">
        <v>33288</v>
      </c>
      <c r="H23" s="54" t="n">
        <v>20116</v>
      </c>
      <c r="I23" s="55" t="n">
        <f aca="false">SUM(C23:H23)</f>
        <v>295733</v>
      </c>
      <c r="J23" s="54" t="n">
        <v>6233</v>
      </c>
      <c r="K23" s="56" t="n">
        <v>457140.48</v>
      </c>
      <c r="L23" s="54" t="n">
        <v>11564</v>
      </c>
      <c r="M23" s="56" t="n">
        <v>39132.89</v>
      </c>
      <c r="N23" s="56" t="n">
        <v>115303.95</v>
      </c>
      <c r="O23" s="54" t="n">
        <v>2191</v>
      </c>
      <c r="P23" s="56" t="n">
        <v>29259.46</v>
      </c>
      <c r="Q23" s="56" t="n">
        <v>12041.48</v>
      </c>
      <c r="R23" s="56" t="n">
        <v>1787.21</v>
      </c>
      <c r="S23" s="27"/>
      <c r="T23" s="27" t="s">
        <v>487</v>
      </c>
      <c r="U23" s="57" t="n">
        <f aca="false">IFERROR(J23/I23,0)</f>
        <v>0.021076443954513</v>
      </c>
      <c r="V23" s="58" t="n">
        <f aca="false">IFERROR(K23/J23,0)</f>
        <v>73.3419669501043</v>
      </c>
      <c r="W23" s="59" t="n">
        <f aca="false">IFERROR(L23/J23,0)</f>
        <v>1.85528637895075</v>
      </c>
      <c r="X23" s="22" t="n">
        <f aca="false">IFERROR(M23/(K23+M23),0)</f>
        <v>0.0788534956046503</v>
      </c>
      <c r="Y23" s="22" t="n">
        <f aca="false">IFERROR(N23/K23,0)</f>
        <v>0.252228702214252</v>
      </c>
      <c r="Z23" s="22" t="n">
        <f aca="false">IFERROR(O23/J23,0)</f>
        <v>0.351516123856891</v>
      </c>
      <c r="AA23" s="58" t="n">
        <f aca="false">IFERROR(P23/C23,0)</f>
        <v>0.41796243125491</v>
      </c>
      <c r="AB23" s="58" t="n">
        <f aca="false">IFERROR(Q23/D23,0)</f>
        <v>0.29296579241886</v>
      </c>
      <c r="AC23" s="58" t="n">
        <f aca="false">IFERROR(R23/E23,0)</f>
        <v>0.195174183684613</v>
      </c>
      <c r="AD23" s="57" t="n">
        <f aca="false">IFERROR(F23/F$58,0)</f>
        <v>0.0207388829121731</v>
      </c>
      <c r="AE23" s="57" t="n">
        <f aca="false">IFERROR(G23/G$58,0)</f>
        <v>0.0185013197363529</v>
      </c>
      <c r="AF23" s="57" t="n">
        <f aca="false">IFERROR(H23/H$58,0)</f>
        <v>0.0195394304852415</v>
      </c>
      <c r="AG23" s="57" t="n">
        <f aca="false">IFERROR(P23/P$58,0)</f>
        <v>0.0191871214817967</v>
      </c>
      <c r="AH23" s="57" t="n">
        <f aca="false">IFERROR(Q23/Q$58,0)</f>
        <v>0.0192560156578861</v>
      </c>
      <c r="AI23" s="57" t="n">
        <f aca="false">IFERROR(R23/R$58,0)</f>
        <v>0.0203949002079647</v>
      </c>
      <c r="AJ23" s="49" t="n">
        <f aca="false">K23-N23</f>
        <v>341836.53</v>
      </c>
      <c r="AK23" s="57" t="n">
        <f aca="false">IFERROR(I23/I$58,0)</f>
        <v>0.0198757945146106</v>
      </c>
    </row>
    <row r="24" customFormat="false" ht="15" hidden="false" customHeight="false" outlineLevel="0" collapsed="false">
      <c r="A24" s="13" t="n">
        <v>19</v>
      </c>
      <c r="B24" s="53"/>
      <c r="C24" s="54" t="n">
        <v>71691</v>
      </c>
      <c r="D24" s="54" t="n">
        <v>36626</v>
      </c>
      <c r="E24" s="54" t="n">
        <v>8045</v>
      </c>
      <c r="F24" s="54" t="n">
        <v>112943</v>
      </c>
      <c r="G24" s="54" t="n">
        <v>28218</v>
      </c>
      <c r="H24" s="54" t="n">
        <v>18280</v>
      </c>
      <c r="I24" s="55" t="n">
        <f aca="false">SUM(C24:H24)</f>
        <v>275803</v>
      </c>
      <c r="J24" s="54" t="n">
        <v>5933</v>
      </c>
      <c r="K24" s="56" t="n">
        <v>425878.18</v>
      </c>
      <c r="L24" s="54" t="n">
        <v>11649</v>
      </c>
      <c r="M24" s="56" t="n">
        <v>34993.89</v>
      </c>
      <c r="N24" s="56" t="n">
        <v>113338</v>
      </c>
      <c r="O24" s="54" t="n">
        <v>2188</v>
      </c>
      <c r="P24" s="56" t="n">
        <v>29380.03</v>
      </c>
      <c r="Q24" s="56" t="n">
        <v>10648.01</v>
      </c>
      <c r="R24" s="56" t="n">
        <v>1657.27</v>
      </c>
      <c r="S24" s="27"/>
      <c r="T24" s="27"/>
      <c r="U24" s="57" t="n">
        <f aca="false">IFERROR(J24/I24,0)</f>
        <v>0.0215117311994431</v>
      </c>
      <c r="V24" s="58" t="n">
        <f aca="false">IFERROR(K24/J24,0)</f>
        <v>71.7812540030339</v>
      </c>
      <c r="W24" s="59" t="n">
        <f aca="false">IFERROR(L24/J24,0)</f>
        <v>1.96342491151188</v>
      </c>
      <c r="X24" s="22" t="n">
        <f aca="false">IFERROR(M24/(K24+M24),0)</f>
        <v>0.0759297260083476</v>
      </c>
      <c r="Y24" s="22" t="n">
        <f aca="false">IFERROR(N24/K24,0)</f>
        <v>0.266127745732359</v>
      </c>
      <c r="Z24" s="22" t="n">
        <f aca="false">IFERROR(O24/J24,0)</f>
        <v>0.368784763188943</v>
      </c>
      <c r="AA24" s="58" t="n">
        <f aca="false">IFERROR(P24/C24,0)</f>
        <v>0.409814760569667</v>
      </c>
      <c r="AB24" s="58" t="n">
        <f aca="false">IFERROR(Q24/D24,0)</f>
        <v>0.290722710642713</v>
      </c>
      <c r="AC24" s="58" t="n">
        <f aca="false">IFERROR(R24/E24,0)</f>
        <v>0.206</v>
      </c>
      <c r="AD24" s="57" t="n">
        <f aca="false">IFERROR(F24/F$58,0)</f>
        <v>0.0191890521668747</v>
      </c>
      <c r="AE24" s="57" t="n">
        <f aca="false">IFERROR(G24/G$58,0)</f>
        <v>0.0156834366835017</v>
      </c>
      <c r="AF24" s="57" t="n">
        <f aca="false">IFERROR(H24/H$58,0)</f>
        <v>0.0177560543482906</v>
      </c>
      <c r="AG24" s="57" t="n">
        <f aca="false">IFERROR(P24/P$58,0)</f>
        <v>0.01926618620948</v>
      </c>
      <c r="AH24" s="57" t="n">
        <f aca="false">IFERROR(Q24/Q$58,0)</f>
        <v>0.0170276616566508</v>
      </c>
      <c r="AI24" s="57" t="n">
        <f aca="false">IFERROR(R24/R$58,0)</f>
        <v>0.0189120787527228</v>
      </c>
      <c r="AJ24" s="49" t="n">
        <f aca="false">K24-N24</f>
        <v>312540.18</v>
      </c>
      <c r="AK24" s="57" t="n">
        <f aca="false">IFERROR(I24/I$58,0)</f>
        <v>0.01853632754719</v>
      </c>
    </row>
    <row r="25" customFormat="false" ht="15" hidden="false" customHeight="false" outlineLevel="0" collapsed="false">
      <c r="A25" s="13" t="n">
        <v>20</v>
      </c>
      <c r="B25" s="53"/>
      <c r="C25" s="54" t="n">
        <v>68614</v>
      </c>
      <c r="D25" s="54" t="n">
        <v>37298</v>
      </c>
      <c r="E25" s="54" t="n">
        <v>7772</v>
      </c>
      <c r="F25" s="54" t="n">
        <v>108862</v>
      </c>
      <c r="G25" s="54" t="n">
        <v>30373</v>
      </c>
      <c r="H25" s="54" t="n">
        <v>19635</v>
      </c>
      <c r="I25" s="55" t="n">
        <f aca="false">SUM(C25:H25)</f>
        <v>272554</v>
      </c>
      <c r="J25" s="54" t="n">
        <v>5738</v>
      </c>
      <c r="K25" s="56" t="n">
        <v>401939.27</v>
      </c>
      <c r="L25" s="54" t="n">
        <v>11218</v>
      </c>
      <c r="M25" s="56" t="n">
        <v>34838.65</v>
      </c>
      <c r="N25" s="56" t="n">
        <v>108546.67</v>
      </c>
      <c r="O25" s="54" t="n">
        <v>2040</v>
      </c>
      <c r="P25" s="56" t="n">
        <v>30100.3</v>
      </c>
      <c r="Q25" s="56" t="n">
        <v>11176.83</v>
      </c>
      <c r="R25" s="56" t="n">
        <v>1501.21</v>
      </c>
      <c r="S25" s="27"/>
      <c r="T25" s="27"/>
      <c r="U25" s="57" t="n">
        <f aca="false">IFERROR(J25/I25,0)</f>
        <v>0.0210527088210043</v>
      </c>
      <c r="V25" s="58" t="n">
        <f aca="false">IFERROR(K25/J25,0)</f>
        <v>70.0486702683862</v>
      </c>
      <c r="W25" s="59" t="n">
        <f aca="false">IFERROR(L25/J25,0)</f>
        <v>1.95503659811781</v>
      </c>
      <c r="X25" s="22" t="n">
        <f aca="false">IFERROR(M25/(K25+M25),0)</f>
        <v>0.0797628460706072</v>
      </c>
      <c r="Y25" s="22" t="n">
        <f aca="false">IFERROR(N25/K25,0)</f>
        <v>0.270057389515585</v>
      </c>
      <c r="Z25" s="22" t="n">
        <f aca="false">IFERROR(O25/J25,0)</f>
        <v>0.355524573021959</v>
      </c>
      <c r="AA25" s="58" t="n">
        <f aca="false">IFERROR(P25/C25,0)</f>
        <v>0.4386903547381</v>
      </c>
      <c r="AB25" s="58" t="n">
        <f aca="false">IFERROR(Q25/D25,0)</f>
        <v>0.299662984610435</v>
      </c>
      <c r="AC25" s="58" t="n">
        <f aca="false">IFERROR(R25/E25,0)</f>
        <v>0.193156201749871</v>
      </c>
      <c r="AD25" s="57" t="n">
        <f aca="false">IFERROR(F25/F$58,0)</f>
        <v>0.0184956889492073</v>
      </c>
      <c r="AE25" s="57" t="n">
        <f aca="false">IFERROR(G25/G$58,0)</f>
        <v>0.0168811759298319</v>
      </c>
      <c r="AF25" s="57" t="n">
        <f aca="false">IFERROR(H25/H$58,0)</f>
        <v>0.0190722170201689</v>
      </c>
      <c r="AG25" s="57" t="n">
        <f aca="false">IFERROR(P25/P$58,0)</f>
        <v>0.0197385089382553</v>
      </c>
      <c r="AH25" s="57" t="n">
        <f aca="false">IFERROR(Q25/Q$58,0)</f>
        <v>0.017873319017723</v>
      </c>
      <c r="AI25" s="57" t="n">
        <f aca="false">IFERROR(R25/R$58,0)</f>
        <v>0.0171311866771105</v>
      </c>
      <c r="AJ25" s="49" t="n">
        <f aca="false">K25-N25</f>
        <v>293392.6</v>
      </c>
      <c r="AK25" s="57" t="n">
        <f aca="false">IFERROR(I25/I$58,0)</f>
        <v>0.0183179668759833</v>
      </c>
    </row>
    <row r="26" customFormat="false" ht="15" hidden="false" customHeight="false" outlineLevel="0" collapsed="false">
      <c r="A26" s="13" t="n">
        <v>21</v>
      </c>
      <c r="B26" s="53" t="s">
        <v>426</v>
      </c>
      <c r="C26" s="54" t="n">
        <v>99655</v>
      </c>
      <c r="D26" s="54" t="n">
        <v>58254</v>
      </c>
      <c r="E26" s="54" t="n">
        <v>12025</v>
      </c>
      <c r="F26" s="54" t="n">
        <v>157021</v>
      </c>
      <c r="G26" s="54" t="n">
        <v>69349</v>
      </c>
      <c r="H26" s="54" t="n">
        <v>26500</v>
      </c>
      <c r="I26" s="55" t="n">
        <f aca="false">SUM(C26:H26)</f>
        <v>422804</v>
      </c>
      <c r="J26" s="54" t="n">
        <v>10794</v>
      </c>
      <c r="K26" s="56" t="n">
        <v>687505.36</v>
      </c>
      <c r="L26" s="54" t="n">
        <v>20233</v>
      </c>
      <c r="M26" s="56" t="n">
        <v>312624.76</v>
      </c>
      <c r="N26" s="56" t="n">
        <v>162242.25</v>
      </c>
      <c r="O26" s="54" t="n">
        <v>4657</v>
      </c>
      <c r="P26" s="56" t="n">
        <v>40274.3</v>
      </c>
      <c r="Q26" s="56" t="n">
        <v>17214.09</v>
      </c>
      <c r="R26" s="56" t="n">
        <v>2298.61</v>
      </c>
      <c r="S26" s="27"/>
      <c r="T26" s="27"/>
      <c r="U26" s="57" t="n">
        <f aca="false">IFERROR(J26/I26,0)</f>
        <v>0.0255295597960284</v>
      </c>
      <c r="V26" s="58" t="n">
        <f aca="false">IFERROR(K26/J26,0)</f>
        <v>63.6932888641838</v>
      </c>
      <c r="W26" s="59" t="n">
        <f aca="false">IFERROR(L26/J26,0)</f>
        <v>1.87446729664629</v>
      </c>
      <c r="X26" s="22" t="n">
        <f aca="false">IFERROR(M26/(K26+M26),0)</f>
        <v>0.312584086558657</v>
      </c>
      <c r="Y26" s="22" t="n">
        <f aca="false">IFERROR(N26/K26,0)</f>
        <v>0.235986887433139</v>
      </c>
      <c r="Z26" s="22" t="n">
        <f aca="false">IFERROR(O26/J26,0)</f>
        <v>0.431443394478414</v>
      </c>
      <c r="AA26" s="58" t="n">
        <f aca="false">IFERROR(P26/C26,0)</f>
        <v>0.404137273593899</v>
      </c>
      <c r="AB26" s="58" t="n">
        <f aca="false">IFERROR(Q26/D26,0)</f>
        <v>0.295500566484705</v>
      </c>
      <c r="AC26" s="58" t="n">
        <f aca="false">IFERROR(R26/E26,0)</f>
        <v>0.191152598752599</v>
      </c>
      <c r="AD26" s="57" t="n">
        <f aca="false">IFERROR(F26/F$58,0)</f>
        <v>0.0266779185987165</v>
      </c>
      <c r="AE26" s="57" t="n">
        <f aca="false">IFERROR(G26/G$58,0)</f>
        <v>0.0385438603219279</v>
      </c>
      <c r="AF26" s="57" t="n">
        <f aca="false">IFERROR(H26/H$58,0)</f>
        <v>0.0257404507784301</v>
      </c>
      <c r="AG26" s="57" t="n">
        <f aca="false">IFERROR(P26/P$58,0)</f>
        <v>0.0264101896171127</v>
      </c>
      <c r="AH26" s="57" t="n">
        <f aca="false">IFERROR(Q26/Q$58,0)</f>
        <v>0.0275277446440355</v>
      </c>
      <c r="AI26" s="57" t="n">
        <f aca="false">IFERROR(R26/R$58,0)</f>
        <v>0.0262307851718767</v>
      </c>
      <c r="AJ26" s="49" t="n">
        <f aca="false">K26-N26</f>
        <v>525263.11</v>
      </c>
      <c r="AK26" s="57" t="n">
        <f aca="false">IFERROR(I26/I$58,0)</f>
        <v>0.0284160557798941</v>
      </c>
    </row>
    <row r="27" customFormat="false" ht="15" hidden="false" customHeight="false" outlineLevel="0" collapsed="false">
      <c r="A27" s="13" t="n">
        <v>22</v>
      </c>
      <c r="B27" s="53" t="s">
        <v>428</v>
      </c>
      <c r="C27" s="54" t="n">
        <v>87335</v>
      </c>
      <c r="D27" s="54" t="n">
        <v>50996</v>
      </c>
      <c r="E27" s="54" t="n">
        <v>10672</v>
      </c>
      <c r="F27" s="54" t="n">
        <v>142658</v>
      </c>
      <c r="G27" s="54" t="n">
        <v>39441</v>
      </c>
      <c r="H27" s="54" t="n">
        <v>23437</v>
      </c>
      <c r="I27" s="55" t="n">
        <f aca="false">SUM(C27:H27)</f>
        <v>354539</v>
      </c>
      <c r="J27" s="54" t="n">
        <v>8664</v>
      </c>
      <c r="K27" s="56" t="n">
        <v>550449.16</v>
      </c>
      <c r="L27" s="54" t="n">
        <v>15967</v>
      </c>
      <c r="M27" s="56" t="n">
        <v>227009.05</v>
      </c>
      <c r="N27" s="56" t="n">
        <v>121179.89</v>
      </c>
      <c r="O27" s="54" t="n">
        <v>3713</v>
      </c>
      <c r="P27" s="56" t="n">
        <v>38453.95</v>
      </c>
      <c r="Q27" s="56" t="n">
        <v>15014.51</v>
      </c>
      <c r="R27" s="56" t="n">
        <v>2216.27</v>
      </c>
      <c r="S27" s="27"/>
      <c r="T27" s="27"/>
      <c r="U27" s="57" t="n">
        <f aca="false">IFERROR(J27/I27,0)</f>
        <v>0.0244373679623398</v>
      </c>
      <c r="V27" s="58" t="n">
        <f aca="false">IFERROR(K27/J27,0)</f>
        <v>63.5329132040628</v>
      </c>
      <c r="W27" s="59" t="n">
        <f aca="false">IFERROR(L27/J27,0)</f>
        <v>1.84291320406279</v>
      </c>
      <c r="X27" s="22" t="n">
        <f aca="false">IFERROR(M27/(K27+M27),0)</f>
        <v>0.291988748822911</v>
      </c>
      <c r="Y27" s="22" t="n">
        <f aca="false">IFERROR(N27/K27,0)</f>
        <v>0.220147288443496</v>
      </c>
      <c r="Z27" s="22" t="n">
        <f aca="false">IFERROR(O27/J27,0)</f>
        <v>0.428554939981533</v>
      </c>
      <c r="AA27" s="58" t="n">
        <f aca="false">IFERROR(P27/C27,0)</f>
        <v>0.440304001832026</v>
      </c>
      <c r="AB27" s="58" t="n">
        <f aca="false">IFERROR(Q27/D27,0)</f>
        <v>0.29442524903914</v>
      </c>
      <c r="AC27" s="58" t="n">
        <f aca="false">IFERROR(R27/E27,0)</f>
        <v>0.207671476761619</v>
      </c>
      <c r="AD27" s="57" t="n">
        <f aca="false">IFERROR(F27/F$58,0)</f>
        <v>0.0242376402612116</v>
      </c>
      <c r="AE27" s="57" t="n">
        <f aca="false">IFERROR(G27/G$58,0)</f>
        <v>0.0219211292874758</v>
      </c>
      <c r="AF27" s="57" t="n">
        <f aca="false">IFERROR(H27/H$58,0)</f>
        <v>0.0227652432035497</v>
      </c>
      <c r="AG27" s="57" t="n">
        <f aca="false">IFERROR(P27/P$58,0)</f>
        <v>0.0252164807588703</v>
      </c>
      <c r="AH27" s="57" t="n">
        <f aca="false">IFERROR(Q27/Q$58,0)</f>
        <v>0.0240103076744293</v>
      </c>
      <c r="AI27" s="57" t="n">
        <f aca="false">IFERROR(R27/R$58,0)</f>
        <v>0.0252911551993924</v>
      </c>
      <c r="AJ27" s="49" t="n">
        <f aca="false">K27-N27</f>
        <v>429269.27</v>
      </c>
      <c r="AK27" s="57" t="n">
        <f aca="false">IFERROR(I27/I$58,0)</f>
        <v>0.0238280621757312</v>
      </c>
    </row>
    <row r="28" customFormat="false" ht="15" hidden="false" customHeight="false" outlineLevel="0" collapsed="false">
      <c r="A28" s="13" t="n">
        <v>23</v>
      </c>
      <c r="B28" s="53" t="s">
        <v>428</v>
      </c>
      <c r="C28" s="54" t="n">
        <v>81362</v>
      </c>
      <c r="D28" s="54" t="n">
        <v>43774</v>
      </c>
      <c r="E28" s="54" t="n">
        <v>8722</v>
      </c>
      <c r="F28" s="54" t="n">
        <v>129675</v>
      </c>
      <c r="G28" s="54" t="n">
        <v>33671</v>
      </c>
      <c r="H28" s="54" t="n">
        <v>22705</v>
      </c>
      <c r="I28" s="55" t="n">
        <f aca="false">SUM(C28:H28)</f>
        <v>319909</v>
      </c>
      <c r="J28" s="54" t="n">
        <v>7396</v>
      </c>
      <c r="K28" s="56" t="n">
        <v>479810.91</v>
      </c>
      <c r="L28" s="54" t="n">
        <v>14291</v>
      </c>
      <c r="M28" s="56" t="n">
        <v>187976.7</v>
      </c>
      <c r="N28" s="56" t="n">
        <v>112287.39</v>
      </c>
      <c r="O28" s="54" t="n">
        <v>3165</v>
      </c>
      <c r="P28" s="56" t="n">
        <v>33060.92</v>
      </c>
      <c r="Q28" s="56" t="n">
        <v>13659.31</v>
      </c>
      <c r="R28" s="56" t="n">
        <v>1750.68</v>
      </c>
      <c r="S28" s="27"/>
      <c r="T28" s="27"/>
      <c r="U28" s="57" t="n">
        <f aca="false">IFERROR(J28/I28,0)</f>
        <v>0.0231190744868072</v>
      </c>
      <c r="V28" s="58" t="n">
        <f aca="false">IFERROR(K28/J28,0)</f>
        <v>64.8743793942672</v>
      </c>
      <c r="W28" s="59" t="n">
        <f aca="false">IFERROR(L28/J28,0)</f>
        <v>1.93226068144943</v>
      </c>
      <c r="X28" s="22" t="n">
        <f aca="false">IFERROR(M28/(K28+M28),0)</f>
        <v>0.281491745556645</v>
      </c>
      <c r="Y28" s="22" t="n">
        <f aca="false">IFERROR(N28/K28,0)</f>
        <v>0.234024253429335</v>
      </c>
      <c r="Z28" s="22" t="n">
        <f aca="false">IFERROR(O28/J28,0)</f>
        <v>0.427934018388318</v>
      </c>
      <c r="AA28" s="58" t="n">
        <f aca="false">IFERROR(P28/C28,0)</f>
        <v>0.406343501880485</v>
      </c>
      <c r="AB28" s="58" t="n">
        <f aca="false">IFERROR(Q28/D28,0)</f>
        <v>0.312041622881162</v>
      </c>
      <c r="AC28" s="58" t="n">
        <f aca="false">IFERROR(R28/E28,0)</f>
        <v>0.200720018344416</v>
      </c>
      <c r="AD28" s="57" t="n">
        <f aca="false">IFERROR(F28/F$58,0)</f>
        <v>0.022031824369279</v>
      </c>
      <c r="AE28" s="57" t="n">
        <f aca="false">IFERROR(G28/G$58,0)</f>
        <v>0.01871418940287</v>
      </c>
      <c r="AF28" s="57" t="n">
        <f aca="false">IFERROR(H28/H$58,0)</f>
        <v>0.0220542239594059</v>
      </c>
      <c r="AG28" s="57" t="n">
        <f aca="false">IFERROR(P28/P$58,0)</f>
        <v>0.0216799588351925</v>
      </c>
      <c r="AH28" s="57" t="n">
        <f aca="false">IFERROR(Q28/Q$58,0)</f>
        <v>0.0218431527715796</v>
      </c>
      <c r="AI28" s="57" t="n">
        <f aca="false">IFERROR(R28/R$58,0)</f>
        <v>0.0199780349797056</v>
      </c>
      <c r="AJ28" s="49" t="n">
        <f aca="false">K28-N28</f>
        <v>367523.52</v>
      </c>
      <c r="AK28" s="57" t="n">
        <f aca="false">IFERROR(I28/I$58,0)</f>
        <v>0.0215006291058981</v>
      </c>
    </row>
    <row r="29" customFormat="false" ht="15" hidden="false" customHeight="false" outlineLevel="0" collapsed="false">
      <c r="A29" s="13" t="n">
        <v>24</v>
      </c>
      <c r="B29" s="53"/>
      <c r="C29" s="54" t="n">
        <v>63816</v>
      </c>
      <c r="D29" s="54" t="n">
        <v>38894</v>
      </c>
      <c r="E29" s="54" t="n">
        <v>7787</v>
      </c>
      <c r="F29" s="54" t="n">
        <v>101720</v>
      </c>
      <c r="G29" s="54" t="n">
        <v>30707</v>
      </c>
      <c r="H29" s="54" t="n">
        <v>19717</v>
      </c>
      <c r="I29" s="55" t="n">
        <f aca="false">SUM(C29:H29)</f>
        <v>262641</v>
      </c>
      <c r="J29" s="54" t="n">
        <v>5425</v>
      </c>
      <c r="K29" s="56" t="n">
        <v>397968.16</v>
      </c>
      <c r="L29" s="54" t="n">
        <v>10397</v>
      </c>
      <c r="M29" s="56" t="n">
        <v>36928.45</v>
      </c>
      <c r="N29" s="56" t="n">
        <v>104581.65</v>
      </c>
      <c r="O29" s="54" t="n">
        <v>1990</v>
      </c>
      <c r="P29" s="56" t="n">
        <v>27777.25</v>
      </c>
      <c r="Q29" s="56" t="n">
        <v>11571.95</v>
      </c>
      <c r="R29" s="56" t="n">
        <v>1549.08</v>
      </c>
      <c r="S29" s="27"/>
      <c r="T29" s="27"/>
      <c r="U29" s="57" t="n">
        <f aca="false">IFERROR(J29/I29,0)</f>
        <v>0.0206555716738818</v>
      </c>
      <c r="V29" s="58" t="n">
        <f aca="false">IFERROR(K29/J29,0)</f>
        <v>73.3581861751152</v>
      </c>
      <c r="W29" s="59" t="n">
        <f aca="false">IFERROR(L29/J29,0)</f>
        <v>1.91649769585253</v>
      </c>
      <c r="X29" s="22" t="n">
        <f aca="false">IFERROR(M29/(K29+M29),0)</f>
        <v>0.0849131705119523</v>
      </c>
      <c r="Y29" s="22" t="n">
        <f aca="false">IFERROR(N29/K29,0)</f>
        <v>0.262788987943156</v>
      </c>
      <c r="Z29" s="22" t="n">
        <f aca="false">IFERROR(O29/J29,0)</f>
        <v>0.366820276497696</v>
      </c>
      <c r="AA29" s="58" t="n">
        <f aca="false">IFERROR(P29/C29,0)</f>
        <v>0.435270935188667</v>
      </c>
      <c r="AB29" s="58" t="n">
        <f aca="false">IFERROR(Q29/D29,0)</f>
        <v>0.297525325242968</v>
      </c>
      <c r="AC29" s="58" t="n">
        <f aca="false">IFERROR(R29/E29,0)</f>
        <v>0.198931552587646</v>
      </c>
      <c r="AD29" s="57" t="n">
        <f aca="false">IFERROR(F29/F$58,0)</f>
        <v>0.0172822608432085</v>
      </c>
      <c r="AE29" s="57" t="n">
        <f aca="false">IFERROR(G29/G$58,0)</f>
        <v>0.0170668116181263</v>
      </c>
      <c r="AF29" s="57" t="n">
        <f aca="false">IFERROR(H29/H$58,0)</f>
        <v>0.0191518667169172</v>
      </c>
      <c r="AG29" s="57" t="n">
        <f aca="false">IFERROR(P29/P$58,0)</f>
        <v>0.0182151505933547</v>
      </c>
      <c r="AH29" s="57" t="n">
        <f aca="false">IFERROR(Q29/Q$58,0)</f>
        <v>0.0185051713238136</v>
      </c>
      <c r="AI29" s="57" t="n">
        <f aca="false">IFERROR(R29/R$58,0)</f>
        <v>0.0176774592880266</v>
      </c>
      <c r="AJ29" s="49" t="n">
        <f aca="false">K29-N29</f>
        <v>293386.51</v>
      </c>
      <c r="AK29" s="57" t="n">
        <f aca="false">IFERROR(I29/I$58,0)</f>
        <v>0.0176517282383496</v>
      </c>
    </row>
    <row r="30" customFormat="false" ht="15" hidden="false" customHeight="false" outlineLevel="0" collapsed="false">
      <c r="A30" s="13" t="n">
        <v>25</v>
      </c>
      <c r="B30" s="53"/>
      <c r="C30" s="54" t="n">
        <v>65601</v>
      </c>
      <c r="D30" s="54" t="n">
        <v>37188</v>
      </c>
      <c r="E30" s="54" t="n">
        <v>8007</v>
      </c>
      <c r="F30" s="54" t="n">
        <v>100118</v>
      </c>
      <c r="G30" s="54" t="n">
        <v>28489</v>
      </c>
      <c r="H30" s="54" t="n">
        <v>16843</v>
      </c>
      <c r="I30" s="55" t="n">
        <f aca="false">SUM(C30:H30)</f>
        <v>256246</v>
      </c>
      <c r="J30" s="54" t="n">
        <v>5457</v>
      </c>
      <c r="K30" s="56" t="n">
        <v>381577.95</v>
      </c>
      <c r="L30" s="54" t="n">
        <v>10144</v>
      </c>
      <c r="M30" s="56" t="n">
        <v>36005.47</v>
      </c>
      <c r="N30" s="56" t="n">
        <v>101081.35</v>
      </c>
      <c r="O30" s="54" t="n">
        <v>1940</v>
      </c>
      <c r="P30" s="56" t="n">
        <v>28190.95</v>
      </c>
      <c r="Q30" s="56" t="n">
        <v>11175.57</v>
      </c>
      <c r="R30" s="56" t="n">
        <v>1555.88</v>
      </c>
      <c r="S30" s="27"/>
      <c r="T30" s="27"/>
      <c r="U30" s="57" t="n">
        <f aca="false">IFERROR(J30/I30,0)</f>
        <v>0.0212959421805609</v>
      </c>
      <c r="V30" s="58" t="n">
        <f aca="false">IFERROR(K30/J30,0)</f>
        <v>69.9244914788345</v>
      </c>
      <c r="W30" s="59" t="n">
        <f aca="false">IFERROR(L30/J30,0)</f>
        <v>1.85889682975994</v>
      </c>
      <c r="X30" s="22" t="n">
        <f aca="false">IFERROR(M30/(K30+M30),0)</f>
        <v>0.0862234185447305</v>
      </c>
      <c r="Y30" s="22" t="n">
        <f aca="false">IFERROR(N30/K30,0)</f>
        <v>0.26490354067891</v>
      </c>
      <c r="Z30" s="22" t="n">
        <f aca="false">IFERROR(O30/J30,0)</f>
        <v>0.355506688656771</v>
      </c>
      <c r="AA30" s="58" t="n">
        <f aca="false">IFERROR(P30/C30,0)</f>
        <v>0.429733540647246</v>
      </c>
      <c r="AB30" s="58" t="n">
        <f aca="false">IFERROR(Q30/D30,0)</f>
        <v>0.300515488867377</v>
      </c>
      <c r="AC30" s="58" t="n">
        <f aca="false">IFERROR(R30/E30,0)</f>
        <v>0.194314974397402</v>
      </c>
      <c r="AD30" s="57" t="n">
        <f aca="false">IFERROR(F30/F$58,0)</f>
        <v>0.017010080525957</v>
      </c>
      <c r="AE30" s="57" t="n">
        <f aca="false">IFERROR(G30/G$58,0)</f>
        <v>0.0158340572569381</v>
      </c>
      <c r="AF30" s="57" t="n">
        <f aca="false">IFERROR(H30/H$58,0)</f>
        <v>0.0163602419796641</v>
      </c>
      <c r="AG30" s="57" t="n">
        <f aca="false">IFERROR(P30/P$58,0)</f>
        <v>0.0184864376286253</v>
      </c>
      <c r="AH30" s="57" t="n">
        <f aca="false">IFERROR(Q30/Q$58,0)</f>
        <v>0.0178713041009745</v>
      </c>
      <c r="AI30" s="57" t="n">
        <f aca="false">IFERROR(R30/R$58,0)</f>
        <v>0.0177550580712777</v>
      </c>
      <c r="AJ30" s="49" t="n">
        <f aca="false">K30-N30</f>
        <v>280496.6</v>
      </c>
      <c r="AK30" s="57" t="n">
        <f aca="false">IFERROR(I30/I$58,0)</f>
        <v>0.0172219293795109</v>
      </c>
    </row>
    <row r="31" customFormat="false" ht="15" hidden="false" customHeight="false" outlineLevel="0" collapsed="false">
      <c r="A31" s="13" t="n">
        <v>26</v>
      </c>
      <c r="B31" s="53"/>
      <c r="C31" s="54" t="n">
        <v>59650</v>
      </c>
      <c r="D31" s="54" t="n">
        <v>37133</v>
      </c>
      <c r="E31" s="54" t="n">
        <v>7746</v>
      </c>
      <c r="F31" s="54" t="n">
        <v>97148</v>
      </c>
      <c r="G31" s="54" t="n">
        <v>27411</v>
      </c>
      <c r="H31" s="54" t="n">
        <v>16600</v>
      </c>
      <c r="I31" s="55" t="n">
        <f aca="false">SUM(C31:H31)</f>
        <v>245688</v>
      </c>
      <c r="J31" s="54" t="n">
        <v>5000</v>
      </c>
      <c r="K31" s="56" t="n">
        <v>365946.2</v>
      </c>
      <c r="L31" s="54" t="n">
        <v>9175</v>
      </c>
      <c r="M31" s="56" t="n">
        <v>29955.49</v>
      </c>
      <c r="N31" s="56" t="n">
        <v>93288.56</v>
      </c>
      <c r="O31" s="54" t="n">
        <v>1710</v>
      </c>
      <c r="P31" s="56" t="n">
        <v>24763.21</v>
      </c>
      <c r="Q31" s="56" t="n">
        <v>10735.65</v>
      </c>
      <c r="R31" s="56" t="n">
        <v>1548.11</v>
      </c>
      <c r="S31" s="27"/>
      <c r="T31" s="27"/>
      <c r="U31" s="57" t="n">
        <f aca="false">IFERROR(J31/I31,0)</f>
        <v>0.0203510142945524</v>
      </c>
      <c r="V31" s="58" t="n">
        <f aca="false">IFERROR(K31/J31,0)</f>
        <v>73.18924</v>
      </c>
      <c r="W31" s="59" t="n">
        <f aca="false">IFERROR(L31/J31,0)</f>
        <v>1.835</v>
      </c>
      <c r="X31" s="22" t="n">
        <f aca="false">IFERROR(M31/(K31+M31),0)</f>
        <v>0.0756639609191868</v>
      </c>
      <c r="Y31" s="22" t="n">
        <f aca="false">IFERROR(N31/K31,0)</f>
        <v>0.254924248427774</v>
      </c>
      <c r="Z31" s="22" t="n">
        <f aca="false">IFERROR(O31/J31,0)</f>
        <v>0.342</v>
      </c>
      <c r="AA31" s="58" t="n">
        <f aca="false">IFERROR(P31/C31,0)</f>
        <v>0.415141827326069</v>
      </c>
      <c r="AB31" s="58" t="n">
        <f aca="false">IFERROR(Q31/D31,0)</f>
        <v>0.289113457032828</v>
      </c>
      <c r="AC31" s="58" t="n">
        <f aca="false">IFERROR(R31/E31,0)</f>
        <v>0.199859282210173</v>
      </c>
      <c r="AD31" s="57" t="n">
        <f aca="false">IFERROR(F31/F$58,0)</f>
        <v>0.0165054765670077</v>
      </c>
      <c r="AE31" s="57" t="n">
        <f aca="false">IFERROR(G31/G$58,0)</f>
        <v>0.0152349097360361</v>
      </c>
      <c r="AF31" s="57" t="n">
        <f aca="false">IFERROR(H31/H$58,0)</f>
        <v>0.0161242069027147</v>
      </c>
      <c r="AG31" s="57" t="n">
        <f aca="false">IFERROR(P31/P$58,0)</f>
        <v>0.0162386701104273</v>
      </c>
      <c r="AH31" s="57" t="n">
        <f aca="false">IFERROR(Q31/Q$58,0)</f>
        <v>0.0171678103104921</v>
      </c>
      <c r="AI31" s="57" t="n">
        <f aca="false">IFERROR(R31/R$58,0)</f>
        <v>0.0176663900498275</v>
      </c>
      <c r="AJ31" s="49" t="n">
        <f aca="false">K31-N31</f>
        <v>272657.64</v>
      </c>
      <c r="AK31" s="57" t="n">
        <f aca="false">IFERROR(I31/I$58,0)</f>
        <v>0.0165123412088121</v>
      </c>
    </row>
    <row r="32" customFormat="false" ht="15" hidden="false" customHeight="false" outlineLevel="0" collapsed="false">
      <c r="A32" s="13" t="n">
        <v>27</v>
      </c>
      <c r="B32" s="53"/>
      <c r="C32" s="54" t="n">
        <v>60007</v>
      </c>
      <c r="D32" s="54" t="n">
        <v>31903</v>
      </c>
      <c r="E32" s="54" t="n">
        <v>7187</v>
      </c>
      <c r="F32" s="54" t="n">
        <v>95329</v>
      </c>
      <c r="G32" s="54" t="n">
        <v>25258</v>
      </c>
      <c r="H32" s="54" t="n">
        <v>16722</v>
      </c>
      <c r="I32" s="55" t="n">
        <f aca="false">SUM(C32:H32)</f>
        <v>236406</v>
      </c>
      <c r="J32" s="54" t="n">
        <v>4844</v>
      </c>
      <c r="K32" s="56" t="n">
        <v>357390.42</v>
      </c>
      <c r="L32" s="54" t="n">
        <v>9138</v>
      </c>
      <c r="M32" s="56" t="n">
        <v>28564.17</v>
      </c>
      <c r="N32" s="56" t="n">
        <v>94617.05</v>
      </c>
      <c r="O32" s="54" t="n">
        <v>1652</v>
      </c>
      <c r="P32" s="56" t="n">
        <v>24843.46</v>
      </c>
      <c r="Q32" s="56" t="n">
        <v>9325.84</v>
      </c>
      <c r="R32" s="56" t="n">
        <v>1438.35</v>
      </c>
      <c r="S32" s="27"/>
      <c r="T32" s="27"/>
      <c r="U32" s="57" t="n">
        <f aca="false">IFERROR(J32/I32,0)</f>
        <v>0.0204901736842551</v>
      </c>
      <c r="V32" s="58" t="n">
        <f aca="false">IFERROR(K32/J32,0)</f>
        <v>73.7800206440958</v>
      </c>
      <c r="W32" s="59" t="n">
        <f aca="false">IFERROR(L32/J32,0)</f>
        <v>1.88645747316268</v>
      </c>
      <c r="X32" s="22" t="n">
        <f aca="false">IFERROR(M32/(K32+M32),0)</f>
        <v>0.0740091470346291</v>
      </c>
      <c r="Y32" s="22" t="n">
        <f aca="false">IFERROR(N32/K32,0)</f>
        <v>0.264744225656636</v>
      </c>
      <c r="Z32" s="22" t="n">
        <f aca="false">IFERROR(O32/J32,0)</f>
        <v>0.341040462427746</v>
      </c>
      <c r="AA32" s="58" t="n">
        <f aca="false">IFERROR(P32/C32,0)</f>
        <v>0.414009365574016</v>
      </c>
      <c r="AB32" s="58" t="n">
        <f aca="false">IFERROR(Q32/D32,0)</f>
        <v>0.292318590728145</v>
      </c>
      <c r="AC32" s="58" t="n">
        <f aca="false">IFERROR(R32/E32,0)</f>
        <v>0.20013218310839</v>
      </c>
      <c r="AD32" s="57" t="n">
        <f aca="false">IFERROR(F32/F$58,0)</f>
        <v>0.0161964278796915</v>
      </c>
      <c r="AE32" s="57" t="n">
        <f aca="false">IFERROR(G32/G$58,0)</f>
        <v>0.0140382820806537</v>
      </c>
      <c r="AF32" s="57" t="n">
        <f aca="false">IFERROR(H32/H$58,0)</f>
        <v>0.016242710110072</v>
      </c>
      <c r="AG32" s="57" t="n">
        <f aca="false">IFERROR(P32/P$58,0)</f>
        <v>0.0162912946803583</v>
      </c>
      <c r="AH32" s="57" t="n">
        <f aca="false">IFERROR(Q32/Q$58,0)</f>
        <v>0.0149133263571372</v>
      </c>
      <c r="AI32" s="57" t="n">
        <f aca="false">IFERROR(R32/R$58,0)</f>
        <v>0.016413854395469</v>
      </c>
      <c r="AJ32" s="49" t="n">
        <f aca="false">K32-N32</f>
        <v>262773.37</v>
      </c>
      <c r="AK32" s="57" t="n">
        <f aca="false">IFERROR(I32/I$58,0)</f>
        <v>0.0158885111841459</v>
      </c>
    </row>
    <row r="33" customFormat="false" ht="15" hidden="false" customHeight="false" outlineLevel="0" collapsed="false">
      <c r="A33" s="13" t="n">
        <v>28</v>
      </c>
      <c r="B33" s="53"/>
      <c r="C33" s="54" t="n">
        <v>61799</v>
      </c>
      <c r="D33" s="54" t="n">
        <v>33954</v>
      </c>
      <c r="E33" s="54" t="n">
        <v>7162</v>
      </c>
      <c r="F33" s="54" t="n">
        <v>99278</v>
      </c>
      <c r="G33" s="54" t="n">
        <v>26539</v>
      </c>
      <c r="H33" s="54" t="n">
        <v>16009</v>
      </c>
      <c r="I33" s="55" t="n">
        <f aca="false">SUM(C33:H33)</f>
        <v>244741</v>
      </c>
      <c r="J33" s="54" t="n">
        <v>5080</v>
      </c>
      <c r="K33" s="56" t="n">
        <v>358286.68</v>
      </c>
      <c r="L33" s="54" t="n">
        <v>9683</v>
      </c>
      <c r="M33" s="56" t="n">
        <v>30007.69</v>
      </c>
      <c r="N33" s="56" t="n">
        <v>89756.02</v>
      </c>
      <c r="O33" s="54" t="n">
        <v>1744</v>
      </c>
      <c r="P33" s="56" t="n">
        <v>26393.68</v>
      </c>
      <c r="Q33" s="56" t="n">
        <v>10131.33</v>
      </c>
      <c r="R33" s="56" t="n">
        <v>1481.11</v>
      </c>
      <c r="S33" s="27"/>
      <c r="T33" s="27"/>
      <c r="U33" s="57" t="n">
        <f aca="false">IFERROR(J33/I33,0)</f>
        <v>0.0207566366076791</v>
      </c>
      <c r="V33" s="58" t="n">
        <f aca="false">IFERROR(K33/J33,0)</f>
        <v>70.528874015748</v>
      </c>
      <c r="W33" s="59" t="n">
        <f aca="false">IFERROR(L33/J33,0)</f>
        <v>1.90610236220472</v>
      </c>
      <c r="X33" s="22" t="n">
        <f aca="false">IFERROR(M33/(K33+M33),0)</f>
        <v>0.0772807754075857</v>
      </c>
      <c r="Y33" s="22" t="n">
        <f aca="false">IFERROR(N33/K33,0)</f>
        <v>0.250514532105966</v>
      </c>
      <c r="Z33" s="22" t="n">
        <f aca="false">IFERROR(O33/J33,0)</f>
        <v>0.343307086614173</v>
      </c>
      <c r="AA33" s="58" t="n">
        <f aca="false">IFERROR(P33/C33,0)</f>
        <v>0.427089111474296</v>
      </c>
      <c r="AB33" s="58" t="n">
        <f aca="false">IFERROR(Q33/D33,0)</f>
        <v>0.298383990104259</v>
      </c>
      <c r="AC33" s="58" t="n">
        <f aca="false">IFERROR(R33/E33,0)</f>
        <v>0.206801172856744</v>
      </c>
      <c r="AD33" s="57" t="n">
        <f aca="false">IFERROR(F33/F$58,0)</f>
        <v>0.016867364254739</v>
      </c>
      <c r="AE33" s="57" t="n">
        <f aca="false">IFERROR(G33/G$58,0)</f>
        <v>0.0147502560827646</v>
      </c>
      <c r="AF33" s="57" t="n">
        <f aca="false">IFERROR(H33/H$58,0)</f>
        <v>0.0155501462834674</v>
      </c>
      <c r="AG33" s="57" t="n">
        <f aca="false">IFERROR(P33/P$58,0)</f>
        <v>0.0173078636622708</v>
      </c>
      <c r="AH33" s="57" t="n">
        <f aca="false">IFERROR(Q33/Q$58,0)</f>
        <v>0.0162014178585366</v>
      </c>
      <c r="AI33" s="57" t="n">
        <f aca="false">IFERROR(R33/R$58,0)</f>
        <v>0.016901813803089</v>
      </c>
      <c r="AJ33" s="49" t="n">
        <f aca="false">K33-N33</f>
        <v>268530.66</v>
      </c>
      <c r="AK33" s="57" t="n">
        <f aca="false">IFERROR(I33/I$58,0)</f>
        <v>0.0164486946850717</v>
      </c>
    </row>
    <row r="34" customFormat="false" ht="15" hidden="false" customHeight="false" outlineLevel="0" collapsed="false">
      <c r="A34" s="13" t="n">
        <v>29</v>
      </c>
      <c r="B34" s="53"/>
      <c r="C34" s="54" t="n">
        <v>60242</v>
      </c>
      <c r="D34" s="54" t="n">
        <v>32869</v>
      </c>
      <c r="E34" s="54" t="n">
        <v>7218</v>
      </c>
      <c r="F34" s="54" t="n">
        <v>103994</v>
      </c>
      <c r="G34" s="54" t="n">
        <v>26167</v>
      </c>
      <c r="H34" s="54" t="n">
        <v>16446</v>
      </c>
      <c r="I34" s="55" t="n">
        <f aca="false">SUM(C34:H34)</f>
        <v>246936</v>
      </c>
      <c r="J34" s="54" t="n">
        <v>5230</v>
      </c>
      <c r="K34" s="56" t="n">
        <v>365536.8</v>
      </c>
      <c r="L34" s="54" t="n">
        <v>9807</v>
      </c>
      <c r="M34" s="56" t="n">
        <v>30693.05</v>
      </c>
      <c r="N34" s="56" t="n">
        <v>92749.77</v>
      </c>
      <c r="O34" s="54" t="n">
        <v>1931</v>
      </c>
      <c r="P34" s="56" t="n">
        <v>25352.6</v>
      </c>
      <c r="Q34" s="56" t="n">
        <v>9805.99</v>
      </c>
      <c r="R34" s="56" t="n">
        <v>1442.72</v>
      </c>
      <c r="S34" s="27"/>
      <c r="T34" s="27"/>
      <c r="U34" s="57" t="n">
        <f aca="false">IFERROR(J34/I34,0)</f>
        <v>0.021179576894418</v>
      </c>
      <c r="V34" s="58" t="n">
        <f aca="false">IFERROR(K34/J34,0)</f>
        <v>69.8923135755258</v>
      </c>
      <c r="W34" s="59" t="n">
        <f aca="false">IFERROR(L34/J34,0)</f>
        <v>1.87514340344168</v>
      </c>
      <c r="X34" s="22" t="n">
        <f aca="false">IFERROR(M34/(K34+M34),0)</f>
        <v>0.0774627403765769</v>
      </c>
      <c r="Y34" s="22" t="n">
        <f aca="false">IFERROR(N34/K34,0)</f>
        <v>0.253735793496031</v>
      </c>
      <c r="Z34" s="22" t="n">
        <f aca="false">IFERROR(O34/J34,0)</f>
        <v>0.369216061185468</v>
      </c>
      <c r="AA34" s="58" t="n">
        <f aca="false">IFERROR(P34/C34,0)</f>
        <v>0.420845921450151</v>
      </c>
      <c r="AB34" s="58" t="n">
        <f aca="false">IFERROR(Q34/D34,0)</f>
        <v>0.298335513705924</v>
      </c>
      <c r="AC34" s="58" t="n">
        <f aca="false">IFERROR(R34/E34,0)</f>
        <v>0.199878082571349</v>
      </c>
      <c r="AD34" s="57" t="n">
        <f aca="false">IFERROR(F34/F$58,0)</f>
        <v>0.0176686141774344</v>
      </c>
      <c r="AE34" s="57" t="n">
        <f aca="false">IFERROR(G34/G$58,0)</f>
        <v>0.0145435001664607</v>
      </c>
      <c r="AF34" s="57" t="n">
        <f aca="false">IFERROR(H34/H$58,0)</f>
        <v>0.0159746208868702</v>
      </c>
      <c r="AG34" s="57" t="n">
        <f aca="false">IFERROR(P34/P$58,0)</f>
        <v>0.0166251672477687</v>
      </c>
      <c r="AH34" s="57" t="n">
        <f aca="false">IFERROR(Q34/Q$58,0)</f>
        <v>0.0156811535609472</v>
      </c>
      <c r="AI34" s="57" t="n">
        <f aca="false">IFERROR(R34/R$58,0)</f>
        <v>0.0164637230252936</v>
      </c>
      <c r="AJ34" s="49" t="n">
        <f aca="false">K34-N34</f>
        <v>272787.03</v>
      </c>
      <c r="AK34" s="57" t="n">
        <f aca="false">IFERROR(I34/I$58,0)</f>
        <v>0.0165962175146496</v>
      </c>
    </row>
    <row r="35" customFormat="false" ht="15" hidden="false" customHeight="false" outlineLevel="0" collapsed="false">
      <c r="A35" s="13" t="n">
        <v>30</v>
      </c>
      <c r="B35" s="53"/>
      <c r="C35" s="54" t="n">
        <v>61991</v>
      </c>
      <c r="D35" s="54" t="n">
        <v>35322</v>
      </c>
      <c r="E35" s="54" t="n">
        <v>7184</v>
      </c>
      <c r="F35" s="54" t="n">
        <v>95906</v>
      </c>
      <c r="G35" s="54" t="n">
        <v>25523</v>
      </c>
      <c r="H35" s="54" t="n">
        <v>16855</v>
      </c>
      <c r="I35" s="55" t="n">
        <f aca="false">SUM(C35:H35)</f>
        <v>242781</v>
      </c>
      <c r="J35" s="54" t="n">
        <v>4940</v>
      </c>
      <c r="K35" s="56" t="n">
        <v>350914.36</v>
      </c>
      <c r="L35" s="54" t="n">
        <v>9249</v>
      </c>
      <c r="M35" s="56" t="n">
        <v>29588.89</v>
      </c>
      <c r="N35" s="56" t="n">
        <v>94514.52</v>
      </c>
      <c r="O35" s="54" t="n">
        <v>1639</v>
      </c>
      <c r="P35" s="56" t="n">
        <v>24904.26</v>
      </c>
      <c r="Q35" s="56" t="n">
        <v>10328.53</v>
      </c>
      <c r="R35" s="56" t="n">
        <v>1464.24</v>
      </c>
      <c r="S35" s="27"/>
      <c r="T35" s="27"/>
      <c r="U35" s="57" t="n">
        <f aca="false">IFERROR(J35/I35,0)</f>
        <v>0.0203475560278605</v>
      </c>
      <c r="V35" s="58" t="n">
        <f aca="false">IFERROR(K35/J35,0)</f>
        <v>71.0352955465587</v>
      </c>
      <c r="W35" s="59" t="n">
        <f aca="false">IFERROR(L35/J35,0)</f>
        <v>1.87226720647773</v>
      </c>
      <c r="X35" s="22" t="n">
        <f aca="false">IFERROR(M35/(K35+M35),0)</f>
        <v>0.0777625158260803</v>
      </c>
      <c r="Y35" s="22" t="n">
        <f aca="false">IFERROR(N35/K35,0)</f>
        <v>0.269337852118677</v>
      </c>
      <c r="Z35" s="22" t="n">
        <f aca="false">IFERROR(O35/J35,0)</f>
        <v>0.331781376518219</v>
      </c>
      <c r="AA35" s="58" t="n">
        <f aca="false">IFERROR(P35/C35,0)</f>
        <v>0.401739929989837</v>
      </c>
      <c r="AB35" s="58" t="n">
        <f aca="false">IFERROR(Q35/D35,0)</f>
        <v>0.292410678897005</v>
      </c>
      <c r="AC35" s="58" t="n">
        <f aca="false">IFERROR(R35/E35,0)</f>
        <v>0.203819599109131</v>
      </c>
      <c r="AD35" s="57" t="n">
        <f aca="false">IFERROR(F35/F$58,0)</f>
        <v>0.0162944603659925</v>
      </c>
      <c r="AE35" s="57" t="n">
        <f aca="false">IFERROR(G35/G$58,0)</f>
        <v>0.0141855678812465</v>
      </c>
      <c r="AF35" s="57" t="n">
        <f aca="false">IFERROR(H35/H$58,0)</f>
        <v>0.0163718980328468</v>
      </c>
      <c r="AG35" s="57" t="n">
        <f aca="false">IFERROR(P35/P$58,0)</f>
        <v>0.0163311647595085</v>
      </c>
      <c r="AH35" s="57" t="n">
        <f aca="false">IFERROR(Q35/Q$58,0)</f>
        <v>0.0165167683210823</v>
      </c>
      <c r="AI35" s="57" t="n">
        <f aca="false">IFERROR(R35/R$58,0)</f>
        <v>0.0167093003511117</v>
      </c>
      <c r="AJ35" s="49" t="n">
        <f aca="false">K35-N35</f>
        <v>256399.84</v>
      </c>
      <c r="AK35" s="57" t="n">
        <f aca="false">IFERROR(I35/I$58,0)</f>
        <v>0.0163169658714167</v>
      </c>
    </row>
    <row r="36" customFormat="false" ht="15" hidden="false" customHeight="false" outlineLevel="0" collapsed="false">
      <c r="A36" s="13" t="n">
        <v>31</v>
      </c>
      <c r="B36" s="53"/>
      <c r="C36" s="54" t="n">
        <v>62078</v>
      </c>
      <c r="D36" s="54" t="n">
        <v>35459</v>
      </c>
      <c r="E36" s="54" t="n">
        <v>8103</v>
      </c>
      <c r="F36" s="54" t="n">
        <v>102215</v>
      </c>
      <c r="G36" s="54" t="n">
        <v>28902</v>
      </c>
      <c r="H36" s="54" t="n">
        <v>18125</v>
      </c>
      <c r="I36" s="55" t="n">
        <f aca="false">SUM(C36:H36)</f>
        <v>254882</v>
      </c>
      <c r="J36" s="54" t="n">
        <v>5291</v>
      </c>
      <c r="K36" s="56" t="n">
        <v>384331.81</v>
      </c>
      <c r="L36" s="54" t="n">
        <v>9771</v>
      </c>
      <c r="M36" s="56" t="n">
        <v>33429.21</v>
      </c>
      <c r="N36" s="56" t="n">
        <v>95681.04</v>
      </c>
      <c r="O36" s="54" t="n">
        <v>1798</v>
      </c>
      <c r="P36" s="56" t="n">
        <v>26554.87</v>
      </c>
      <c r="Q36" s="56" t="n">
        <v>10200.67</v>
      </c>
      <c r="R36" s="56" t="n">
        <v>1697.54</v>
      </c>
      <c r="S36" s="27"/>
      <c r="T36" s="27"/>
      <c r="U36" s="57" t="n">
        <f aca="false">IFERROR(J36/I36,0)</f>
        <v>0.0207586255600631</v>
      </c>
      <c r="V36" s="58" t="n">
        <f aca="false">IFERROR(K36/J36,0)</f>
        <v>72.6387847287847</v>
      </c>
      <c r="W36" s="59" t="n">
        <f aca="false">IFERROR(L36/J36,0)</f>
        <v>1.84672084672085</v>
      </c>
      <c r="X36" s="22" t="n">
        <f aca="false">IFERROR(M36/(K36+M36),0)</f>
        <v>0.0800199357996589</v>
      </c>
      <c r="Y36" s="22" t="n">
        <f aca="false">IFERROR(N36/K36,0)</f>
        <v>0.248954256479577</v>
      </c>
      <c r="Z36" s="22" t="n">
        <f aca="false">IFERROR(O36/J36,0)</f>
        <v>0.33982233982234</v>
      </c>
      <c r="AA36" s="58" t="n">
        <f aca="false">IFERROR(P36/C36,0)</f>
        <v>0.427766197364606</v>
      </c>
      <c r="AB36" s="58" t="n">
        <f aca="false">IFERROR(Q36/D36,0)</f>
        <v>0.287675061338447</v>
      </c>
      <c r="AC36" s="58" t="n">
        <f aca="false">IFERROR(R36/E36,0)</f>
        <v>0.209495248673331</v>
      </c>
      <c r="AD36" s="57" t="n">
        <f aca="false">IFERROR(F36/F$58,0)</f>
        <v>0.0173663615030334</v>
      </c>
      <c r="AE36" s="57" t="n">
        <f aca="false">IFERROR(G36/G$58,0)</f>
        <v>0.0160636007876733</v>
      </c>
      <c r="AF36" s="57" t="n">
        <f aca="false">IFERROR(H36/H$58,0)</f>
        <v>0.017605496994681</v>
      </c>
      <c r="AG36" s="57" t="n">
        <f aca="false">IFERROR(P36/P$58,0)</f>
        <v>0.0174135652750706</v>
      </c>
      <c r="AH36" s="57" t="n">
        <f aca="false">IFERROR(Q36/Q$58,0)</f>
        <v>0.0163123022453161</v>
      </c>
      <c r="AI36" s="57" t="n">
        <f aca="false">IFERROR(R36/R$58,0)</f>
        <v>0.01937162331177</v>
      </c>
      <c r="AJ36" s="49" t="n">
        <f aca="false">K36-N36</f>
        <v>288650.77</v>
      </c>
      <c r="AK36" s="57" t="n">
        <f aca="false">IFERROR(I36/I$58,0)</f>
        <v>0.0171302568785796</v>
      </c>
    </row>
    <row r="37" customFormat="false" ht="15" hidden="false" customHeight="false" outlineLevel="0" collapsed="false">
      <c r="A37" s="13" t="n">
        <v>32</v>
      </c>
      <c r="B37" s="53"/>
      <c r="C37" s="54" t="n">
        <v>57684</v>
      </c>
      <c r="D37" s="54" t="n">
        <v>34676</v>
      </c>
      <c r="E37" s="54" t="n">
        <v>7244</v>
      </c>
      <c r="F37" s="54" t="n">
        <v>90973</v>
      </c>
      <c r="G37" s="54" t="n">
        <v>26045</v>
      </c>
      <c r="H37" s="54" t="n">
        <v>17179</v>
      </c>
      <c r="I37" s="55" t="n">
        <f aca="false">SUM(C37:H37)</f>
        <v>233801</v>
      </c>
      <c r="J37" s="54" t="n">
        <v>4940</v>
      </c>
      <c r="K37" s="56" t="n">
        <v>353940.4</v>
      </c>
      <c r="L37" s="54" t="n">
        <v>9670</v>
      </c>
      <c r="M37" s="56" t="n">
        <v>31036.59</v>
      </c>
      <c r="N37" s="56" t="n">
        <v>96546.51</v>
      </c>
      <c r="O37" s="54" t="n">
        <v>1641</v>
      </c>
      <c r="P37" s="56" t="n">
        <v>23575.93</v>
      </c>
      <c r="Q37" s="56" t="n">
        <v>10451.51</v>
      </c>
      <c r="R37" s="56" t="n">
        <v>1450.77</v>
      </c>
      <c r="S37" s="27"/>
      <c r="T37" s="27"/>
      <c r="U37" s="57" t="n">
        <f aca="false">IFERROR(J37/I37,0)</f>
        <v>0.0211290798585122</v>
      </c>
      <c r="V37" s="58" t="n">
        <f aca="false">IFERROR(K37/J37,0)</f>
        <v>71.6478542510122</v>
      </c>
      <c r="W37" s="59" t="n">
        <f aca="false">IFERROR(L37/J37,0)</f>
        <v>1.95748987854251</v>
      </c>
      <c r="X37" s="22" t="n">
        <f aca="false">IFERROR(M37/(K37+M37),0)</f>
        <v>0.0806193377947082</v>
      </c>
      <c r="Y37" s="22" t="n">
        <f aca="false">IFERROR(N37/K37,0)</f>
        <v>0.27277617926634</v>
      </c>
      <c r="Z37" s="22" t="n">
        <f aca="false">IFERROR(O37/J37,0)</f>
        <v>0.332186234817814</v>
      </c>
      <c r="AA37" s="58" t="n">
        <f aca="false">IFERROR(P37/C37,0)</f>
        <v>0.408708307329589</v>
      </c>
      <c r="AB37" s="58" t="n">
        <f aca="false">IFERROR(Q37/D37,0)</f>
        <v>0.301404717960549</v>
      </c>
      <c r="AC37" s="58" t="n">
        <f aca="false">IFERROR(R37/E37,0)</f>
        <v>0.200271949199337</v>
      </c>
      <c r="AD37" s="57" t="n">
        <f aca="false">IFERROR(F37/F$58,0)</f>
        <v>0.0154563420732325</v>
      </c>
      <c r="AE37" s="57" t="n">
        <f aca="false">IFERROR(G37/G$58,0)</f>
        <v>0.0144756931186407</v>
      </c>
      <c r="AF37" s="57" t="n">
        <f aca="false">IFERROR(H37/H$58,0)</f>
        <v>0.0166866114687793</v>
      </c>
      <c r="AG37" s="57" t="n">
        <f aca="false">IFERROR(P37/P$58,0)</f>
        <v>0.0154601018937579</v>
      </c>
      <c r="AH37" s="57" t="n">
        <f aca="false">IFERROR(Q37/Q$58,0)</f>
        <v>0.0167134305922987</v>
      </c>
      <c r="AI37" s="57" t="n">
        <f aca="false">IFERROR(R37/R$58,0)</f>
        <v>0.0165555862907599</v>
      </c>
      <c r="AJ37" s="49" t="n">
        <f aca="false">K37-N37</f>
        <v>257393.89</v>
      </c>
      <c r="AK37" s="57" t="n">
        <f aca="false">IFERROR(I37/I$58,0)</f>
        <v>0.0157134328374259</v>
      </c>
    </row>
    <row r="38" customFormat="false" ht="15" hidden="false" customHeight="false" outlineLevel="0" collapsed="false">
      <c r="A38" s="13" t="n">
        <v>33</v>
      </c>
      <c r="B38" s="53"/>
      <c r="C38" s="54" t="n">
        <v>61048</v>
      </c>
      <c r="D38" s="54" t="n">
        <v>37542</v>
      </c>
      <c r="E38" s="54" t="n">
        <v>7375</v>
      </c>
      <c r="F38" s="54" t="n">
        <v>103105</v>
      </c>
      <c r="G38" s="54" t="n">
        <v>28557</v>
      </c>
      <c r="H38" s="54" t="n">
        <v>16999</v>
      </c>
      <c r="I38" s="55" t="n">
        <f aca="false">SUM(C38:H38)</f>
        <v>254626</v>
      </c>
      <c r="J38" s="54" t="n">
        <v>5287</v>
      </c>
      <c r="K38" s="56" t="n">
        <v>375187.56</v>
      </c>
      <c r="L38" s="54" t="n">
        <v>9928</v>
      </c>
      <c r="M38" s="56" t="n">
        <v>31124.88</v>
      </c>
      <c r="N38" s="56" t="n">
        <v>97891</v>
      </c>
      <c r="O38" s="54" t="n">
        <v>1835</v>
      </c>
      <c r="P38" s="56" t="n">
        <v>24588.36</v>
      </c>
      <c r="Q38" s="56" t="n">
        <v>11428.24</v>
      </c>
      <c r="R38" s="56" t="n">
        <v>1435.28</v>
      </c>
      <c r="S38" s="27"/>
      <c r="T38" s="27"/>
      <c r="U38" s="57" t="n">
        <f aca="false">IFERROR(J38/I38,0)</f>
        <v>0.0207637868874349</v>
      </c>
      <c r="V38" s="58" t="n">
        <f aca="false">IFERROR(K38/J38,0)</f>
        <v>70.9641687157178</v>
      </c>
      <c r="W38" s="59" t="n">
        <f aca="false">IFERROR(L38/J38,0)</f>
        <v>1.87781350482315</v>
      </c>
      <c r="X38" s="22" t="n">
        <f aca="false">IFERROR(M38/(K38+M38),0)</f>
        <v>0.0766033154190406</v>
      </c>
      <c r="Y38" s="22" t="n">
        <f aca="false">IFERROR(N38/K38,0)</f>
        <v>0.260912168836302</v>
      </c>
      <c r="Z38" s="22" t="n">
        <f aca="false">IFERROR(O38/J38,0)</f>
        <v>0.347077737847551</v>
      </c>
      <c r="AA38" s="58" t="n">
        <f aca="false">IFERROR(P38/C38,0)</f>
        <v>0.402770934346744</v>
      </c>
      <c r="AB38" s="58" t="n">
        <f aca="false">IFERROR(Q38/D38,0)</f>
        <v>0.30441212508657</v>
      </c>
      <c r="AC38" s="58" t="n">
        <f aca="false">IFERROR(R38/E38,0)</f>
        <v>0.194614237288136</v>
      </c>
      <c r="AD38" s="57" t="n">
        <f aca="false">IFERROR(F38/F$58,0)</f>
        <v>0.0175175727903953</v>
      </c>
      <c r="AE38" s="57" t="n">
        <f aca="false">IFERROR(G38/G$58,0)</f>
        <v>0.0158718513491657</v>
      </c>
      <c r="AF38" s="57" t="n">
        <f aca="false">IFERROR(H38/H$58,0)</f>
        <v>0.016511770671039</v>
      </c>
      <c r="AG38" s="57" t="n">
        <f aca="false">IFERROR(P38/P$58,0)</f>
        <v>0.0161240108449763</v>
      </c>
      <c r="AH38" s="57" t="n">
        <f aca="false">IFERROR(Q38/Q$58,0)</f>
        <v>0.0182753588746632</v>
      </c>
      <c r="AI38" s="57" t="n">
        <f aca="false">IFERROR(R38/R$58,0)</f>
        <v>0.0163788208271483</v>
      </c>
      <c r="AJ38" s="49" t="n">
        <f aca="false">K38-N38</f>
        <v>277296.56</v>
      </c>
      <c r="AK38" s="57" t="n">
        <f aca="false">IFERROR(I38/I$58,0)</f>
        <v>0.0171130514825103</v>
      </c>
    </row>
    <row r="39" customFormat="false" ht="15" hidden="false" customHeight="false" outlineLevel="0" collapsed="false">
      <c r="A39" s="13" t="n">
        <v>34</v>
      </c>
      <c r="B39" s="53"/>
      <c r="C39" s="54" t="n">
        <v>61535</v>
      </c>
      <c r="D39" s="54" t="n">
        <v>37839</v>
      </c>
      <c r="E39" s="54" t="n">
        <v>7297</v>
      </c>
      <c r="F39" s="54" t="n">
        <v>106624</v>
      </c>
      <c r="G39" s="54" t="n">
        <v>27882</v>
      </c>
      <c r="H39" s="54" t="n">
        <v>17843</v>
      </c>
      <c r="I39" s="55" t="n">
        <f aca="false">SUM(C39:H39)</f>
        <v>259020</v>
      </c>
      <c r="J39" s="54" t="n">
        <v>5529</v>
      </c>
      <c r="K39" s="56" t="n">
        <v>395513.04</v>
      </c>
      <c r="L39" s="54" t="n">
        <v>10619</v>
      </c>
      <c r="M39" s="56" t="n">
        <v>36048.74</v>
      </c>
      <c r="N39" s="56" t="n">
        <v>98331.66</v>
      </c>
      <c r="O39" s="54" t="n">
        <v>1833</v>
      </c>
      <c r="P39" s="56" t="n">
        <v>25651.37</v>
      </c>
      <c r="Q39" s="56" t="n">
        <v>11885.9</v>
      </c>
      <c r="R39" s="56" t="n">
        <v>1466.68</v>
      </c>
      <c r="S39" s="27"/>
      <c r="T39" s="27"/>
      <c r="U39" s="57" t="n">
        <f aca="false">IFERROR(J39/I39,0)</f>
        <v>0.0213458420199212</v>
      </c>
      <c r="V39" s="58" t="n">
        <f aca="false">IFERROR(K39/J39,0)</f>
        <v>71.5342810634835</v>
      </c>
      <c r="W39" s="59" t="n">
        <f aca="false">IFERROR(L39/J39,0)</f>
        <v>1.92060047024778</v>
      </c>
      <c r="X39" s="22" t="n">
        <f aca="false">IFERROR(M39/(K39+M39),0)</f>
        <v>0.0835308909885393</v>
      </c>
      <c r="Y39" s="22" t="n">
        <f aca="false">IFERROR(N39/K39,0)</f>
        <v>0.248617997525442</v>
      </c>
      <c r="Z39" s="22" t="n">
        <f aca="false">IFERROR(O39/J39,0)</f>
        <v>0.331524688008682</v>
      </c>
      <c r="AA39" s="58" t="n">
        <f aca="false">IFERROR(P39/C39,0)</f>
        <v>0.416858210774356</v>
      </c>
      <c r="AB39" s="58" t="n">
        <f aca="false">IFERROR(Q39/D39,0)</f>
        <v>0.314117709241788</v>
      </c>
      <c r="AC39" s="58" t="n">
        <f aca="false">IFERROR(R39/E39,0)</f>
        <v>0.200997670275456</v>
      </c>
      <c r="AD39" s="57" t="n">
        <f aca="false">IFERROR(F39/F$58,0)</f>
        <v>0.018115452026605</v>
      </c>
      <c r="AE39" s="57" t="n">
        <f aca="false">IFERROR(G39/G$58,0)</f>
        <v>0.0154966894042595</v>
      </c>
      <c r="AF39" s="57" t="n">
        <f aca="false">IFERROR(H39/H$58,0)</f>
        <v>0.0173315797448879</v>
      </c>
      <c r="AG39" s="57" t="n">
        <f aca="false">IFERROR(P39/P$58,0)</f>
        <v>0.0168210880298035</v>
      </c>
      <c r="AH39" s="57" t="n">
        <f aca="false">IFERROR(Q39/Q$58,0)</f>
        <v>0.0190072214136525</v>
      </c>
      <c r="AI39" s="57" t="n">
        <f aca="false">IFERROR(R39/R$58,0)</f>
        <v>0.0167371446203959</v>
      </c>
      <c r="AJ39" s="49" t="n">
        <f aca="false">K39-N39</f>
        <v>297181.38</v>
      </c>
      <c r="AK39" s="57" t="n">
        <f aca="false">IFERROR(I39/I$58,0)</f>
        <v>0.0174083659759798</v>
      </c>
    </row>
    <row r="40" customFormat="false" ht="15" hidden="false" customHeight="false" outlineLevel="0" collapsed="false">
      <c r="A40" s="13" t="n">
        <v>35</v>
      </c>
      <c r="B40" s="53"/>
      <c r="C40" s="54" t="n">
        <v>60827</v>
      </c>
      <c r="D40" s="54" t="n">
        <v>34224</v>
      </c>
      <c r="E40" s="54" t="n">
        <v>7505</v>
      </c>
      <c r="F40" s="54" t="n">
        <v>98621</v>
      </c>
      <c r="G40" s="54" t="n">
        <v>28275</v>
      </c>
      <c r="H40" s="54" t="n">
        <v>18656</v>
      </c>
      <c r="I40" s="55" t="n">
        <f aca="false">SUM(C40:H40)</f>
        <v>248108</v>
      </c>
      <c r="J40" s="54" t="n">
        <v>5418</v>
      </c>
      <c r="K40" s="56" t="n">
        <v>394230.54</v>
      </c>
      <c r="L40" s="54" t="n">
        <v>10544</v>
      </c>
      <c r="M40" s="56" t="n">
        <v>31972.82</v>
      </c>
      <c r="N40" s="56" t="n">
        <v>100751.35</v>
      </c>
      <c r="O40" s="54" t="n">
        <v>1871</v>
      </c>
      <c r="P40" s="56" t="n">
        <v>24727.94</v>
      </c>
      <c r="Q40" s="56" t="n">
        <v>10195.3</v>
      </c>
      <c r="R40" s="56" t="n">
        <v>1556</v>
      </c>
      <c r="S40" s="27"/>
      <c r="T40" s="27"/>
      <c r="U40" s="57" t="n">
        <f aca="false">IFERROR(J40/I40,0)</f>
        <v>0.0218372644171087</v>
      </c>
      <c r="V40" s="58" t="n">
        <f aca="false">IFERROR(K40/J40,0)</f>
        <v>72.7631118493909</v>
      </c>
      <c r="W40" s="59" t="n">
        <f aca="false">IFERROR(L40/J40,0)</f>
        <v>1.94610557401255</v>
      </c>
      <c r="X40" s="22" t="n">
        <f aca="false">IFERROR(M40/(K40+M40),0)</f>
        <v>0.0750177567816453</v>
      </c>
      <c r="Y40" s="22" t="n">
        <f aca="false">IFERROR(N40/K40,0)</f>
        <v>0.255564548601435</v>
      </c>
      <c r="Z40" s="22" t="n">
        <f aca="false">IFERROR(O40/J40,0)</f>
        <v>0.345330380214101</v>
      </c>
      <c r="AA40" s="58" t="n">
        <f aca="false">IFERROR(P40/C40,0)</f>
        <v>0.406529008499515</v>
      </c>
      <c r="AB40" s="58" t="n">
        <f aca="false">IFERROR(Q40/D40,0)</f>
        <v>0.297899135109864</v>
      </c>
      <c r="AC40" s="58" t="n">
        <f aca="false">IFERROR(R40/E40,0)</f>
        <v>0.207328447701532</v>
      </c>
      <c r="AD40" s="57" t="n">
        <f aca="false">IFERROR(F40/F$58,0)</f>
        <v>0.0167557397426078</v>
      </c>
      <c r="AE40" s="57" t="n">
        <f aca="false">IFERROR(G40/G$58,0)</f>
        <v>0.015715117025516</v>
      </c>
      <c r="AF40" s="57" t="n">
        <f aca="false">IFERROR(H40/H$58,0)</f>
        <v>0.0181212773480148</v>
      </c>
      <c r="AG40" s="57" t="n">
        <f aca="false">IFERROR(P40/P$58,0)</f>
        <v>0.0162155415299728</v>
      </c>
      <c r="AH40" s="57" t="n">
        <f aca="false">IFERROR(Q40/Q$58,0)</f>
        <v>0.0163037148620307</v>
      </c>
      <c r="AI40" s="57" t="n">
        <f aca="false">IFERROR(R40/R$58,0)</f>
        <v>0.0177564274615703</v>
      </c>
      <c r="AJ40" s="49" t="n">
        <f aca="false">K40-N40</f>
        <v>293479.19</v>
      </c>
      <c r="AK40" s="57" t="n">
        <f aca="false">IFERROR(I40/I$58,0)</f>
        <v>0.016674985968529</v>
      </c>
    </row>
    <row r="41" customFormat="false" ht="15" hidden="false" customHeight="false" outlineLevel="0" collapsed="false">
      <c r="A41" s="13" t="n">
        <v>36</v>
      </c>
      <c r="B41" s="53" t="s">
        <v>433</v>
      </c>
      <c r="C41" s="54" t="n">
        <v>73139</v>
      </c>
      <c r="D41" s="54" t="n">
        <v>43642</v>
      </c>
      <c r="E41" s="54" t="n">
        <v>9460</v>
      </c>
      <c r="F41" s="54" t="n">
        <v>130429</v>
      </c>
      <c r="G41" s="54" t="n">
        <v>56566</v>
      </c>
      <c r="H41" s="54" t="n">
        <v>20983</v>
      </c>
      <c r="I41" s="55" t="n">
        <f aca="false">SUM(C41:H41)</f>
        <v>334219</v>
      </c>
      <c r="J41" s="54" t="n">
        <v>7695</v>
      </c>
      <c r="K41" s="56" t="n">
        <v>519607.15</v>
      </c>
      <c r="L41" s="54" t="n">
        <v>14808</v>
      </c>
      <c r="M41" s="56" t="n">
        <v>156161.25</v>
      </c>
      <c r="N41" s="56" t="n">
        <v>141473.8</v>
      </c>
      <c r="O41" s="54" t="n">
        <v>3643</v>
      </c>
      <c r="P41" s="56" t="n">
        <v>30076.88</v>
      </c>
      <c r="Q41" s="56" t="n">
        <v>13012.15</v>
      </c>
      <c r="R41" s="56" t="n">
        <v>1881.34</v>
      </c>
      <c r="S41" s="27"/>
      <c r="T41" s="27"/>
      <c r="U41" s="57" t="n">
        <f aca="false">IFERROR(J41/I41,0)</f>
        <v>0.023023825695128</v>
      </c>
      <c r="V41" s="58" t="n">
        <f aca="false">IFERROR(K41/J41,0)</f>
        <v>67.5252956465237</v>
      </c>
      <c r="W41" s="59" t="n">
        <f aca="false">IFERROR(L41/J41,0)</f>
        <v>1.92436647173489</v>
      </c>
      <c r="X41" s="22" t="n">
        <f aca="false">IFERROR(M41/(K41+M41),0)</f>
        <v>0.231086937477396</v>
      </c>
      <c r="Y41" s="22" t="n">
        <f aca="false">IFERROR(N41/K41,0)</f>
        <v>0.272270695274305</v>
      </c>
      <c r="Z41" s="22" t="n">
        <f aca="false">IFERROR(O41/J41,0)</f>
        <v>0.473424301494477</v>
      </c>
      <c r="AA41" s="58" t="n">
        <f aca="false">IFERROR(P41/C41,0)</f>
        <v>0.411229029655861</v>
      </c>
      <c r="AB41" s="58" t="n">
        <f aca="false">IFERROR(Q41/D41,0)</f>
        <v>0.298156592273498</v>
      </c>
      <c r="AC41" s="58" t="n">
        <f aca="false">IFERROR(R41/E41,0)</f>
        <v>0.198873150105708</v>
      </c>
      <c r="AD41" s="57" t="n">
        <f aca="false">IFERROR(F41/F$58,0)</f>
        <v>0.0221599292127295</v>
      </c>
      <c r="AE41" s="57" t="n">
        <f aca="false">IFERROR(G41/G$58,0)</f>
        <v>0.031439126778615</v>
      </c>
      <c r="AF41" s="57" t="n">
        <f aca="false">IFERROR(H41/H$58,0)</f>
        <v>0.0203815803276905</v>
      </c>
      <c r="AG41" s="57" t="n">
        <f aca="false">IFERROR(P41/P$58,0)</f>
        <v>0.0197231510886879</v>
      </c>
      <c r="AH41" s="57" t="n">
        <f aca="false">IFERROR(Q41/Q$58,0)</f>
        <v>0.0208082531501744</v>
      </c>
      <c r="AI41" s="57" t="n">
        <f aca="false">IFERROR(R41/R$58,0)</f>
        <v>0.0214690727767036</v>
      </c>
      <c r="AJ41" s="49" t="n">
        <f aca="false">K41-N41</f>
        <v>378133.35</v>
      </c>
      <c r="AK41" s="57" t="n">
        <f aca="false">IFERROR(I41/I$58,0)</f>
        <v>0.0224623838627364</v>
      </c>
    </row>
    <row r="42" customFormat="false" ht="15" hidden="false" customHeight="false" outlineLevel="0" collapsed="false">
      <c r="A42" s="13" t="n">
        <v>37</v>
      </c>
      <c r="B42" s="53"/>
      <c r="C42" s="54" t="n">
        <v>65323</v>
      </c>
      <c r="D42" s="54" t="n">
        <v>37605</v>
      </c>
      <c r="E42" s="54" t="n">
        <v>7869</v>
      </c>
      <c r="F42" s="54" t="n">
        <v>114811</v>
      </c>
      <c r="G42" s="54" t="n">
        <v>32106</v>
      </c>
      <c r="H42" s="54" t="n">
        <v>18331</v>
      </c>
      <c r="I42" s="55" t="n">
        <f aca="false">SUM(C42:H42)</f>
        <v>276045</v>
      </c>
      <c r="J42" s="54" t="n">
        <v>5896</v>
      </c>
      <c r="K42" s="56" t="n">
        <v>433813.21</v>
      </c>
      <c r="L42" s="54" t="n">
        <v>11602</v>
      </c>
      <c r="M42" s="56" t="n">
        <v>35713.85</v>
      </c>
      <c r="N42" s="56" t="n">
        <v>109897.97</v>
      </c>
      <c r="O42" s="54" t="n">
        <v>2126</v>
      </c>
      <c r="P42" s="56" t="n">
        <v>26658.04</v>
      </c>
      <c r="Q42" s="56" t="n">
        <v>11527.71</v>
      </c>
      <c r="R42" s="56" t="n">
        <v>1518.62</v>
      </c>
      <c r="S42" s="27"/>
      <c r="T42" s="27"/>
      <c r="U42" s="57" t="n">
        <f aca="false">IFERROR(J42/I42,0)</f>
        <v>0.0213588364215979</v>
      </c>
      <c r="V42" s="58" t="n">
        <f aca="false">IFERROR(K42/J42,0)</f>
        <v>73.5775457937585</v>
      </c>
      <c r="W42" s="59" t="n">
        <f aca="false">IFERROR(L42/J42,0)</f>
        <v>1.96777476255088</v>
      </c>
      <c r="X42" s="22" t="n">
        <f aca="false">IFERROR(M42/(K42+M42),0)</f>
        <v>0.0760634541489472</v>
      </c>
      <c r="Y42" s="22" t="n">
        <f aca="false">IFERROR(N42/K42,0)</f>
        <v>0.253330160231866</v>
      </c>
      <c r="Z42" s="22" t="n">
        <f aca="false">IFERROR(O42/J42,0)</f>
        <v>0.360583446404342</v>
      </c>
      <c r="AA42" s="58" t="n">
        <f aca="false">IFERROR(P42/C42,0)</f>
        <v>0.408095770249376</v>
      </c>
      <c r="AB42" s="58" t="n">
        <f aca="false">IFERROR(Q42/D42,0)</f>
        <v>0.306547267650578</v>
      </c>
      <c r="AC42" s="58" t="n">
        <f aca="false">IFERROR(R42/E42,0)</f>
        <v>0.192987673147795</v>
      </c>
      <c r="AD42" s="57" t="n">
        <f aca="false">IFERROR(F42/F$58,0)</f>
        <v>0.0195064259700119</v>
      </c>
      <c r="AE42" s="57" t="n">
        <f aca="false">IFERROR(G42/G$58,0)</f>
        <v>0.0178443694861615</v>
      </c>
      <c r="AF42" s="57" t="n">
        <f aca="false">IFERROR(H42/H$58,0)</f>
        <v>0.0178055925743171</v>
      </c>
      <c r="AG42" s="57" t="n">
        <f aca="false">IFERROR(P42/P$58,0)</f>
        <v>0.0174812198156287</v>
      </c>
      <c r="AH42" s="57" t="n">
        <f aca="false">IFERROR(Q42/Q$58,0)</f>
        <v>0.0184344253579767</v>
      </c>
      <c r="AI42" s="57" t="n">
        <f aca="false">IFERROR(R42/R$58,0)</f>
        <v>0.0173298623854049</v>
      </c>
      <c r="AJ42" s="49" t="n">
        <f aca="false">K42-N42</f>
        <v>323915.24</v>
      </c>
      <c r="AK42" s="57" t="n">
        <f aca="false">IFERROR(I42/I$58,0)</f>
        <v>0.0185525920231617</v>
      </c>
    </row>
    <row r="43" customFormat="false" ht="15" hidden="false" customHeight="false" outlineLevel="0" collapsed="false">
      <c r="A43" s="13" t="n">
        <v>38</v>
      </c>
      <c r="B43" s="53"/>
      <c r="C43" s="54" t="n">
        <v>72558</v>
      </c>
      <c r="D43" s="54" t="n">
        <v>40082</v>
      </c>
      <c r="E43" s="54" t="n">
        <v>8412</v>
      </c>
      <c r="F43" s="54" t="n">
        <v>112832</v>
      </c>
      <c r="G43" s="54" t="n">
        <v>30363</v>
      </c>
      <c r="H43" s="54" t="n">
        <v>20698</v>
      </c>
      <c r="I43" s="55" t="n">
        <f aca="false">SUM(C43:H43)</f>
        <v>284945</v>
      </c>
      <c r="J43" s="54" t="n">
        <v>5751</v>
      </c>
      <c r="K43" s="56" t="n">
        <v>404387.73</v>
      </c>
      <c r="L43" s="54" t="n">
        <v>11217</v>
      </c>
      <c r="M43" s="56" t="n">
        <v>34917.52</v>
      </c>
      <c r="N43" s="56" t="n">
        <v>105639.61</v>
      </c>
      <c r="O43" s="54" t="n">
        <v>2048</v>
      </c>
      <c r="P43" s="56" t="n">
        <v>30579.39</v>
      </c>
      <c r="Q43" s="56" t="n">
        <v>11893.58</v>
      </c>
      <c r="R43" s="56" t="n">
        <v>1728.09</v>
      </c>
      <c r="S43" s="27"/>
      <c r="T43" s="27"/>
      <c r="U43" s="57" t="n">
        <f aca="false">IFERROR(J43/I43,0)</f>
        <v>0.0201828423029006</v>
      </c>
      <c r="V43" s="58" t="n">
        <f aca="false">IFERROR(K43/J43,0)</f>
        <v>70.3160719874804</v>
      </c>
      <c r="W43" s="59" t="n">
        <f aca="false">IFERROR(L43/J43,0)</f>
        <v>1.95044340114763</v>
      </c>
      <c r="X43" s="22" t="n">
        <f aca="false">IFERROR(M43/(K43+M43),0)</f>
        <v>0.079483502644232</v>
      </c>
      <c r="Y43" s="22" t="n">
        <f aca="false">IFERROR(N43/K43,0)</f>
        <v>0.261233470164884</v>
      </c>
      <c r="Z43" s="22" t="n">
        <f aca="false">IFERROR(O43/J43,0)</f>
        <v>0.356111980525126</v>
      </c>
      <c r="AA43" s="58" t="n">
        <f aca="false">IFERROR(P43/C43,0)</f>
        <v>0.421447531629869</v>
      </c>
      <c r="AB43" s="58" t="n">
        <f aca="false">IFERROR(Q43/D43,0)</f>
        <v>0.296731201037872</v>
      </c>
      <c r="AC43" s="58" t="n">
        <f aca="false">IFERROR(R43/E43,0)</f>
        <v>0.20543152639087</v>
      </c>
      <c r="AD43" s="57" t="n">
        <f aca="false">IFERROR(F43/F$58,0)</f>
        <v>0.0191701932310352</v>
      </c>
      <c r="AE43" s="57" t="n">
        <f aca="false">IFERROR(G43/G$58,0)</f>
        <v>0.0168756179750926</v>
      </c>
      <c r="AF43" s="57" t="n">
        <f aca="false">IFERROR(H43/H$58,0)</f>
        <v>0.0201047490646017</v>
      </c>
      <c r="AG43" s="57" t="n">
        <f aca="false">IFERROR(P43/P$58,0)</f>
        <v>0.0200526759813489</v>
      </c>
      <c r="AH43" s="57" t="n">
        <f aca="false">IFERROR(Q43/Q$58,0)</f>
        <v>0.0190195028109768</v>
      </c>
      <c r="AI43" s="57" t="n">
        <f aca="false">IFERROR(R43/R$58,0)</f>
        <v>0.0197202472571112</v>
      </c>
      <c r="AJ43" s="49" t="n">
        <f aca="false">K43-N43</f>
        <v>298748.12</v>
      </c>
      <c r="AK43" s="57" t="n">
        <f aca="false">IFERROR(I43/I$58,0)</f>
        <v>0.0191507483708809</v>
      </c>
    </row>
    <row r="44" customFormat="false" ht="15" hidden="false" customHeight="false" outlineLevel="0" collapsed="false">
      <c r="A44" s="13" t="n">
        <v>39</v>
      </c>
      <c r="B44" s="53"/>
      <c r="C44" s="54" t="n">
        <v>72672</v>
      </c>
      <c r="D44" s="54" t="n">
        <v>38054</v>
      </c>
      <c r="E44" s="54" t="n">
        <v>8685</v>
      </c>
      <c r="F44" s="54" t="n">
        <v>114146</v>
      </c>
      <c r="G44" s="54" t="n">
        <v>31685</v>
      </c>
      <c r="H44" s="54" t="n">
        <v>18266</v>
      </c>
      <c r="I44" s="55" t="n">
        <f aca="false">SUM(C44:H44)</f>
        <v>283508</v>
      </c>
      <c r="J44" s="54" t="n">
        <v>5832</v>
      </c>
      <c r="K44" s="56" t="n">
        <v>409039.52</v>
      </c>
      <c r="L44" s="54" t="n">
        <v>11094</v>
      </c>
      <c r="M44" s="56" t="n">
        <v>34057.49</v>
      </c>
      <c r="N44" s="56" t="n">
        <v>111485.83</v>
      </c>
      <c r="O44" s="54" t="n">
        <v>1991</v>
      </c>
      <c r="P44" s="56" t="n">
        <v>30829.18</v>
      </c>
      <c r="Q44" s="56" t="n">
        <v>11200.29</v>
      </c>
      <c r="R44" s="56" t="n">
        <v>1748.28</v>
      </c>
      <c r="S44" s="27"/>
      <c r="T44" s="27"/>
      <c r="U44" s="57" t="n">
        <f aca="false">IFERROR(J44/I44,0)</f>
        <v>0.0205708480889428</v>
      </c>
      <c r="V44" s="58" t="n">
        <f aca="false">IFERROR(K44/J44,0)</f>
        <v>70.1370919067215</v>
      </c>
      <c r="W44" s="59" t="n">
        <f aca="false">IFERROR(L44/J44,0)</f>
        <v>1.9022633744856</v>
      </c>
      <c r="X44" s="22" t="n">
        <f aca="false">IFERROR(M44/(K44+M44),0)</f>
        <v>0.076862378285965</v>
      </c>
      <c r="Y44" s="22" t="n">
        <f aca="false">IFERROR(N44/K44,0)</f>
        <v>0.27255515555074</v>
      </c>
      <c r="Z44" s="22" t="n">
        <f aca="false">IFERROR(O44/J44,0)</f>
        <v>0.34139231824417</v>
      </c>
      <c r="AA44" s="58" t="n">
        <f aca="false">IFERROR(P44/C44,0)</f>
        <v>0.424223634962572</v>
      </c>
      <c r="AB44" s="58" t="n">
        <f aca="false">IFERROR(Q44/D44,0)</f>
        <v>0.294326220633836</v>
      </c>
      <c r="AC44" s="58" t="n">
        <f aca="false">IFERROR(R44/E44,0)</f>
        <v>0.201298791018998</v>
      </c>
      <c r="AD44" s="57" t="n">
        <f aca="false">IFERROR(F44/F$58,0)</f>
        <v>0.0193934422552977</v>
      </c>
      <c r="AE44" s="57" t="n">
        <f aca="false">IFERROR(G44/G$58,0)</f>
        <v>0.0176103795916348</v>
      </c>
      <c r="AF44" s="57" t="n">
        <f aca="false">IFERROR(H44/H$58,0)</f>
        <v>0.0177424556195775</v>
      </c>
      <c r="AG44" s="57" t="n">
        <f aca="false">IFERROR(P44/P$58,0)</f>
        <v>0.020216477742384</v>
      </c>
      <c r="AH44" s="57" t="n">
        <f aca="false">IFERROR(Q44/Q$58,0)</f>
        <v>0.017910834848612</v>
      </c>
      <c r="AI44" s="57" t="n">
        <f aca="false">IFERROR(R44/R$58,0)</f>
        <v>0.0199506471738523</v>
      </c>
      <c r="AJ44" s="49" t="n">
        <f aca="false">K44-N44</f>
        <v>297553.69</v>
      </c>
      <c r="AK44" s="57" t="n">
        <f aca="false">IFERROR(I44/I$58,0)</f>
        <v>0.0190541696437267</v>
      </c>
    </row>
    <row r="45" customFormat="false" ht="15" hidden="false" customHeight="false" outlineLevel="0" collapsed="false">
      <c r="A45" s="13" t="n">
        <v>40</v>
      </c>
      <c r="B45" s="53"/>
      <c r="C45" s="54" t="n">
        <v>64996</v>
      </c>
      <c r="D45" s="54" t="n">
        <v>39441</v>
      </c>
      <c r="E45" s="54" t="n">
        <v>7866</v>
      </c>
      <c r="F45" s="54" t="n">
        <v>114124</v>
      </c>
      <c r="G45" s="54" t="n">
        <v>30416</v>
      </c>
      <c r="H45" s="54" t="n">
        <v>18943</v>
      </c>
      <c r="I45" s="55" t="n">
        <f aca="false">SUM(C45:H45)</f>
        <v>275786</v>
      </c>
      <c r="J45" s="54" t="n">
        <v>5837</v>
      </c>
      <c r="K45" s="56" t="n">
        <v>409173.75</v>
      </c>
      <c r="L45" s="54" t="n">
        <v>11474</v>
      </c>
      <c r="M45" s="56" t="n">
        <v>37393.74</v>
      </c>
      <c r="N45" s="56" t="n">
        <v>109369.7</v>
      </c>
      <c r="O45" s="54" t="n">
        <v>1962</v>
      </c>
      <c r="P45" s="56" t="n">
        <v>26111.86</v>
      </c>
      <c r="Q45" s="56" t="n">
        <v>11443.77</v>
      </c>
      <c r="R45" s="56" t="n">
        <v>1602.2</v>
      </c>
      <c r="S45" s="27"/>
      <c r="T45" s="27"/>
      <c r="U45" s="57" t="n">
        <f aca="false">IFERROR(J45/I45,0)</f>
        <v>0.0211649612380614</v>
      </c>
      <c r="V45" s="58" t="n">
        <f aca="false">IFERROR(K45/J45,0)</f>
        <v>70.1000085660442</v>
      </c>
      <c r="W45" s="59" t="n">
        <f aca="false">IFERROR(L45/J45,0)</f>
        <v>1.96573582319685</v>
      </c>
      <c r="X45" s="22" t="n">
        <f aca="false">IFERROR(M45/(K45+M45),0)</f>
        <v>0.0837359208571139</v>
      </c>
      <c r="Y45" s="22" t="n">
        <f aca="false">IFERROR(N45/K45,0)</f>
        <v>0.267294028514781</v>
      </c>
      <c r="Z45" s="22" t="n">
        <f aca="false">IFERROR(O45/J45,0)</f>
        <v>0.336131574438924</v>
      </c>
      <c r="AA45" s="58" t="n">
        <f aca="false">IFERROR(P45/C45,0)</f>
        <v>0.401745645885901</v>
      </c>
      <c r="AB45" s="58" t="n">
        <f aca="false">IFERROR(Q45/D45,0)</f>
        <v>0.290149083441089</v>
      </c>
      <c r="AC45" s="58" t="n">
        <f aca="false">IFERROR(R45/E45,0)</f>
        <v>0.203686753114671</v>
      </c>
      <c r="AD45" s="57" t="n">
        <f aca="false">IFERROR(F45/F$58,0)</f>
        <v>0.0193897044481943</v>
      </c>
      <c r="AE45" s="57" t="n">
        <f aca="false">IFERROR(G45/G$58,0)</f>
        <v>0.0169050751352111</v>
      </c>
      <c r="AF45" s="57" t="n">
        <f aca="false">IFERROR(H45/H$58,0)</f>
        <v>0.018400051286634</v>
      </c>
      <c r="AG45" s="57" t="n">
        <f aca="false">IFERROR(P45/P$58,0)</f>
        <v>0.0171230579763149</v>
      </c>
      <c r="AH45" s="57" t="n">
        <f aca="false">IFERROR(Q45/Q$58,0)</f>
        <v>0.0183001935231589</v>
      </c>
      <c r="AI45" s="57" t="n">
        <f aca="false">IFERROR(R45/R$58,0)</f>
        <v>0.0182836427242468</v>
      </c>
      <c r="AJ45" s="49" t="n">
        <f aca="false">K45-N45</f>
        <v>299804.05</v>
      </c>
      <c r="AK45" s="57" t="n">
        <f aca="false">IFERROR(I45/I$58,0)</f>
        <v>0.0185351850013573</v>
      </c>
    </row>
    <row r="46" customFormat="false" ht="15" hidden="false" customHeight="false" outlineLevel="0" collapsed="false">
      <c r="A46" s="13" t="n">
        <v>41</v>
      </c>
      <c r="B46" s="53"/>
      <c r="C46" s="54" t="n">
        <v>67303</v>
      </c>
      <c r="D46" s="54" t="n">
        <v>38634</v>
      </c>
      <c r="E46" s="54" t="n">
        <v>8816</v>
      </c>
      <c r="F46" s="54" t="n">
        <v>107724</v>
      </c>
      <c r="G46" s="54" t="n">
        <v>30727</v>
      </c>
      <c r="H46" s="54" t="n">
        <v>20182</v>
      </c>
      <c r="I46" s="55" t="n">
        <f aca="false">SUM(C46:H46)</f>
        <v>273386</v>
      </c>
      <c r="J46" s="54" t="n">
        <v>5709</v>
      </c>
      <c r="K46" s="56" t="n">
        <v>407914.2</v>
      </c>
      <c r="L46" s="54" t="n">
        <v>10990</v>
      </c>
      <c r="M46" s="56" t="n">
        <v>34112.54</v>
      </c>
      <c r="N46" s="56" t="n">
        <v>109602.15</v>
      </c>
      <c r="O46" s="54" t="n">
        <v>2068</v>
      </c>
      <c r="P46" s="56" t="n">
        <v>28791.26</v>
      </c>
      <c r="Q46" s="56" t="n">
        <v>12151.34</v>
      </c>
      <c r="R46" s="56" t="n">
        <v>1789.26</v>
      </c>
      <c r="S46" s="27"/>
      <c r="T46" s="27"/>
      <c r="U46" s="57" t="n">
        <f aca="false">IFERROR(J46/I46,0)</f>
        <v>0.0208825616527547</v>
      </c>
      <c r="V46" s="58" t="n">
        <f aca="false">IFERROR(K46/J46,0)</f>
        <v>71.451077246453</v>
      </c>
      <c r="W46" s="59" t="n">
        <f aca="false">IFERROR(L46/J46,0)</f>
        <v>1.92503065335435</v>
      </c>
      <c r="X46" s="22" t="n">
        <f aca="false">IFERROR(M46/(K46+M46),0)</f>
        <v>0.0771730235143693</v>
      </c>
      <c r="Y46" s="22" t="n">
        <f aca="false">IFERROR(N46/K46,0)</f>
        <v>0.268689224351592</v>
      </c>
      <c r="Z46" s="22" t="n">
        <f aca="false">IFERROR(O46/J46,0)</f>
        <v>0.36223506743738</v>
      </c>
      <c r="AA46" s="58" t="n">
        <f aca="false">IFERROR(P46/C46,0)</f>
        <v>0.427785685630655</v>
      </c>
      <c r="AB46" s="58" t="n">
        <f aca="false">IFERROR(Q46/D46,0)</f>
        <v>0.314524512087798</v>
      </c>
      <c r="AC46" s="58" t="n">
        <f aca="false">IFERROR(R46/E46,0)</f>
        <v>0.202955989110708</v>
      </c>
      <c r="AD46" s="57" t="n">
        <f aca="false">IFERROR(F46/F$58,0)</f>
        <v>0.0183023423817715</v>
      </c>
      <c r="AE46" s="57" t="n">
        <f aca="false">IFERROR(G46/G$58,0)</f>
        <v>0.017077927527605</v>
      </c>
      <c r="AF46" s="57" t="n">
        <f aca="false">IFERROR(H46/H$58,0)</f>
        <v>0.0196035387777463</v>
      </c>
      <c r="AG46" s="57" t="n">
        <f aca="false">IFERROR(P46/P$58,0)</f>
        <v>0.0188800956420246</v>
      </c>
      <c r="AH46" s="57" t="n">
        <f aca="false">IFERROR(Q46/Q$58,0)</f>
        <v>0.0194316972086735</v>
      </c>
      <c r="AI46" s="57" t="n">
        <f aca="false">IFERROR(R46/R$58,0)</f>
        <v>0.0204182939587978</v>
      </c>
      <c r="AJ46" s="49" t="n">
        <f aca="false">K46-N46</f>
        <v>298312.05</v>
      </c>
      <c r="AK46" s="57" t="n">
        <f aca="false">IFERROR(I46/I$58,0)</f>
        <v>0.0183738844132083</v>
      </c>
    </row>
    <row r="47" customFormat="false" ht="15" hidden="false" customHeight="false" outlineLevel="0" collapsed="false">
      <c r="A47" s="13" t="n">
        <v>42</v>
      </c>
      <c r="B47" s="53"/>
      <c r="C47" s="54" t="n">
        <v>73088</v>
      </c>
      <c r="D47" s="54" t="n">
        <v>40657</v>
      </c>
      <c r="E47" s="54" t="n">
        <v>8551</v>
      </c>
      <c r="F47" s="54" t="n">
        <v>115020</v>
      </c>
      <c r="G47" s="54" t="n">
        <v>32023</v>
      </c>
      <c r="H47" s="54" t="n">
        <v>21063</v>
      </c>
      <c r="I47" s="55" t="n">
        <f aca="false">SUM(C47:H47)</f>
        <v>290402</v>
      </c>
      <c r="J47" s="54" t="n">
        <v>6147</v>
      </c>
      <c r="K47" s="56" t="n">
        <v>434075.12</v>
      </c>
      <c r="L47" s="54" t="n">
        <v>11834</v>
      </c>
      <c r="M47" s="56" t="n">
        <v>34573.87</v>
      </c>
      <c r="N47" s="56" t="n">
        <v>111286.45</v>
      </c>
      <c r="O47" s="54" t="n">
        <v>2099</v>
      </c>
      <c r="P47" s="56" t="n">
        <v>31810.29</v>
      </c>
      <c r="Q47" s="56" t="n">
        <v>12353.45</v>
      </c>
      <c r="R47" s="56" t="n">
        <v>1763.59</v>
      </c>
      <c r="S47" s="27"/>
      <c r="T47" s="27"/>
      <c r="U47" s="57" t="n">
        <f aca="false">IFERROR(J47/I47,0)</f>
        <v>0.0211672095922204</v>
      </c>
      <c r="V47" s="58" t="n">
        <f aca="false">IFERROR(K47/J47,0)</f>
        <v>70.6157670408329</v>
      </c>
      <c r="W47" s="59" t="n">
        <f aca="false">IFERROR(L47/J47,0)</f>
        <v>1.92516674800716</v>
      </c>
      <c r="X47" s="22" t="n">
        <f aca="false">IFERROR(M47/(K47+M47),0)</f>
        <v>0.0737734866344212</v>
      </c>
      <c r="Y47" s="22" t="n">
        <f aca="false">IFERROR(N47/K47,0)</f>
        <v>0.256376016206596</v>
      </c>
      <c r="Z47" s="22" t="n">
        <f aca="false">IFERROR(O47/J47,0)</f>
        <v>0.34146738246299</v>
      </c>
      <c r="AA47" s="58" t="n">
        <f aca="false">IFERROR(P47/C47,0)</f>
        <v>0.435232733143608</v>
      </c>
      <c r="AB47" s="58" t="n">
        <f aca="false">IFERROR(Q47/D47,0)</f>
        <v>0.303845586245911</v>
      </c>
      <c r="AC47" s="58" t="n">
        <f aca="false">IFERROR(R47/E47,0)</f>
        <v>0.206243714185475</v>
      </c>
      <c r="AD47" s="57" t="n">
        <f aca="false">IFERROR(F47/F$58,0)</f>
        <v>0.0195419351374935</v>
      </c>
      <c r="AE47" s="57" t="n">
        <f aca="false">IFERROR(G47/G$58,0)</f>
        <v>0.0177982384618249</v>
      </c>
      <c r="AF47" s="57" t="n">
        <f aca="false">IFERROR(H47/H$58,0)</f>
        <v>0.0204592873489084</v>
      </c>
      <c r="AG47" s="57" t="n">
        <f aca="false">IFERROR(P47/P$58,0)</f>
        <v>0.020859848356777</v>
      </c>
      <c r="AH47" s="57" t="n">
        <f aca="false">IFERROR(Q47/Q$58,0)</f>
        <v>0.0197548994499773</v>
      </c>
      <c r="AI47" s="57" t="n">
        <f aca="false">IFERROR(R47/R$58,0)</f>
        <v>0.020125358552025</v>
      </c>
      <c r="AJ47" s="49" t="n">
        <f aca="false">K47-N47</f>
        <v>322788.67</v>
      </c>
      <c r="AK47" s="57" t="n">
        <f aca="false">IFERROR(I47/I$58,0)</f>
        <v>0.0195175055831846</v>
      </c>
    </row>
    <row r="48" customFormat="false" ht="15" hidden="false" customHeight="false" outlineLevel="0" collapsed="false">
      <c r="A48" s="13" t="n">
        <v>43</v>
      </c>
      <c r="B48" s="53" t="s">
        <v>438</v>
      </c>
      <c r="C48" s="54" t="n">
        <v>129067</v>
      </c>
      <c r="D48" s="54" t="n">
        <v>79046</v>
      </c>
      <c r="E48" s="54" t="n">
        <v>15172</v>
      </c>
      <c r="F48" s="54" t="n">
        <v>214312</v>
      </c>
      <c r="G48" s="54" t="n">
        <v>90904</v>
      </c>
      <c r="H48" s="54" t="n">
        <v>39512</v>
      </c>
      <c r="I48" s="55" t="n">
        <f aca="false">SUM(C48:H48)</f>
        <v>568013</v>
      </c>
      <c r="J48" s="54" t="n">
        <v>16892</v>
      </c>
      <c r="K48" s="56" t="n">
        <v>1153391.22</v>
      </c>
      <c r="L48" s="54" t="n">
        <v>31485</v>
      </c>
      <c r="M48" s="56" t="n">
        <v>372881.35</v>
      </c>
      <c r="N48" s="56" t="n">
        <v>328607.94</v>
      </c>
      <c r="O48" s="54" t="n">
        <v>7548</v>
      </c>
      <c r="P48" s="56" t="n">
        <v>51656.15</v>
      </c>
      <c r="Q48" s="56" t="n">
        <v>24733.76</v>
      </c>
      <c r="R48" s="56" t="n">
        <v>3069.88</v>
      </c>
      <c r="S48" s="27"/>
      <c r="T48" s="27"/>
      <c r="U48" s="57" t="n">
        <f aca="false">IFERROR(J48/I48,0)</f>
        <v>0.0297387559791765</v>
      </c>
      <c r="V48" s="58" t="n">
        <f aca="false">IFERROR(K48/J48,0)</f>
        <v>68.2803232299313</v>
      </c>
      <c r="W48" s="59" t="n">
        <f aca="false">IFERROR(L48/J48,0)</f>
        <v>1.86390007103955</v>
      </c>
      <c r="X48" s="22" t="n">
        <f aca="false">IFERROR(M48/(K48+M48),0)</f>
        <v>0.244308492027738</v>
      </c>
      <c r="Y48" s="22" t="n">
        <f aca="false">IFERROR(N48/K48,0)</f>
        <v>0.284905879550566</v>
      </c>
      <c r="Z48" s="22" t="n">
        <f aca="false">IFERROR(O48/J48,0)</f>
        <v>0.446838740232063</v>
      </c>
      <c r="AA48" s="58" t="n">
        <f aca="false">IFERROR(P48/C48,0)</f>
        <v>0.400227401272207</v>
      </c>
      <c r="AB48" s="58" t="n">
        <f aca="false">IFERROR(Q48/D48,0)</f>
        <v>0.312903372719682</v>
      </c>
      <c r="AC48" s="58" t="n">
        <f aca="false">IFERROR(R48/E48,0)</f>
        <v>0.202338518323227</v>
      </c>
      <c r="AD48" s="57" t="n">
        <f aca="false">IFERROR(F48/F$58,0)</f>
        <v>0.0364116779967529</v>
      </c>
      <c r="AE48" s="57" t="n">
        <f aca="false">IFERROR(G48/G$58,0)</f>
        <v>0.0505240317625997</v>
      </c>
      <c r="AF48" s="57" t="n">
        <f aca="false">IFERROR(H48/H$58,0)</f>
        <v>0.0383794977795219</v>
      </c>
      <c r="AG48" s="57" t="n">
        <f aca="false">IFERROR(P48/P$58,0)</f>
        <v>0.0338739274522466</v>
      </c>
      <c r="AH48" s="57" t="n">
        <f aca="false">IFERROR(Q48/Q$58,0)</f>
        <v>0.0395527518077841</v>
      </c>
      <c r="AI48" s="57" t="n">
        <f aca="false">IFERROR(R48/R$58,0)</f>
        <v>0.0350321989304149</v>
      </c>
      <c r="AJ48" s="49" t="n">
        <f aca="false">K48-N48</f>
        <v>824783.28</v>
      </c>
      <c r="AK48" s="57" t="n">
        <f aca="false">IFERROR(I48/I$58,0)</f>
        <v>0.0381753462401135</v>
      </c>
    </row>
    <row r="49" customFormat="false" ht="15" hidden="false" customHeight="false" outlineLevel="0" collapsed="false">
      <c r="A49" s="13" t="n">
        <v>44</v>
      </c>
      <c r="B49" s="53" t="s">
        <v>440</v>
      </c>
      <c r="C49" s="54" t="n">
        <v>109769</v>
      </c>
      <c r="D49" s="54" t="n">
        <v>58114</v>
      </c>
      <c r="E49" s="54" t="n">
        <v>12707</v>
      </c>
      <c r="F49" s="54" t="n">
        <v>168587</v>
      </c>
      <c r="G49" s="54" t="n">
        <v>80550</v>
      </c>
      <c r="H49" s="54" t="n">
        <v>30370</v>
      </c>
      <c r="I49" s="55" t="n">
        <f aca="false">SUM(C49:H49)</f>
        <v>460097</v>
      </c>
      <c r="J49" s="54" t="n">
        <v>12365</v>
      </c>
      <c r="K49" s="56" t="n">
        <v>877861.95</v>
      </c>
      <c r="L49" s="54" t="n">
        <v>23089</v>
      </c>
      <c r="M49" s="56" t="n">
        <v>265073.19</v>
      </c>
      <c r="N49" s="56" t="n">
        <v>249211.48</v>
      </c>
      <c r="O49" s="54" t="n">
        <v>5730</v>
      </c>
      <c r="P49" s="56" t="n">
        <v>47969.28</v>
      </c>
      <c r="Q49" s="56" t="n">
        <v>18242.52</v>
      </c>
      <c r="R49" s="56" t="n">
        <v>2427.51</v>
      </c>
      <c r="S49" s="27"/>
      <c r="T49" s="27"/>
      <c r="U49" s="57" t="n">
        <f aca="false">IFERROR(J49/I49,0)</f>
        <v>0.0268747677120259</v>
      </c>
      <c r="V49" s="58" t="n">
        <f aca="false">IFERROR(K49/J49,0)</f>
        <v>70.9957096643753</v>
      </c>
      <c r="W49" s="59" t="n">
        <f aca="false">IFERROR(L49/J49,0)</f>
        <v>1.86728669632026</v>
      </c>
      <c r="X49" s="22" t="n">
        <f aca="false">IFERROR(M49/(K49+M49),0)</f>
        <v>0.231923213070516</v>
      </c>
      <c r="Y49" s="22" t="n">
        <f aca="false">IFERROR(N49/K49,0)</f>
        <v>0.283884590282105</v>
      </c>
      <c r="Z49" s="22" t="n">
        <f aca="false">IFERROR(O49/J49,0)</f>
        <v>0.463404771532552</v>
      </c>
      <c r="AA49" s="58" t="n">
        <f aca="false">IFERROR(P49/C49,0)</f>
        <v>0.43700206797912</v>
      </c>
      <c r="AB49" s="58" t="n">
        <f aca="false">IFERROR(Q49/D49,0)</f>
        <v>0.313909212926317</v>
      </c>
      <c r="AC49" s="58" t="n">
        <f aca="false">IFERROR(R49/E49,0)</f>
        <v>0.191037223577556</v>
      </c>
      <c r="AD49" s="57" t="n">
        <f aca="false">IFERROR(F49/F$58,0)</f>
        <v>0.0286429857331301</v>
      </c>
      <c r="AE49" s="57" t="n">
        <f aca="false">IFERROR(G49/G$58,0)</f>
        <v>0.0447693254254753</v>
      </c>
      <c r="AF49" s="57" t="n">
        <f aca="false">IFERROR(H49/H$58,0)</f>
        <v>0.0294995279298461</v>
      </c>
      <c r="AG49" s="57" t="n">
        <f aca="false">IFERROR(P49/P$58,0)</f>
        <v>0.0314562333944071</v>
      </c>
      <c r="AH49" s="57" t="n">
        <f aca="false">IFERROR(Q49/Q$58,0)</f>
        <v>0.0291723484787003</v>
      </c>
      <c r="AI49" s="57" t="n">
        <f aca="false">IFERROR(R49/R$58,0)</f>
        <v>0.0277017385779156</v>
      </c>
      <c r="AJ49" s="49" t="n">
        <f aca="false">K49-N49</f>
        <v>628650.47</v>
      </c>
      <c r="AK49" s="57" t="n">
        <f aca="false">IFERROR(I49/I$58,0)</f>
        <v>0.0309224652939942</v>
      </c>
    </row>
    <row r="50" customFormat="false" ht="15" hidden="false" customHeight="false" outlineLevel="0" collapsed="false">
      <c r="A50" s="13" t="n">
        <v>45</v>
      </c>
      <c r="B50" s="53"/>
      <c r="C50" s="54" t="n">
        <v>86574</v>
      </c>
      <c r="D50" s="54" t="n">
        <v>51528</v>
      </c>
      <c r="E50" s="54" t="n">
        <v>10710</v>
      </c>
      <c r="F50" s="54" t="n">
        <v>142637</v>
      </c>
      <c r="G50" s="54" t="n">
        <v>38471</v>
      </c>
      <c r="H50" s="54" t="n">
        <v>24109</v>
      </c>
      <c r="I50" s="55" t="n">
        <f aca="false">SUM(C50:H50)</f>
        <v>354029</v>
      </c>
      <c r="J50" s="54" t="n">
        <v>8210</v>
      </c>
      <c r="K50" s="56" t="n">
        <v>632851.92</v>
      </c>
      <c r="L50" s="54" t="n">
        <v>15866</v>
      </c>
      <c r="M50" s="56" t="n">
        <v>55140.82</v>
      </c>
      <c r="N50" s="56" t="n">
        <v>176440.76</v>
      </c>
      <c r="O50" s="54" t="n">
        <v>2743</v>
      </c>
      <c r="P50" s="56" t="n">
        <v>37511.27</v>
      </c>
      <c r="Q50" s="56" t="n">
        <v>15697.44</v>
      </c>
      <c r="R50" s="56" t="n">
        <v>2040.08</v>
      </c>
      <c r="S50" s="27"/>
      <c r="T50" s="27"/>
      <c r="U50" s="57" t="n">
        <f aca="false">IFERROR(J50/I50,0)</f>
        <v>0.0231901906341006</v>
      </c>
      <c r="V50" s="58" t="n">
        <f aca="false">IFERROR(K50/J50,0)</f>
        <v>77.083059683313</v>
      </c>
      <c r="W50" s="59" t="n">
        <f aca="false">IFERROR(L50/J50,0)</f>
        <v>1.93252131546894</v>
      </c>
      <c r="X50" s="22" t="n">
        <f aca="false">IFERROR(M50/(K50+M50),0)</f>
        <v>0.0801473864389906</v>
      </c>
      <c r="Y50" s="22" t="n">
        <f aca="false">IFERROR(N50/K50,0)</f>
        <v>0.278802598876527</v>
      </c>
      <c r="Z50" s="22" t="n">
        <f aca="false">IFERROR(O50/J50,0)</f>
        <v>0.334104750304507</v>
      </c>
      <c r="AA50" s="58" t="n">
        <f aca="false">IFERROR(P50/C50,0)</f>
        <v>0.433285628479682</v>
      </c>
      <c r="AB50" s="58" t="n">
        <f aca="false">IFERROR(Q50/D50,0)</f>
        <v>0.304639031206334</v>
      </c>
      <c r="AC50" s="58" t="n">
        <f aca="false">IFERROR(R50/E50,0)</f>
        <v>0.190483660130719</v>
      </c>
      <c r="AD50" s="57" t="n">
        <f aca="false">IFERROR(F50/F$58,0)</f>
        <v>0.0242340723544311</v>
      </c>
      <c r="AE50" s="57" t="n">
        <f aca="false">IFERROR(G50/G$58,0)</f>
        <v>0.0213820076777587</v>
      </c>
      <c r="AF50" s="57" t="n">
        <f aca="false">IFERROR(H50/H$58,0)</f>
        <v>0.02341798218178</v>
      </c>
      <c r="AG50" s="57" t="n">
        <f aca="false">IFERROR(P50/P$58,0)</f>
        <v>0.024598310919835</v>
      </c>
      <c r="AH50" s="57" t="n">
        <f aca="false">IFERROR(Q50/Q$58,0)</f>
        <v>0.0251024085435285</v>
      </c>
      <c r="AI50" s="57" t="n">
        <f aca="false">IFERROR(R50/R$58,0)</f>
        <v>0.0232805479021854</v>
      </c>
      <c r="AJ50" s="49" t="n">
        <f aca="false">K50-N50</f>
        <v>456411.16</v>
      </c>
      <c r="AK50" s="57" t="n">
        <f aca="false">IFERROR(I50/I$58,0)</f>
        <v>0.0237937858007496</v>
      </c>
    </row>
    <row r="51" customFormat="false" ht="15" hidden="false" customHeight="false" outlineLevel="0" collapsed="false">
      <c r="A51" s="13" t="n">
        <v>46</v>
      </c>
      <c r="B51" s="53"/>
      <c r="C51" s="54" t="n">
        <v>85156</v>
      </c>
      <c r="D51" s="54" t="n">
        <v>46352</v>
      </c>
      <c r="E51" s="54" t="n">
        <v>9930</v>
      </c>
      <c r="F51" s="54" t="n">
        <v>135222</v>
      </c>
      <c r="G51" s="54" t="n">
        <v>39203</v>
      </c>
      <c r="H51" s="54" t="n">
        <v>25393</v>
      </c>
      <c r="I51" s="55" t="n">
        <f aca="false">SUM(C51:H51)</f>
        <v>341256</v>
      </c>
      <c r="J51" s="54" t="n">
        <v>7921</v>
      </c>
      <c r="K51" s="56" t="n">
        <v>627761.44</v>
      </c>
      <c r="L51" s="54" t="n">
        <v>14976</v>
      </c>
      <c r="M51" s="56" t="n">
        <v>50750.53</v>
      </c>
      <c r="N51" s="56" t="n">
        <v>174059.37</v>
      </c>
      <c r="O51" s="54" t="n">
        <v>2938</v>
      </c>
      <c r="P51" s="56" t="n">
        <v>34157.2</v>
      </c>
      <c r="Q51" s="56" t="n">
        <v>13812.04</v>
      </c>
      <c r="R51" s="56" t="n">
        <v>1906.05</v>
      </c>
      <c r="S51" s="27"/>
      <c r="T51" s="27"/>
      <c r="U51" s="57" t="n">
        <f aca="false">IFERROR(J51/I51,0)</f>
        <v>0.023211313500715</v>
      </c>
      <c r="V51" s="58" t="n">
        <f aca="false">IFERROR(K51/J51,0)</f>
        <v>79.2528014139629</v>
      </c>
      <c r="W51" s="59" t="n">
        <f aca="false">IFERROR(L51/J51,0)</f>
        <v>1.89067036990279</v>
      </c>
      <c r="X51" s="22" t="n">
        <f aca="false">IFERROR(M51/(K51+M51),0)</f>
        <v>0.0747968086694182</v>
      </c>
      <c r="Y51" s="22" t="n">
        <f aca="false">IFERROR(N51/K51,0)</f>
        <v>0.2772699291629</v>
      </c>
      <c r="Z51" s="22" t="n">
        <f aca="false">IFERROR(O51/J51,0)</f>
        <v>0.370912763539957</v>
      </c>
      <c r="AA51" s="58" t="n">
        <f aca="false">IFERROR(P51/C51,0)</f>
        <v>0.401113250974682</v>
      </c>
      <c r="AB51" s="58" t="n">
        <f aca="false">IFERROR(Q51/D51,0)</f>
        <v>0.297981532619952</v>
      </c>
      <c r="AC51" s="58" t="n">
        <f aca="false">IFERROR(R51/E51,0)</f>
        <v>0.191948640483384</v>
      </c>
      <c r="AD51" s="57" t="n">
        <f aca="false">IFERROR(F51/F$58,0)</f>
        <v>0.0229742614602865</v>
      </c>
      <c r="AE51" s="57" t="n">
        <f aca="false">IFERROR(G51/G$58,0)</f>
        <v>0.0217888499646792</v>
      </c>
      <c r="AF51" s="57" t="n">
        <f aca="false">IFERROR(H51/H$58,0)</f>
        <v>0.0246651798723274</v>
      </c>
      <c r="AG51" s="57" t="n">
        <f aca="false">IFERROR(P51/P$58,0)</f>
        <v>0.0223988530847126</v>
      </c>
      <c r="AH51" s="57" t="n">
        <f aca="false">IFERROR(Q51/Q$58,0)</f>
        <v>0.0220873894660248</v>
      </c>
      <c r="AI51" s="57" t="n">
        <f aca="false">IFERROR(R51/R$58,0)</f>
        <v>0.0217510530611351</v>
      </c>
      <c r="AJ51" s="49" t="n">
        <f aca="false">K51-N51</f>
        <v>453702.07</v>
      </c>
      <c r="AK51" s="57" t="n">
        <f aca="false">IFERROR(I51/I$58,0)</f>
        <v>0.0229353306289049</v>
      </c>
    </row>
    <row r="52" customFormat="false" ht="15" hidden="false" customHeight="false" outlineLevel="0" collapsed="false">
      <c r="A52" s="13" t="n">
        <v>47</v>
      </c>
      <c r="B52" s="53"/>
      <c r="C52" s="54" t="n">
        <v>65652</v>
      </c>
      <c r="D52" s="54" t="n">
        <v>36522</v>
      </c>
      <c r="E52" s="54" t="n">
        <v>7656</v>
      </c>
      <c r="F52" s="54" t="n">
        <v>97341</v>
      </c>
      <c r="G52" s="54" t="n">
        <v>28914</v>
      </c>
      <c r="H52" s="54" t="n">
        <v>17007</v>
      </c>
      <c r="I52" s="55" t="n">
        <f aca="false">SUM(C52:H52)</f>
        <v>253092</v>
      </c>
      <c r="J52" s="54" t="n">
        <v>5338</v>
      </c>
      <c r="K52" s="56" t="n">
        <v>387755.45</v>
      </c>
      <c r="L52" s="54" t="n">
        <v>10235</v>
      </c>
      <c r="M52" s="56" t="n">
        <v>32444.96</v>
      </c>
      <c r="N52" s="56" t="n">
        <v>99175.13</v>
      </c>
      <c r="O52" s="54" t="n">
        <v>1979</v>
      </c>
      <c r="P52" s="56" t="n">
        <v>28918.98</v>
      </c>
      <c r="Q52" s="56" t="n">
        <v>11205.05</v>
      </c>
      <c r="R52" s="56" t="n">
        <v>1578.56</v>
      </c>
      <c r="S52" s="27"/>
      <c r="T52" s="27"/>
      <c r="U52" s="57" t="n">
        <f aca="false">IFERROR(J52/I52,0)</f>
        <v>0.0210911447220774</v>
      </c>
      <c r="V52" s="58" t="n">
        <f aca="false">IFERROR(K52/J52,0)</f>
        <v>72.6405863619333</v>
      </c>
      <c r="W52" s="59" t="n">
        <f aca="false">IFERROR(L52/J52,0)</f>
        <v>1.91738478831023</v>
      </c>
      <c r="X52" s="22" t="n">
        <f aca="false">IFERROR(M52/(K52+M52),0)</f>
        <v>0.0772130612628388</v>
      </c>
      <c r="Y52" s="22" t="n">
        <f aca="false">IFERROR(N52/K52,0)</f>
        <v>0.255767211008898</v>
      </c>
      <c r="Z52" s="22" t="n">
        <f aca="false">IFERROR(O52/J52,0)</f>
        <v>0.370738104158861</v>
      </c>
      <c r="AA52" s="58" t="n">
        <f aca="false">IFERROR(P52/C52,0)</f>
        <v>0.440488941692561</v>
      </c>
      <c r="AB52" s="58" t="n">
        <f aca="false">IFERROR(Q52/D52,0)</f>
        <v>0.306802749027983</v>
      </c>
      <c r="AC52" s="58" t="n">
        <f aca="false">IFERROR(R52/E52,0)</f>
        <v>0.206185997910136</v>
      </c>
      <c r="AD52" s="57" t="n">
        <f aca="false">IFERROR(F52/F$58,0)</f>
        <v>0.0165382673293232</v>
      </c>
      <c r="AE52" s="57" t="n">
        <f aca="false">IFERROR(G52/G$58,0)</f>
        <v>0.0160702703333606</v>
      </c>
      <c r="AF52" s="57" t="n">
        <f aca="false">IFERROR(H52/H$58,0)</f>
        <v>0.0165195413731608</v>
      </c>
      <c r="AG52" s="57" t="n">
        <f aca="false">IFERROR(P52/P$58,0)</f>
        <v>0.0189638490385553</v>
      </c>
      <c r="AH52" s="57" t="n">
        <f aca="false">IFERROR(Q52/Q$58,0)</f>
        <v>0.0179184467563286</v>
      </c>
      <c r="AI52" s="57" t="n">
        <f aca="false">IFERROR(R52/R$58,0)</f>
        <v>0.0180138728365916</v>
      </c>
      <c r="AJ52" s="49" t="n">
        <f aca="false">K52-N52</f>
        <v>288580.32</v>
      </c>
      <c r="AK52" s="57" t="n">
        <f aca="false">IFERROR(I52/I$58,0)</f>
        <v>0.0170099535232518</v>
      </c>
    </row>
    <row r="53" customFormat="false" ht="15" hidden="false" customHeight="false" outlineLevel="0" collapsed="false">
      <c r="A53" s="13" t="n">
        <v>48</v>
      </c>
      <c r="B53" s="53" t="s">
        <v>442</v>
      </c>
      <c r="C53" s="54" t="n">
        <v>111675</v>
      </c>
      <c r="D53" s="54" t="n">
        <v>63914</v>
      </c>
      <c r="E53" s="54" t="n">
        <v>13590</v>
      </c>
      <c r="F53" s="54" t="n">
        <v>166611</v>
      </c>
      <c r="G53" s="54" t="n">
        <v>77000</v>
      </c>
      <c r="H53" s="54" t="n">
        <v>28863</v>
      </c>
      <c r="I53" s="55" t="n">
        <f aca="false">SUM(C53:H53)</f>
        <v>461653</v>
      </c>
      <c r="J53" s="54" t="n">
        <v>12304</v>
      </c>
      <c r="K53" s="56" t="n">
        <v>781582.91</v>
      </c>
      <c r="L53" s="54" t="n">
        <v>23458</v>
      </c>
      <c r="M53" s="56" t="n">
        <v>398012.56</v>
      </c>
      <c r="N53" s="56" t="n">
        <v>188534.22</v>
      </c>
      <c r="O53" s="54" t="n">
        <v>5828</v>
      </c>
      <c r="P53" s="56" t="n">
        <v>47134.55</v>
      </c>
      <c r="Q53" s="56" t="n">
        <v>20045.12</v>
      </c>
      <c r="R53" s="56" t="n">
        <v>2597.51</v>
      </c>
      <c r="S53" s="27"/>
      <c r="T53" s="27"/>
      <c r="U53" s="57" t="n">
        <f aca="false">IFERROR(J53/I53,0)</f>
        <v>0.026652052515634</v>
      </c>
      <c r="V53" s="58" t="n">
        <f aca="false">IFERROR(K53/J53,0)</f>
        <v>63.5226682379714</v>
      </c>
      <c r="W53" s="59" t="n">
        <f aca="false">IFERROR(L53/J53,0)</f>
        <v>1.9065344603381</v>
      </c>
      <c r="X53" s="22" t="n">
        <f aca="false">IFERROR(M53/(K53+M53),0)</f>
        <v>0.337414452769982</v>
      </c>
      <c r="Y53" s="22" t="n">
        <f aca="false">IFERROR(N53/K53,0)</f>
        <v>0.241221011344785</v>
      </c>
      <c r="Z53" s="22" t="n">
        <f aca="false">IFERROR(O53/J53,0)</f>
        <v>0.473667100130039</v>
      </c>
      <c r="AA53" s="58" t="n">
        <f aca="false">IFERROR(P53/C53,0)</f>
        <v>0.422068950078352</v>
      </c>
      <c r="AB53" s="58" t="n">
        <f aca="false">IFERROR(Q53/D53,0)</f>
        <v>0.313626435522734</v>
      </c>
      <c r="AC53" s="58" t="n">
        <f aca="false">IFERROR(R53/E53,0)</f>
        <v>0.191133922001472</v>
      </c>
      <c r="AD53" s="57" t="n">
        <f aca="false">IFERROR(F53/F$58,0)</f>
        <v>0.028307262695122</v>
      </c>
      <c r="AE53" s="57" t="n">
        <f aca="false">IFERROR(G53/G$58,0)</f>
        <v>0.0427962514930056</v>
      </c>
      <c r="AF53" s="57" t="n">
        <f aca="false">IFERROR(H53/H$58,0)</f>
        <v>0.0280357219176539</v>
      </c>
      <c r="AG53" s="57" t="n">
        <f aca="false">IFERROR(P53/P$58,0)</f>
        <v>0.0309088526185999</v>
      </c>
      <c r="AH53" s="57" t="n">
        <f aca="false">IFERROR(Q53/Q$58,0)</f>
        <v>0.0320549587413013</v>
      </c>
      <c r="AI53" s="57" t="n">
        <f aca="false">IFERROR(R53/R$58,0)</f>
        <v>0.0296417081591925</v>
      </c>
      <c r="AJ53" s="49" t="n">
        <f aca="false">K53-N53</f>
        <v>593048.69</v>
      </c>
      <c r="AK53" s="57" t="n">
        <f aca="false">IFERROR(I53/I$58,0)</f>
        <v>0.0310270418419774</v>
      </c>
    </row>
    <row r="54" customFormat="false" ht="15" hidden="false" customHeight="false" outlineLevel="0" collapsed="false">
      <c r="A54" s="13" t="n">
        <v>49</v>
      </c>
      <c r="B54" s="53" t="s">
        <v>443</v>
      </c>
      <c r="C54" s="54" t="n">
        <v>84526</v>
      </c>
      <c r="D54" s="54" t="n">
        <v>52876</v>
      </c>
      <c r="E54" s="54" t="n">
        <v>10188</v>
      </c>
      <c r="F54" s="54" t="n">
        <v>141077</v>
      </c>
      <c r="G54" s="54" t="n">
        <v>66183</v>
      </c>
      <c r="H54" s="54" t="n">
        <v>23774</v>
      </c>
      <c r="I54" s="55" t="n">
        <f aca="false">SUM(C54:H54)</f>
        <v>378624</v>
      </c>
      <c r="J54" s="54" t="n">
        <v>9678</v>
      </c>
      <c r="K54" s="56" t="n">
        <v>627202.56</v>
      </c>
      <c r="L54" s="54" t="n">
        <v>18960</v>
      </c>
      <c r="M54" s="56" t="n">
        <v>277151.98</v>
      </c>
      <c r="N54" s="56" t="n">
        <v>147694.66</v>
      </c>
      <c r="O54" s="54" t="n">
        <v>4529</v>
      </c>
      <c r="P54" s="56" t="n">
        <v>34776.65</v>
      </c>
      <c r="Q54" s="56" t="n">
        <v>16562.78</v>
      </c>
      <c r="R54" s="56" t="n">
        <v>1991.92</v>
      </c>
      <c r="S54" s="27"/>
      <c r="T54" s="27"/>
      <c r="U54" s="57" t="n">
        <f aca="false">IFERROR(J54/I54,0)</f>
        <v>0.0255609787018256</v>
      </c>
      <c r="V54" s="58" t="n">
        <f aca="false">IFERROR(K54/J54,0)</f>
        <v>64.8070427774334</v>
      </c>
      <c r="W54" s="59" t="n">
        <f aca="false">IFERROR(L54/J54,0)</f>
        <v>1.9590824550527</v>
      </c>
      <c r="X54" s="22" t="n">
        <f aca="false">IFERROR(M54/(K54+M54),0)</f>
        <v>0.306463856531311</v>
      </c>
      <c r="Y54" s="22" t="n">
        <f aca="false">IFERROR(N54/K54,0)</f>
        <v>0.235481596248587</v>
      </c>
      <c r="Z54" s="22" t="n">
        <f aca="false">IFERROR(O54/J54,0)</f>
        <v>0.467968588551354</v>
      </c>
      <c r="AA54" s="58" t="n">
        <f aca="false">IFERROR(P54/C54,0)</f>
        <v>0.411431393890637</v>
      </c>
      <c r="AB54" s="58" t="n">
        <f aca="false">IFERROR(Q54/D54,0)</f>
        <v>0.313238142068235</v>
      </c>
      <c r="AC54" s="58" t="n">
        <f aca="false">IFERROR(R54/E54,0)</f>
        <v>0.195516293678838</v>
      </c>
      <c r="AD54" s="57" t="n">
        <f aca="false">IFERROR(F54/F$58,0)</f>
        <v>0.0239690278507405</v>
      </c>
      <c r="AE54" s="57" t="n">
        <f aca="false">IFERROR(G54/G$58,0)</f>
        <v>0.0367842118514492</v>
      </c>
      <c r="AF54" s="57" t="n">
        <f aca="false">IFERROR(H54/H$58,0)</f>
        <v>0.0230925840304301</v>
      </c>
      <c r="AG54" s="57" t="n">
        <f aca="false">IFERROR(P54/P$58,0)</f>
        <v>0.0228050623039497</v>
      </c>
      <c r="AH54" s="57" t="n">
        <f aca="false">IFERROR(Q54/Q$58,0)</f>
        <v>0.0264862085904824</v>
      </c>
      <c r="AI54" s="57" t="n">
        <f aca="false">IFERROR(R54/R$58,0)</f>
        <v>0.0227309659313954</v>
      </c>
      <c r="AJ54" s="49" t="n">
        <f aca="false">K54-N54</f>
        <v>479507.9</v>
      </c>
      <c r="AK54" s="57" t="n">
        <f aca="false">IFERROR(I54/I$58,0)</f>
        <v>0.0254467807863847</v>
      </c>
    </row>
    <row r="55" customFormat="false" ht="15" hidden="false" customHeight="false" outlineLevel="0" collapsed="false">
      <c r="A55" s="13" t="n">
        <v>50</v>
      </c>
      <c r="B55" s="53" t="s">
        <v>443</v>
      </c>
      <c r="C55" s="54" t="n">
        <v>75026</v>
      </c>
      <c r="D55" s="54" t="n">
        <v>44591</v>
      </c>
      <c r="E55" s="54" t="n">
        <v>10047</v>
      </c>
      <c r="F55" s="54" t="n">
        <v>122056</v>
      </c>
      <c r="G55" s="54" t="n">
        <v>34592</v>
      </c>
      <c r="H55" s="54" t="n">
        <v>22275</v>
      </c>
      <c r="I55" s="55" t="n">
        <f aca="false">SUM(C55:H55)</f>
        <v>308587</v>
      </c>
      <c r="J55" s="54" t="n">
        <v>6797</v>
      </c>
      <c r="K55" s="56" t="n">
        <v>451123.92</v>
      </c>
      <c r="L55" s="54" t="n">
        <v>12778</v>
      </c>
      <c r="M55" s="56" t="n">
        <v>185894.1</v>
      </c>
      <c r="N55" s="56" t="n">
        <v>116016.18</v>
      </c>
      <c r="O55" s="54" t="n">
        <v>3056</v>
      </c>
      <c r="P55" s="56" t="n">
        <v>31469.03</v>
      </c>
      <c r="Q55" s="56" t="n">
        <v>12761.97</v>
      </c>
      <c r="R55" s="56" t="n">
        <v>1977.36</v>
      </c>
      <c r="S55" s="27"/>
      <c r="T55" s="27"/>
      <c r="U55" s="57" t="n">
        <f aca="false">IFERROR(J55/I55,0)</f>
        <v>0.0220262033073331</v>
      </c>
      <c r="V55" s="58" t="n">
        <f aca="false">IFERROR(K55/J55,0)</f>
        <v>66.3710342798293</v>
      </c>
      <c r="W55" s="59" t="n">
        <f aca="false">IFERROR(L55/J55,0)</f>
        <v>1.87994703545682</v>
      </c>
      <c r="X55" s="22" t="n">
        <f aca="false">IFERROR(M55/(K55+M55),0)</f>
        <v>0.291819217296239</v>
      </c>
      <c r="Y55" s="22" t="n">
        <f aca="false">IFERROR(N55/K55,0)</f>
        <v>0.257171421989772</v>
      </c>
      <c r="Z55" s="22" t="n">
        <f aca="false">IFERROR(O55/J55,0)</f>
        <v>0.449610122112697</v>
      </c>
      <c r="AA55" s="58" t="n">
        <f aca="false">IFERROR(P55/C55,0)</f>
        <v>0.419441660224456</v>
      </c>
      <c r="AB55" s="58" t="n">
        <f aca="false">IFERROR(Q55/D55,0)</f>
        <v>0.286200578592093</v>
      </c>
      <c r="AC55" s="58" t="n">
        <f aca="false">IFERROR(R55/E55,0)</f>
        <v>0.196810988354733</v>
      </c>
      <c r="AD55" s="57" t="n">
        <f aca="false">IFERROR(F55/F$58,0)</f>
        <v>0.0207373538092672</v>
      </c>
      <c r="AE55" s="57" t="n">
        <f aca="false">IFERROR(G55/G$58,0)</f>
        <v>0.0192260770343643</v>
      </c>
      <c r="AF55" s="57" t="n">
        <f aca="false">IFERROR(H55/H$58,0)</f>
        <v>0.0216365487203596</v>
      </c>
      <c r="AG55" s="57" t="n">
        <f aca="false">IFERROR(P55/P$58,0)</f>
        <v>0.0206360644223887</v>
      </c>
      <c r="AH55" s="57" t="n">
        <f aca="false">IFERROR(Q55/Q$58,0)</f>
        <v>0.0204081802357744</v>
      </c>
      <c r="AI55" s="57" t="n">
        <f aca="false">IFERROR(R55/R$58,0)</f>
        <v>0.0225648132425519</v>
      </c>
      <c r="AJ55" s="49" t="n">
        <f aca="false">K55-N55</f>
        <v>335107.74</v>
      </c>
      <c r="AK55" s="57" t="n">
        <f aca="false">IFERROR(I55/I$58,0)</f>
        <v>0.0207396935813052</v>
      </c>
    </row>
    <row r="56" customFormat="false" ht="15" hidden="false" customHeight="false" outlineLevel="0" collapsed="false">
      <c r="A56" s="13" t="n">
        <v>51</v>
      </c>
      <c r="B56" s="53"/>
      <c r="C56" s="54" t="n">
        <v>58954</v>
      </c>
      <c r="D56" s="54" t="n">
        <v>34460</v>
      </c>
      <c r="E56" s="54" t="n">
        <v>7033</v>
      </c>
      <c r="F56" s="54" t="n">
        <v>92203</v>
      </c>
      <c r="G56" s="54" t="n">
        <v>27364</v>
      </c>
      <c r="H56" s="54" t="n">
        <v>17611</v>
      </c>
      <c r="I56" s="55" t="n">
        <f aca="false">SUM(C56:H56)</f>
        <v>237625</v>
      </c>
      <c r="J56" s="54" t="n">
        <v>5144</v>
      </c>
      <c r="K56" s="56" t="n">
        <v>361805.85</v>
      </c>
      <c r="L56" s="54" t="n">
        <v>9939</v>
      </c>
      <c r="M56" s="56" t="n">
        <v>49888.05</v>
      </c>
      <c r="N56" s="56" t="n">
        <v>93687.52</v>
      </c>
      <c r="O56" s="54" t="n">
        <v>1891</v>
      </c>
      <c r="P56" s="56" t="n">
        <v>25674.22</v>
      </c>
      <c r="Q56" s="56" t="n">
        <v>9872.24</v>
      </c>
      <c r="R56" s="56" t="n">
        <v>1461.44</v>
      </c>
      <c r="S56" s="27"/>
      <c r="T56" s="27"/>
      <c r="U56" s="57" t="n">
        <f aca="false">IFERROR(J56/I56,0)</f>
        <v>0.02164755391899</v>
      </c>
      <c r="V56" s="58" t="n">
        <f aca="false">IFERROR(K56/J56,0)</f>
        <v>70.3355073872473</v>
      </c>
      <c r="W56" s="59" t="n">
        <f aca="false">IFERROR(L56/J56,0)</f>
        <v>1.93215396578538</v>
      </c>
      <c r="X56" s="22" t="n">
        <f aca="false">IFERROR(M56/(K56+M56),0)</f>
        <v>0.121177530199014</v>
      </c>
      <c r="Y56" s="22" t="n">
        <f aca="false">IFERROR(N56/K56,0)</f>
        <v>0.258944182356366</v>
      </c>
      <c r="Z56" s="22" t="n">
        <f aca="false">IFERROR(O56/J56,0)</f>
        <v>0.367612752721617</v>
      </c>
      <c r="AA56" s="58" t="n">
        <f aca="false">IFERROR(P56/C56,0)</f>
        <v>0.435495810292771</v>
      </c>
      <c r="AB56" s="58" t="n">
        <f aca="false">IFERROR(Q56/D56,0)</f>
        <v>0.286484039466048</v>
      </c>
      <c r="AC56" s="58" t="n">
        <f aca="false">IFERROR(R56/E56,0)</f>
        <v>0.207797525949097</v>
      </c>
      <c r="AD56" s="57" t="n">
        <f aca="false">IFERROR(F56/F$58,0)</f>
        <v>0.0156653194703731</v>
      </c>
      <c r="AE56" s="57" t="n">
        <f aca="false">IFERROR(G56/G$58,0)</f>
        <v>0.0152087873487611</v>
      </c>
      <c r="AF56" s="57" t="n">
        <f aca="false">IFERROR(H56/H$58,0)</f>
        <v>0.0171062293833559</v>
      </c>
      <c r="AG56" s="57" t="n">
        <f aca="false">IFERROR(P56/P$58,0)</f>
        <v>0.0168360720973789</v>
      </c>
      <c r="AH56" s="57" t="n">
        <f aca="false">IFERROR(Q56/Q$58,0)</f>
        <v>0.015787096604272</v>
      </c>
      <c r="AI56" s="57" t="n">
        <f aca="false">IFERROR(R56/R$58,0)</f>
        <v>0.0166773479109495</v>
      </c>
      <c r="AJ56" s="49" t="n">
        <f aca="false">K56-N56</f>
        <v>268118.33</v>
      </c>
      <c r="AK56" s="57" t="n">
        <f aca="false">IFERROR(I56/I$58,0)</f>
        <v>0.0159704384412099</v>
      </c>
    </row>
    <row r="57" customFormat="false" ht="15" hidden="false" customHeight="false" outlineLevel="0" collapsed="false">
      <c r="A57" s="13" t="n">
        <v>52</v>
      </c>
      <c r="B57" s="53"/>
      <c r="C57" s="54" t="n">
        <v>55910</v>
      </c>
      <c r="D57" s="54" t="n">
        <v>32763</v>
      </c>
      <c r="E57" s="54" t="n">
        <v>6598</v>
      </c>
      <c r="F57" s="54" t="n">
        <v>89118</v>
      </c>
      <c r="G57" s="54" t="n">
        <v>26372</v>
      </c>
      <c r="H57" s="54" t="n">
        <v>16836</v>
      </c>
      <c r="I57" s="55" t="n">
        <f aca="false">SUM(C57:H57)</f>
        <v>227597</v>
      </c>
      <c r="J57" s="54" t="n">
        <v>4923</v>
      </c>
      <c r="K57" s="56" t="n">
        <v>362220.98</v>
      </c>
      <c r="L57" s="54" t="n">
        <v>9044</v>
      </c>
      <c r="M57" s="56" t="n">
        <v>28900.77</v>
      </c>
      <c r="N57" s="56" t="n">
        <v>93519.81</v>
      </c>
      <c r="O57" s="54" t="n">
        <v>1751</v>
      </c>
      <c r="P57" s="56" t="n">
        <v>22956.83</v>
      </c>
      <c r="Q57" s="56" t="n">
        <v>10068.45</v>
      </c>
      <c r="R57" s="56" t="n">
        <v>1254.3</v>
      </c>
      <c r="S57" s="27"/>
      <c r="T57" s="27"/>
      <c r="U57" s="57" t="n">
        <f aca="false">IFERROR(J57/I57,0)</f>
        <v>0.0216303378339785</v>
      </c>
      <c r="V57" s="58" t="n">
        <f aca="false">IFERROR(K57/J57,0)</f>
        <v>73.577286207597</v>
      </c>
      <c r="W57" s="59" t="n">
        <f aca="false">IFERROR(L57/J57,0)</f>
        <v>1.83709120455007</v>
      </c>
      <c r="X57" s="22" t="n">
        <f aca="false">IFERROR(M57/(K57+M57),0)</f>
        <v>0.0738920042160785</v>
      </c>
      <c r="Y57" s="22" t="n">
        <f aca="false">IFERROR(N57/K57,0)</f>
        <v>0.258184409969848</v>
      </c>
      <c r="Z57" s="22" t="n">
        <f aca="false">IFERROR(O57/J57,0)</f>
        <v>0.355677432459882</v>
      </c>
      <c r="AA57" s="58" t="n">
        <f aca="false">IFERROR(P57/C57,0)</f>
        <v>0.410603291003398</v>
      </c>
      <c r="AB57" s="58" t="n">
        <f aca="false">IFERROR(Q57/D57,0)</f>
        <v>0.307311601501694</v>
      </c>
      <c r="AC57" s="58" t="n">
        <f aca="false">IFERROR(R57/E57,0)</f>
        <v>0.190103061533798</v>
      </c>
      <c r="AD57" s="57" t="n">
        <f aca="false">IFERROR(F57/F$58,0)</f>
        <v>0.0151411769742927</v>
      </c>
      <c r="AE57" s="57" t="n">
        <f aca="false">IFERROR(G57/G$58,0)</f>
        <v>0.0146574382386174</v>
      </c>
      <c r="AF57" s="57" t="n">
        <f aca="false">IFERROR(H57/H$58,0)</f>
        <v>0.0163534426153075</v>
      </c>
      <c r="AG57" s="57" t="n">
        <f aca="false">IFERROR(P57/P$58,0)</f>
        <v>0.0150541221897791</v>
      </c>
      <c r="AH57" s="57" t="n">
        <f aca="false">IFERROR(Q57/Q$58,0)</f>
        <v>0.0161008639179439</v>
      </c>
      <c r="AI57" s="57" t="n">
        <f aca="false">IFERROR(R57/R$58,0)</f>
        <v>0.0143135520340923</v>
      </c>
      <c r="AJ57" s="49" t="n">
        <f aca="false">K57-N57</f>
        <v>268701.17</v>
      </c>
      <c r="AK57" s="57" t="n">
        <f aca="false">IFERROR(I57/I$58,0)</f>
        <v>0.0152964708170607</v>
      </c>
    </row>
    <row r="58" customFormat="false" ht="15" hidden="false" customHeight="false" outlineLevel="0" collapsed="false">
      <c r="A58" s="60" t="s">
        <v>483</v>
      </c>
      <c r="B58" s="61"/>
      <c r="C58" s="62" t="n">
        <f aca="false">SUM(C6:C57)</f>
        <v>3641686</v>
      </c>
      <c r="D58" s="62" t="n">
        <f aca="false">SUM(D6:D57)</f>
        <v>2083368</v>
      </c>
      <c r="E58" s="62" t="n">
        <f aca="false">SUM(E6:E57)</f>
        <v>439464</v>
      </c>
      <c r="F58" s="62" t="n">
        <f aca="false">SUM(F6:F57)</f>
        <v>5885804</v>
      </c>
      <c r="G58" s="62" t="n">
        <f aca="false">SUM(G6:G57)</f>
        <v>1799223</v>
      </c>
      <c r="H58" s="62" t="n">
        <f aca="false">SUM(H6:H57)</f>
        <v>1029508</v>
      </c>
      <c r="I58" s="62" t="n">
        <f aca="false">SUM(I6:I57)</f>
        <v>14879053</v>
      </c>
      <c r="J58" s="62" t="n">
        <f aca="false">SUM(J6:J57)</f>
        <v>330984</v>
      </c>
      <c r="K58" s="63" t="n">
        <f aca="false">SUM(K6:K57)</f>
        <v>23334566.1</v>
      </c>
      <c r="L58" s="62" t="n">
        <f aca="false">SUM(L6:L57)</f>
        <v>630175</v>
      </c>
      <c r="M58" s="63" t="n">
        <f aca="false">SUM(M6:M57)</f>
        <v>3874915.27</v>
      </c>
      <c r="N58" s="63" t="n">
        <f aca="false">SUM(N6:N57)</f>
        <v>6067691.03</v>
      </c>
      <c r="O58" s="62" t="n">
        <f aca="false">SUM(O6:O57)</f>
        <v>125903</v>
      </c>
      <c r="P58" s="63" t="n">
        <f aca="false">SUM(P6:P57)</f>
        <v>1524953.08</v>
      </c>
      <c r="Q58" s="63" t="n">
        <f aca="false">SUM(Q6:Q57)</f>
        <v>625336.01</v>
      </c>
      <c r="R58" s="63" t="n">
        <f aca="false">SUM(R6:R57)</f>
        <v>87630.24</v>
      </c>
      <c r="S58" s="61"/>
      <c r="T58" s="61"/>
      <c r="U58" s="64" t="n">
        <f aca="false">IFERROR(J58/I58,0)</f>
        <v>0.0222449641116273</v>
      </c>
      <c r="V58" s="65" t="n">
        <f aca="false">IFERROR(K58/J58,0)</f>
        <v>70.5005864331811</v>
      </c>
      <c r="W58" s="66" t="n">
        <f aca="false">IFERROR(L58/J58,0)</f>
        <v>1.90394399729292</v>
      </c>
      <c r="X58" s="67" t="n">
        <f aca="false">IFERROR(M58/(K58+M58),0)</f>
        <v>0.1424104788073</v>
      </c>
      <c r="Y58" s="67" t="n">
        <f aca="false">IFERROR(N58/K58,0)</f>
        <v>0.260030163149252</v>
      </c>
      <c r="Z58" s="67" t="n">
        <f aca="false">IFERROR(O58/J58,0)</f>
        <v>0.380389988639934</v>
      </c>
      <c r="AA58" s="65" t="n">
        <f aca="false">IFERROR(P58/C58,0)</f>
        <v>0.418749194741117</v>
      </c>
      <c r="AB58" s="65" t="n">
        <f aca="false">IFERROR(Q58/D58,0)</f>
        <v>0.300156290199331</v>
      </c>
      <c r="AC58" s="65" t="n">
        <f aca="false">IFERROR(R58/E58,0)</f>
        <v>0.199402544918355</v>
      </c>
      <c r="AD58" s="68"/>
      <c r="AE58" s="68"/>
      <c r="AF58" s="68"/>
      <c r="AG58" s="68"/>
      <c r="AH58" s="68"/>
      <c r="AI58" s="68"/>
      <c r="AJ58" s="63" t="n">
        <f aca="false">SUM(AJ6:AJ57)</f>
        <v>17266875.07</v>
      </c>
      <c r="AK58" s="68"/>
    </row>
  </sheetData>
  <sheetProtection sheet="true" formatColumns="false" formatRows="false"/>
  <dataValidations count="1">
    <dataValidation allowBlank="true" errorStyle="stop" operator="between" showDropDown="false" showErrorMessage="false" showInputMessage="false" sqref="S6:S57" type="list">
      <formula1>"Y"</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K5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8"/>
    <col collapsed="false" customWidth="true" hidden="false" outlineLevel="0" max="18" min="3" style="0" width="12"/>
    <col collapsed="false" customWidth="true" hidden="false" outlineLevel="0" max="19" min="19" style="0" width="10"/>
    <col collapsed="false" customWidth="true" hidden="false" outlineLevel="0" max="20" min="20" style="0" width="60"/>
    <col collapsed="false" customWidth="true" hidden="false" outlineLevel="0" max="37" min="21" style="0" width="12"/>
  </cols>
  <sheetData>
    <row r="1" customFormat="false" ht="17.35" hidden="false" customHeight="false" outlineLevel="0" collapsed="false">
      <c r="A1" s="1" t="s">
        <v>488</v>
      </c>
      <c r="D1" s="52" t="str">
        <f aca="false">Settings!B18</f>
        <v>FY2023</v>
      </c>
    </row>
    <row r="2" customFormat="false" ht="15" hidden="false" customHeight="false" outlineLevel="0" collapsed="false">
      <c r="A2" s="2" t="s">
        <v>489</v>
      </c>
    </row>
    <row r="5" customFormat="false" ht="42" hidden="false" customHeight="true" outlineLevel="0" collapsed="false">
      <c r="A5" s="19" t="s">
        <v>410</v>
      </c>
      <c r="B5" s="19" t="s">
        <v>446</v>
      </c>
      <c r="C5" s="19" t="s">
        <v>447</v>
      </c>
      <c r="D5" s="19" t="s">
        <v>448</v>
      </c>
      <c r="E5" s="19" t="s">
        <v>449</v>
      </c>
      <c r="F5" s="19" t="s">
        <v>450</v>
      </c>
      <c r="G5" s="19" t="s">
        <v>451</v>
      </c>
      <c r="H5" s="19" t="s">
        <v>452</v>
      </c>
      <c r="I5" s="19" t="s">
        <v>453</v>
      </c>
      <c r="J5" s="19" t="s">
        <v>454</v>
      </c>
      <c r="K5" s="19" t="s">
        <v>455</v>
      </c>
      <c r="L5" s="19" t="s">
        <v>456</v>
      </c>
      <c r="M5" s="19" t="s">
        <v>457</v>
      </c>
      <c r="N5" s="19" t="s">
        <v>458</v>
      </c>
      <c r="O5" s="19" t="s">
        <v>91</v>
      </c>
      <c r="P5" s="19" t="s">
        <v>459</v>
      </c>
      <c r="Q5" s="19" t="s">
        <v>460</v>
      </c>
      <c r="R5" s="19" t="s">
        <v>461</v>
      </c>
      <c r="S5" s="19" t="s">
        <v>462</v>
      </c>
      <c r="T5" s="19" t="s">
        <v>463</v>
      </c>
      <c r="U5" s="19" t="s">
        <v>464</v>
      </c>
      <c r="V5" s="19" t="s">
        <v>465</v>
      </c>
      <c r="W5" s="19" t="s">
        <v>466</v>
      </c>
      <c r="X5" s="19" t="s">
        <v>467</v>
      </c>
      <c r="Y5" s="19" t="s">
        <v>468</v>
      </c>
      <c r="Z5" s="19" t="s">
        <v>469</v>
      </c>
      <c r="AA5" s="19" t="s">
        <v>470</v>
      </c>
      <c r="AB5" s="19" t="s">
        <v>471</v>
      </c>
      <c r="AC5" s="19" t="s">
        <v>472</v>
      </c>
      <c r="AD5" s="19" t="s">
        <v>473</v>
      </c>
      <c r="AE5" s="19" t="s">
        <v>474</v>
      </c>
      <c r="AF5" s="19" t="s">
        <v>475</v>
      </c>
      <c r="AG5" s="19" t="s">
        <v>476</v>
      </c>
      <c r="AH5" s="19" t="s">
        <v>477</v>
      </c>
      <c r="AI5" s="19" t="s">
        <v>478</v>
      </c>
      <c r="AJ5" s="19" t="s">
        <v>97</v>
      </c>
      <c r="AK5" s="19" t="s">
        <v>479</v>
      </c>
    </row>
    <row r="6" customFormat="false" ht="15" hidden="false" customHeight="false" outlineLevel="0" collapsed="false">
      <c r="A6" s="13" t="n">
        <v>1</v>
      </c>
      <c r="B6" s="53"/>
      <c r="C6" s="54" t="n">
        <v>53460</v>
      </c>
      <c r="D6" s="54" t="n">
        <v>29092</v>
      </c>
      <c r="E6" s="54" t="n">
        <v>6840</v>
      </c>
      <c r="F6" s="54" t="n">
        <v>86301</v>
      </c>
      <c r="G6" s="54" t="n">
        <v>25526</v>
      </c>
      <c r="H6" s="54" t="n">
        <v>15009</v>
      </c>
      <c r="I6" s="55" t="n">
        <f aca="false">SUM(C6:H6)</f>
        <v>216228</v>
      </c>
      <c r="J6" s="54" t="n">
        <v>4325</v>
      </c>
      <c r="K6" s="56" t="n">
        <v>301989.75</v>
      </c>
      <c r="L6" s="54" t="n">
        <v>8074</v>
      </c>
      <c r="M6" s="56" t="n">
        <v>28325.48</v>
      </c>
      <c r="N6" s="56" t="n">
        <v>79119.54</v>
      </c>
      <c r="O6" s="54" t="n">
        <v>1526</v>
      </c>
      <c r="P6" s="56" t="n">
        <v>21248</v>
      </c>
      <c r="Q6" s="56" t="n">
        <v>8139.93</v>
      </c>
      <c r="R6" s="56" t="n">
        <v>1350.08</v>
      </c>
      <c r="S6" s="27"/>
      <c r="T6" s="27"/>
      <c r="U6" s="57" t="n">
        <f aca="false">IFERROR(J6/I6,0)</f>
        <v>0.0200020348890985</v>
      </c>
      <c r="V6" s="58" t="n">
        <f aca="false">IFERROR(K6/J6,0)</f>
        <v>69.8242196531792</v>
      </c>
      <c r="W6" s="59" t="n">
        <f aca="false">IFERROR(L6/J6,0)</f>
        <v>1.86682080924856</v>
      </c>
      <c r="X6" s="22" t="n">
        <f aca="false">IFERROR(M6/(K6+M6),0)</f>
        <v>0.0857528730964055</v>
      </c>
      <c r="Y6" s="22" t="n">
        <f aca="false">IFERROR(N6/K6,0)</f>
        <v>0.261994123972751</v>
      </c>
      <c r="Z6" s="22" t="n">
        <f aca="false">IFERROR(O6/J6,0)</f>
        <v>0.352832369942197</v>
      </c>
      <c r="AA6" s="58" t="n">
        <f aca="false">IFERROR(P6/C6,0)</f>
        <v>0.397456041900486</v>
      </c>
      <c r="AB6" s="58" t="n">
        <f aca="false">IFERROR(Q6/D6,0)</f>
        <v>0.279799601264953</v>
      </c>
      <c r="AC6" s="58" t="n">
        <f aca="false">IFERROR(R6/E6,0)</f>
        <v>0.197380116959064</v>
      </c>
      <c r="AD6" s="57" t="n">
        <f aca="false">IFERROR(F6/F$58,0)</f>
        <v>0.0152284048986546</v>
      </c>
      <c r="AE6" s="57" t="n">
        <f aca="false">IFERROR(G6/G$58,0)</f>
        <v>0.0149088014260491</v>
      </c>
      <c r="AF6" s="57" t="n">
        <f aca="false">IFERROR(H6/H$58,0)</f>
        <v>0.0152499182078476</v>
      </c>
      <c r="AG6" s="57" t="n">
        <f aca="false">IFERROR(P6/P$58,0)</f>
        <v>0.0151983179135759</v>
      </c>
      <c r="AH6" s="57" t="n">
        <f aca="false">IFERROR(Q6/Q$58,0)</f>
        <v>0.0145759435663318</v>
      </c>
      <c r="AI6" s="57" t="n">
        <f aca="false">IFERROR(R6/R$58,0)</f>
        <v>0.0165745869919055</v>
      </c>
      <c r="AJ6" s="49" t="n">
        <f aca="false">K6-N6</f>
        <v>222870.21</v>
      </c>
      <c r="AK6" s="57" t="n">
        <f aca="false">IFERROR(I6/I$58,0)</f>
        <v>0.0151583374957281</v>
      </c>
    </row>
    <row r="7" customFormat="false" ht="15" hidden="false" customHeight="false" outlineLevel="0" collapsed="false">
      <c r="A7" s="13" t="n">
        <v>2</v>
      </c>
      <c r="B7" s="53"/>
      <c r="C7" s="54" t="n">
        <v>55780</v>
      </c>
      <c r="D7" s="54" t="n">
        <v>34442</v>
      </c>
      <c r="E7" s="54" t="n">
        <v>7341</v>
      </c>
      <c r="F7" s="54" t="n">
        <v>97594</v>
      </c>
      <c r="G7" s="54" t="n">
        <v>24429</v>
      </c>
      <c r="H7" s="54" t="n">
        <v>15934</v>
      </c>
      <c r="I7" s="55" t="n">
        <f aca="false">SUM(C7:H7)</f>
        <v>235520</v>
      </c>
      <c r="J7" s="54" t="n">
        <v>4979</v>
      </c>
      <c r="K7" s="56" t="n">
        <v>340479.5</v>
      </c>
      <c r="L7" s="54" t="n">
        <v>9258</v>
      </c>
      <c r="M7" s="56" t="n">
        <v>29013.32</v>
      </c>
      <c r="N7" s="56" t="n">
        <v>87351.01</v>
      </c>
      <c r="O7" s="54" t="n">
        <v>1814</v>
      </c>
      <c r="P7" s="56" t="n">
        <v>22084.28</v>
      </c>
      <c r="Q7" s="56" t="n">
        <v>10000.36</v>
      </c>
      <c r="R7" s="56" t="n">
        <v>1390.72</v>
      </c>
      <c r="S7" s="27"/>
      <c r="T7" s="27"/>
      <c r="U7" s="57" t="n">
        <f aca="false">IFERROR(J7/I7,0)</f>
        <v>0.0211404551630435</v>
      </c>
      <c r="V7" s="58" t="n">
        <f aca="false">IFERROR(K7/J7,0)</f>
        <v>68.3831090580438</v>
      </c>
      <c r="W7" s="59" t="n">
        <f aca="false">IFERROR(L7/J7,0)</f>
        <v>1.85940951998393</v>
      </c>
      <c r="X7" s="22" t="n">
        <f aca="false">IFERROR(M7/(K7+M7),0)</f>
        <v>0.078522012958195</v>
      </c>
      <c r="Y7" s="22" t="n">
        <f aca="false">IFERROR(N7/K7,0)</f>
        <v>0.256552920219866</v>
      </c>
      <c r="Z7" s="22" t="n">
        <f aca="false">IFERROR(O7/J7,0)</f>
        <v>0.364330186784495</v>
      </c>
      <c r="AA7" s="58" t="n">
        <f aca="false">IFERROR(P7/C7,0)</f>
        <v>0.395917533166009</v>
      </c>
      <c r="AB7" s="58" t="n">
        <f aca="false">IFERROR(Q7/D7,0)</f>
        <v>0.290353638000116</v>
      </c>
      <c r="AC7" s="58" t="n">
        <f aca="false">IFERROR(R7/E7,0)</f>
        <v>0.189445579621305</v>
      </c>
      <c r="AD7" s="57" t="n">
        <f aca="false">IFERROR(F7/F$58,0)</f>
        <v>0.0172211324049467</v>
      </c>
      <c r="AE7" s="57" t="n">
        <f aca="false">IFERROR(G7/G$58,0)</f>
        <v>0.0142680839158879</v>
      </c>
      <c r="AF7" s="57" t="n">
        <f aca="false">IFERROR(H7/H$58,0)</f>
        <v>0.0161897659220363</v>
      </c>
      <c r="AG7" s="57" t="n">
        <f aca="false">IFERROR(P7/P$58,0)</f>
        <v>0.0157964941798017</v>
      </c>
      <c r="AH7" s="57" t="n">
        <f aca="false">IFERROR(Q7/Q$58,0)</f>
        <v>0.0179073632086519</v>
      </c>
      <c r="AI7" s="57" t="n">
        <f aca="false">IFERROR(R7/R$58,0)</f>
        <v>0.0170735138816831</v>
      </c>
      <c r="AJ7" s="49" t="n">
        <f aca="false">K7-N7</f>
        <v>253128.49</v>
      </c>
      <c r="AK7" s="57" t="n">
        <f aca="false">IFERROR(I7/I$58,0)</f>
        <v>0.016510774030162</v>
      </c>
    </row>
    <row r="8" customFormat="false" ht="15" hidden="false" customHeight="false" outlineLevel="0" collapsed="false">
      <c r="A8" s="13" t="n">
        <v>3</v>
      </c>
      <c r="B8" s="53"/>
      <c r="C8" s="54" t="n">
        <v>55248</v>
      </c>
      <c r="D8" s="54" t="n">
        <v>33062</v>
      </c>
      <c r="E8" s="54" t="n">
        <v>6492</v>
      </c>
      <c r="F8" s="54" t="n">
        <v>91091</v>
      </c>
      <c r="G8" s="54" t="n">
        <v>25768</v>
      </c>
      <c r="H8" s="54" t="n">
        <v>16292</v>
      </c>
      <c r="I8" s="55" t="n">
        <f aca="false">SUM(C8:H8)</f>
        <v>227953</v>
      </c>
      <c r="J8" s="54" t="n">
        <v>4688</v>
      </c>
      <c r="K8" s="56" t="n">
        <v>318836.69</v>
      </c>
      <c r="L8" s="54" t="n">
        <v>8587</v>
      </c>
      <c r="M8" s="56" t="n">
        <v>28673.32</v>
      </c>
      <c r="N8" s="56" t="n">
        <v>79237.68</v>
      </c>
      <c r="O8" s="54" t="n">
        <v>1593</v>
      </c>
      <c r="P8" s="56" t="n">
        <v>21505.93</v>
      </c>
      <c r="Q8" s="56" t="n">
        <v>9623.24</v>
      </c>
      <c r="R8" s="56" t="n">
        <v>1277.84</v>
      </c>
      <c r="S8" s="27"/>
      <c r="T8" s="27"/>
      <c r="U8" s="57" t="n">
        <f aca="false">IFERROR(J8/I8,0)</f>
        <v>0.020565642917619</v>
      </c>
      <c r="V8" s="58" t="n">
        <f aca="false">IFERROR(K8/J8,0)</f>
        <v>68.011239334471</v>
      </c>
      <c r="W8" s="59" t="n">
        <f aca="false">IFERROR(L8/J8,0)</f>
        <v>1.83169795221843</v>
      </c>
      <c r="X8" s="22" t="n">
        <f aca="false">IFERROR(M8/(K8+M8),0)</f>
        <v>0.0825107742939549</v>
      </c>
      <c r="Y8" s="22" t="n">
        <f aca="false">IFERROR(N8/K8,0)</f>
        <v>0.248521210027616</v>
      </c>
      <c r="Z8" s="22" t="n">
        <f aca="false">IFERROR(O8/J8,0)</f>
        <v>0.339803754266212</v>
      </c>
      <c r="AA8" s="58" t="n">
        <f aca="false">IFERROR(P8/C8,0)</f>
        <v>0.389261692730959</v>
      </c>
      <c r="AB8" s="58" t="n">
        <f aca="false">IFERROR(Q8/D8,0)</f>
        <v>0.291066481156615</v>
      </c>
      <c r="AC8" s="58" t="n">
        <f aca="false">IFERROR(R8/E8,0)</f>
        <v>0.196833025261861</v>
      </c>
      <c r="AD8" s="57" t="n">
        <f aca="false">IFERROR(F8/F$58,0)</f>
        <v>0.0160736333370801</v>
      </c>
      <c r="AE8" s="57" t="n">
        <f aca="false">IFERROR(G8/G$58,0)</f>
        <v>0.0150501447601047</v>
      </c>
      <c r="AF8" s="57" t="n">
        <f aca="false">IFERROR(H8/H$58,0)</f>
        <v>0.016553512388717</v>
      </c>
      <c r="AG8" s="57" t="n">
        <f aca="false">IFERROR(P8/P$58,0)</f>
        <v>0.0153828106723979</v>
      </c>
      <c r="AH8" s="57" t="n">
        <f aca="false">IFERROR(Q8/Q$58,0)</f>
        <v>0.0172320650380614</v>
      </c>
      <c r="AI8" s="57" t="n">
        <f aca="false">IFERROR(R8/R$58,0)</f>
        <v>0.0156877149811392</v>
      </c>
      <c r="AJ8" s="49" t="n">
        <f aca="false">K8-N8</f>
        <v>239599.01</v>
      </c>
      <c r="AK8" s="57" t="n">
        <f aca="false">IFERROR(I8/I$58,0)</f>
        <v>0.015980300919232</v>
      </c>
    </row>
    <row r="9" customFormat="false" ht="15" hidden="false" customHeight="false" outlineLevel="0" collapsed="false">
      <c r="A9" s="13" t="n">
        <v>4</v>
      </c>
      <c r="B9" s="53"/>
      <c r="C9" s="54" t="n">
        <v>57548</v>
      </c>
      <c r="D9" s="54" t="n">
        <v>29422</v>
      </c>
      <c r="E9" s="54" t="n">
        <v>6444</v>
      </c>
      <c r="F9" s="54" t="n">
        <v>85605</v>
      </c>
      <c r="G9" s="54" t="n">
        <v>24515</v>
      </c>
      <c r="H9" s="54" t="n">
        <v>15903</v>
      </c>
      <c r="I9" s="55" t="n">
        <f aca="false">SUM(C9:H9)</f>
        <v>219437</v>
      </c>
      <c r="J9" s="54" t="n">
        <v>4643</v>
      </c>
      <c r="K9" s="56" t="n">
        <v>324742.27</v>
      </c>
      <c r="L9" s="54" t="n">
        <v>9074</v>
      </c>
      <c r="M9" s="56" t="n">
        <v>27123.43</v>
      </c>
      <c r="N9" s="56" t="n">
        <v>86962.37</v>
      </c>
      <c r="O9" s="54" t="n">
        <v>1659</v>
      </c>
      <c r="P9" s="56" t="n">
        <v>23922.29</v>
      </c>
      <c r="Q9" s="56" t="n">
        <v>7961.1</v>
      </c>
      <c r="R9" s="56" t="n">
        <v>1195.92</v>
      </c>
      <c r="S9" s="27"/>
      <c r="T9" s="27"/>
      <c r="U9" s="57" t="n">
        <f aca="false">IFERROR(J9/I9,0)</f>
        <v>0.0211586924720991</v>
      </c>
      <c r="V9" s="58" t="n">
        <f aca="false">IFERROR(K9/J9,0)</f>
        <v>69.9423368511738</v>
      </c>
      <c r="W9" s="59" t="n">
        <f aca="false">IFERROR(L9/J9,0)</f>
        <v>1.95433986646565</v>
      </c>
      <c r="X9" s="22" t="n">
        <f aca="false">IFERROR(M9/(K9+M9),0)</f>
        <v>0.0770846092699573</v>
      </c>
      <c r="Y9" s="22" t="n">
        <f aca="false">IFERROR(N9/K9,0)</f>
        <v>0.267788883781591</v>
      </c>
      <c r="Z9" s="22" t="n">
        <f aca="false">IFERROR(O9/J9,0)</f>
        <v>0.357312082705148</v>
      </c>
      <c r="AA9" s="58" t="n">
        <f aca="false">IFERROR(P9/C9,0)</f>
        <v>0.415692812956141</v>
      </c>
      <c r="AB9" s="58" t="n">
        <f aca="false">IFERROR(Q9/D9,0)</f>
        <v>0.270583237033512</v>
      </c>
      <c r="AC9" s="58" t="n">
        <f aca="false">IFERROR(R9/E9,0)</f>
        <v>0.185586592178771</v>
      </c>
      <c r="AD9" s="57" t="n">
        <f aca="false">IFERROR(F9/F$58,0)</f>
        <v>0.015105590912612</v>
      </c>
      <c r="AE9" s="57" t="n">
        <f aca="false">IFERROR(G9/G$58,0)</f>
        <v>0.0143183133651804</v>
      </c>
      <c r="AF9" s="57" t="n">
        <f aca="false">IFERROR(H9/H$58,0)</f>
        <v>0.0161582683229662</v>
      </c>
      <c r="AG9" s="57" t="n">
        <f aca="false">IFERROR(P9/P$58,0)</f>
        <v>0.0171111901656984</v>
      </c>
      <c r="AH9" s="57" t="n">
        <f aca="false">IFERROR(Q9/Q$58,0)</f>
        <v>0.014255717718202</v>
      </c>
      <c r="AI9" s="57" t="n">
        <f aca="false">IFERROR(R9/R$58,0)</f>
        <v>0.0146820040852094</v>
      </c>
      <c r="AJ9" s="49" t="n">
        <f aca="false">K9-N9</f>
        <v>237779.9</v>
      </c>
      <c r="AK9" s="57" t="n">
        <f aca="false">IFERROR(I9/I$58,0)</f>
        <v>0.0153832995960286</v>
      </c>
    </row>
    <row r="10" customFormat="false" ht="15" hidden="false" customHeight="false" outlineLevel="0" collapsed="false">
      <c r="A10" s="13" t="n">
        <v>5</v>
      </c>
      <c r="B10" s="53"/>
      <c r="C10" s="54" t="n">
        <v>57155</v>
      </c>
      <c r="D10" s="54" t="n">
        <v>32308</v>
      </c>
      <c r="E10" s="54" t="n">
        <v>7283</v>
      </c>
      <c r="F10" s="54" t="n">
        <v>89153</v>
      </c>
      <c r="G10" s="54" t="n">
        <v>26231</v>
      </c>
      <c r="H10" s="54" t="n">
        <v>16274</v>
      </c>
      <c r="I10" s="55" t="n">
        <f aca="false">SUM(C10:H10)</f>
        <v>228404</v>
      </c>
      <c r="J10" s="54" t="n">
        <v>4584</v>
      </c>
      <c r="K10" s="56" t="n">
        <v>315747.21</v>
      </c>
      <c r="L10" s="54" t="n">
        <v>8994</v>
      </c>
      <c r="M10" s="56" t="n">
        <v>26373.58</v>
      </c>
      <c r="N10" s="56" t="n">
        <v>81211.64</v>
      </c>
      <c r="O10" s="54" t="n">
        <v>1646</v>
      </c>
      <c r="P10" s="56" t="n">
        <v>22365.12</v>
      </c>
      <c r="Q10" s="56" t="n">
        <v>9439.43</v>
      </c>
      <c r="R10" s="56" t="n">
        <v>1413.15</v>
      </c>
      <c r="S10" s="27"/>
      <c r="T10" s="27"/>
      <c r="U10" s="57" t="n">
        <f aca="false">IFERROR(J10/I10,0)</f>
        <v>0.0200697010560235</v>
      </c>
      <c r="V10" s="58" t="n">
        <f aca="false">IFERROR(K10/J10,0)</f>
        <v>68.8802814136126</v>
      </c>
      <c r="W10" s="59" t="n">
        <f aca="false">IFERROR(L10/J10,0)</f>
        <v>1.96204188481675</v>
      </c>
      <c r="X10" s="22" t="n">
        <f aca="false">IFERROR(M10/(K10+M10),0)</f>
        <v>0.077088504326206</v>
      </c>
      <c r="Y10" s="22" t="n">
        <f aca="false">IFERROR(N10/K10,0)</f>
        <v>0.257204616313158</v>
      </c>
      <c r="Z10" s="22" t="n">
        <f aca="false">IFERROR(O10/J10,0)</f>
        <v>0.359075043630017</v>
      </c>
      <c r="AA10" s="58" t="n">
        <f aca="false">IFERROR(P10/C10,0)</f>
        <v>0.391306447379932</v>
      </c>
      <c r="AB10" s="58" t="n">
        <f aca="false">IFERROR(Q10/D10,0)</f>
        <v>0.292170050761421</v>
      </c>
      <c r="AC10" s="58" t="n">
        <f aca="false">IFERROR(R10/E10,0)</f>
        <v>0.194034051901689</v>
      </c>
      <c r="AD10" s="57" t="n">
        <f aca="false">IFERROR(F10/F$58,0)</f>
        <v>0.015731659910427</v>
      </c>
      <c r="AE10" s="57" t="n">
        <f aca="false">IFERROR(G10/G$58,0)</f>
        <v>0.0153205660975748</v>
      </c>
      <c r="AF10" s="57" t="n">
        <f aca="false">IFERROR(H10/H$58,0)</f>
        <v>0.0165352234602246</v>
      </c>
      <c r="AG10" s="57" t="n">
        <f aca="false">IFERROR(P10/P$58,0)</f>
        <v>0.0159973740556888</v>
      </c>
      <c r="AH10" s="57" t="n">
        <f aca="false">IFERROR(Q10/Q$58,0)</f>
        <v>0.0169029216440853</v>
      </c>
      <c r="AI10" s="57" t="n">
        <f aca="false">IFERROR(R10/R$58,0)</f>
        <v>0.017348881257119</v>
      </c>
      <c r="AJ10" s="49" t="n">
        <f aca="false">K10-N10</f>
        <v>234535.57</v>
      </c>
      <c r="AK10" s="57" t="n">
        <f aca="false">IFERROR(I10/I$58,0)</f>
        <v>0.0160119175933472</v>
      </c>
    </row>
    <row r="11" customFormat="false" ht="15" hidden="false" customHeight="false" outlineLevel="0" collapsed="false">
      <c r="A11" s="13" t="n">
        <v>6</v>
      </c>
      <c r="B11" s="53"/>
      <c r="C11" s="54" t="n">
        <v>59476</v>
      </c>
      <c r="D11" s="54" t="n">
        <v>32841</v>
      </c>
      <c r="E11" s="54" t="n">
        <v>6876</v>
      </c>
      <c r="F11" s="54" t="n">
        <v>92940</v>
      </c>
      <c r="G11" s="54" t="n">
        <v>25467</v>
      </c>
      <c r="H11" s="54" t="n">
        <v>16788</v>
      </c>
      <c r="I11" s="55" t="n">
        <f aca="false">SUM(C11:H11)</f>
        <v>234388</v>
      </c>
      <c r="J11" s="54" t="n">
        <v>4619</v>
      </c>
      <c r="K11" s="56" t="n">
        <v>322003.31</v>
      </c>
      <c r="L11" s="54" t="n">
        <v>8538</v>
      </c>
      <c r="M11" s="56" t="n">
        <v>29279.5</v>
      </c>
      <c r="N11" s="56" t="n">
        <v>80485.49</v>
      </c>
      <c r="O11" s="54" t="n">
        <v>1679</v>
      </c>
      <c r="P11" s="56" t="n">
        <v>22970.48</v>
      </c>
      <c r="Q11" s="56" t="n">
        <v>8859.41</v>
      </c>
      <c r="R11" s="56" t="n">
        <v>1353.64</v>
      </c>
      <c r="S11" s="27"/>
      <c r="T11" s="27"/>
      <c r="U11" s="57" t="n">
        <f aca="false">IFERROR(J11/I11,0)</f>
        <v>0.0197066402716863</v>
      </c>
      <c r="V11" s="58" t="n">
        <f aca="false">IFERROR(K11/J11,0)</f>
        <v>69.7127754925309</v>
      </c>
      <c r="W11" s="59" t="n">
        <f aca="false">IFERROR(L11/J11,0)</f>
        <v>1.84845204589738</v>
      </c>
      <c r="X11" s="22" t="n">
        <f aca="false">IFERROR(M11/(K11+M11),0)</f>
        <v>0.0833502214355436</v>
      </c>
      <c r="Y11" s="22" t="n">
        <f aca="false">IFERROR(N11/K11,0)</f>
        <v>0.249952368502051</v>
      </c>
      <c r="Z11" s="22" t="n">
        <f aca="false">IFERROR(O11/J11,0)</f>
        <v>0.363498592768998</v>
      </c>
      <c r="AA11" s="58" t="n">
        <f aca="false">IFERROR(P11/C11,0)</f>
        <v>0.38621427130271</v>
      </c>
      <c r="AB11" s="58" t="n">
        <f aca="false">IFERROR(Q11/D11,0)</f>
        <v>0.269766754970921</v>
      </c>
      <c r="AC11" s="58" t="n">
        <f aca="false">IFERROR(R11/E11,0)</f>
        <v>0.196864456079116</v>
      </c>
      <c r="AD11" s="57" t="n">
        <f aca="false">IFERROR(F11/F$58,0)</f>
        <v>0.0163999021017249</v>
      </c>
      <c r="AE11" s="57" t="n">
        <f aca="false">IFERROR(G11/G$58,0)</f>
        <v>0.014874341687581</v>
      </c>
      <c r="AF11" s="57" t="n">
        <f aca="false">IFERROR(H11/H$58,0)</f>
        <v>0.0170574739738387</v>
      </c>
      <c r="AG11" s="57" t="n">
        <f aca="false">IFERROR(P11/P$58,0)</f>
        <v>0.0164303773375112</v>
      </c>
      <c r="AH11" s="57" t="n">
        <f aca="false">IFERROR(Q11/Q$58,0)</f>
        <v>0.0158642961537747</v>
      </c>
      <c r="AI11" s="57" t="n">
        <f aca="false">IFERROR(R11/R$58,0)</f>
        <v>0.0166182922017383</v>
      </c>
      <c r="AJ11" s="49" t="n">
        <f aca="false">K11-N11</f>
        <v>241517.82</v>
      </c>
      <c r="AK11" s="57" t="n">
        <f aca="false">IFERROR(I11/I$58,0)</f>
        <v>0.0164314168791679</v>
      </c>
    </row>
    <row r="12" customFormat="false" ht="15" hidden="false" customHeight="false" outlineLevel="0" collapsed="false">
      <c r="A12" s="13" t="n">
        <v>7</v>
      </c>
      <c r="B12" s="53"/>
      <c r="C12" s="54" t="n">
        <v>60632</v>
      </c>
      <c r="D12" s="54" t="n">
        <v>33102</v>
      </c>
      <c r="E12" s="54" t="n">
        <v>7050</v>
      </c>
      <c r="F12" s="54" t="n">
        <v>91940</v>
      </c>
      <c r="G12" s="54" t="n">
        <v>25989</v>
      </c>
      <c r="H12" s="54" t="n">
        <v>15531</v>
      </c>
      <c r="I12" s="55" t="n">
        <f aca="false">SUM(C12:H12)</f>
        <v>234244</v>
      </c>
      <c r="J12" s="54" t="n">
        <v>4639</v>
      </c>
      <c r="K12" s="56" t="n">
        <v>315136.56</v>
      </c>
      <c r="L12" s="54" t="n">
        <v>8557</v>
      </c>
      <c r="M12" s="56" t="n">
        <v>29136.82</v>
      </c>
      <c r="N12" s="56" t="n">
        <v>78420.58</v>
      </c>
      <c r="O12" s="54" t="n">
        <v>1587</v>
      </c>
      <c r="P12" s="56" t="n">
        <v>23346.85</v>
      </c>
      <c r="Q12" s="56" t="n">
        <v>9622.04</v>
      </c>
      <c r="R12" s="56" t="n">
        <v>1386.99</v>
      </c>
      <c r="S12" s="27"/>
      <c r="T12" s="27"/>
      <c r="U12" s="57" t="n">
        <f aca="false">IFERROR(J12/I12,0)</f>
        <v>0.0198041358583358</v>
      </c>
      <c r="V12" s="58" t="n">
        <f aca="false">IFERROR(K12/J12,0)</f>
        <v>67.9320025867644</v>
      </c>
      <c r="W12" s="59" t="n">
        <f aca="false">IFERROR(L12/J12,0)</f>
        <v>1.84457857296831</v>
      </c>
      <c r="X12" s="22" t="n">
        <f aca="false">IFERROR(M12/(K12+M12),0)</f>
        <v>0.0846327996663582</v>
      </c>
      <c r="Y12" s="22" t="n">
        <f aca="false">IFERROR(N12/K12,0)</f>
        <v>0.248846341408309</v>
      </c>
      <c r="Z12" s="22" t="n">
        <f aca="false">IFERROR(O12/J12,0)</f>
        <v>0.342099590428972</v>
      </c>
      <c r="AA12" s="58" t="n">
        <f aca="false">IFERROR(P12/C12,0)</f>
        <v>0.385058220081805</v>
      </c>
      <c r="AB12" s="58" t="n">
        <f aca="false">IFERROR(Q12/D12,0)</f>
        <v>0.290678508851429</v>
      </c>
      <c r="AC12" s="58" t="n">
        <f aca="false">IFERROR(R12/E12,0)</f>
        <v>0.196736170212766</v>
      </c>
      <c r="AD12" s="57" t="n">
        <f aca="false">IFERROR(F12/F$58,0)</f>
        <v>0.0162234452252269</v>
      </c>
      <c r="AE12" s="57" t="n">
        <f aca="false">IFERROR(G12/G$58,0)</f>
        <v>0.0151792227635192</v>
      </c>
      <c r="AF12" s="57" t="n">
        <f aca="false">IFERROR(H12/H$58,0)</f>
        <v>0.0157802971341249</v>
      </c>
      <c r="AG12" s="57" t="n">
        <f aca="false">IFERROR(P12/P$58,0)</f>
        <v>0.0166995881297332</v>
      </c>
      <c r="AH12" s="57" t="n">
        <f aca="false">IFERROR(Q12/Q$58,0)</f>
        <v>0.0172299162318333</v>
      </c>
      <c r="AI12" s="57" t="n">
        <f aca="false">IFERROR(R12/R$58,0)</f>
        <v>0.0170277216253133</v>
      </c>
      <c r="AJ12" s="49" t="n">
        <f aca="false">K12-N12</f>
        <v>236715.98</v>
      </c>
      <c r="AK12" s="57" t="n">
        <f aca="false">IFERROR(I12/I$58,0)</f>
        <v>0.0164213219765679</v>
      </c>
    </row>
    <row r="13" customFormat="false" ht="15" hidden="false" customHeight="false" outlineLevel="0" collapsed="false">
      <c r="A13" s="13" t="n">
        <v>8</v>
      </c>
      <c r="B13" s="53"/>
      <c r="C13" s="54" t="n">
        <v>53567</v>
      </c>
      <c r="D13" s="54" t="n">
        <v>32193</v>
      </c>
      <c r="E13" s="54" t="n">
        <v>6536</v>
      </c>
      <c r="F13" s="54" t="n">
        <v>85184</v>
      </c>
      <c r="G13" s="54" t="n">
        <v>23140</v>
      </c>
      <c r="H13" s="54" t="n">
        <v>15147</v>
      </c>
      <c r="I13" s="55" t="n">
        <f aca="false">SUM(C13:H13)</f>
        <v>215767</v>
      </c>
      <c r="J13" s="54" t="n">
        <v>4511</v>
      </c>
      <c r="K13" s="56" t="n">
        <v>309896.89</v>
      </c>
      <c r="L13" s="54" t="n">
        <v>8794</v>
      </c>
      <c r="M13" s="56" t="n">
        <v>25181.58</v>
      </c>
      <c r="N13" s="56" t="n">
        <v>81296.75</v>
      </c>
      <c r="O13" s="54" t="n">
        <v>1564</v>
      </c>
      <c r="P13" s="56" t="n">
        <v>22383.29</v>
      </c>
      <c r="Q13" s="56" t="n">
        <v>9275.79</v>
      </c>
      <c r="R13" s="56" t="n">
        <v>1259.38</v>
      </c>
      <c r="S13" s="27"/>
      <c r="T13" s="27"/>
      <c r="U13" s="57" t="n">
        <f aca="false">IFERROR(J13/I13,0)</f>
        <v>0.0209068115142723</v>
      </c>
      <c r="V13" s="58" t="n">
        <f aca="false">IFERROR(K13/J13,0)</f>
        <v>68.6980469962314</v>
      </c>
      <c r="W13" s="59" t="n">
        <f aca="false">IFERROR(L13/J13,0)</f>
        <v>1.94945688317446</v>
      </c>
      <c r="X13" s="22" t="n">
        <f aca="false">IFERROR(M13/(K13+M13),0)</f>
        <v>0.0751512921734422</v>
      </c>
      <c r="Y13" s="22" t="n">
        <f aca="false">IFERROR(N13/K13,0)</f>
        <v>0.262334836596779</v>
      </c>
      <c r="Z13" s="22" t="n">
        <f aca="false">IFERROR(O13/J13,0)</f>
        <v>0.346708046996231</v>
      </c>
      <c r="AA13" s="58" t="n">
        <f aca="false">IFERROR(P13/C13,0)</f>
        <v>0.41785595609237</v>
      </c>
      <c r="AB13" s="58" t="n">
        <f aca="false">IFERROR(Q13/D13,0)</f>
        <v>0.288130649520082</v>
      </c>
      <c r="AC13" s="58" t="n">
        <f aca="false">IFERROR(R13/E13,0)</f>
        <v>0.192683598531212</v>
      </c>
      <c r="AD13" s="57" t="n">
        <f aca="false">IFERROR(F13/F$58,0)</f>
        <v>0.0150313025676064</v>
      </c>
      <c r="AE13" s="57" t="n">
        <f aca="false">IFERROR(G13/G$58,0)</f>
        <v>0.0135152262398643</v>
      </c>
      <c r="AF13" s="57" t="n">
        <f aca="false">IFERROR(H13/H$58,0)</f>
        <v>0.0153901333262887</v>
      </c>
      <c r="AG13" s="57" t="n">
        <f aca="false">IFERROR(P13/P$58,0)</f>
        <v>0.0160103707347405</v>
      </c>
      <c r="AH13" s="57" t="n">
        <f aca="false">IFERROR(Q13/Q$58,0)</f>
        <v>0.0166098961014585</v>
      </c>
      <c r="AI13" s="57" t="n">
        <f aca="false">IFERROR(R13/R$58,0)</f>
        <v>0.0154610862807137</v>
      </c>
      <c r="AJ13" s="49" t="n">
        <f aca="false">K13-N13</f>
        <v>228600.14</v>
      </c>
      <c r="AK13" s="57" t="n">
        <f aca="false">IFERROR(I13/I$58,0)</f>
        <v>0.0151260197867101</v>
      </c>
    </row>
    <row r="14" customFormat="false" ht="15" hidden="false" customHeight="false" outlineLevel="0" collapsed="false">
      <c r="A14" s="13" t="n">
        <v>9</v>
      </c>
      <c r="B14" s="53"/>
      <c r="C14" s="54" t="n">
        <v>64190</v>
      </c>
      <c r="D14" s="54" t="n">
        <v>31998</v>
      </c>
      <c r="E14" s="54" t="n">
        <v>7606</v>
      </c>
      <c r="F14" s="54" t="n">
        <v>98598</v>
      </c>
      <c r="G14" s="54" t="n">
        <v>28208</v>
      </c>
      <c r="H14" s="54" t="n">
        <v>17887</v>
      </c>
      <c r="I14" s="55" t="n">
        <f aca="false">SUM(C14:H14)</f>
        <v>248487</v>
      </c>
      <c r="J14" s="54" t="n">
        <v>4989</v>
      </c>
      <c r="K14" s="56" t="n">
        <v>348618.14</v>
      </c>
      <c r="L14" s="54" t="n">
        <v>9720</v>
      </c>
      <c r="M14" s="56" t="n">
        <v>28803.82</v>
      </c>
      <c r="N14" s="56" t="n">
        <v>91147.42</v>
      </c>
      <c r="O14" s="54" t="n">
        <v>1827</v>
      </c>
      <c r="P14" s="56" t="n">
        <v>26431.42</v>
      </c>
      <c r="Q14" s="56" t="n">
        <v>8582.42</v>
      </c>
      <c r="R14" s="56" t="n">
        <v>1517.08</v>
      </c>
      <c r="S14" s="27"/>
      <c r="T14" s="27"/>
      <c r="U14" s="57" t="n">
        <f aca="false">IFERROR(J14/I14,0)</f>
        <v>0.0200775090849823</v>
      </c>
      <c r="V14" s="58" t="n">
        <f aca="false">IFERROR(K14/J14,0)</f>
        <v>69.8773581880136</v>
      </c>
      <c r="W14" s="59" t="n">
        <f aca="false">IFERROR(L14/J14,0)</f>
        <v>1.94828622970535</v>
      </c>
      <c r="X14" s="22" t="n">
        <f aca="false">IFERROR(M14/(K14+M14),0)</f>
        <v>0.0763172868902488</v>
      </c>
      <c r="Y14" s="22" t="n">
        <f aca="false">IFERROR(N14/K14,0)</f>
        <v>0.261453463092884</v>
      </c>
      <c r="Z14" s="22" t="n">
        <f aca="false">IFERROR(O14/J14,0)</f>
        <v>0.366205652435358</v>
      </c>
      <c r="AA14" s="58" t="n">
        <f aca="false">IFERROR(P14/C14,0)</f>
        <v>0.411768499766319</v>
      </c>
      <c r="AB14" s="58" t="n">
        <f aca="false">IFERROR(Q14/D14,0)</f>
        <v>0.268217388586787</v>
      </c>
      <c r="AC14" s="58" t="n">
        <f aca="false">IFERROR(R14/E14,0)</f>
        <v>0.199458322377071</v>
      </c>
      <c r="AD14" s="57" t="n">
        <f aca="false">IFERROR(F14/F$58,0)</f>
        <v>0.0173982951089507</v>
      </c>
      <c r="AE14" s="57" t="n">
        <f aca="false">IFERROR(G14/G$58,0)</f>
        <v>0.0164752593679383</v>
      </c>
      <c r="AF14" s="57" t="n">
        <f aca="false">IFERROR(H14/H$58,0)</f>
        <v>0.0181741146634532</v>
      </c>
      <c r="AG14" s="57" t="n">
        <f aca="false">IFERROR(P14/P$58,0)</f>
        <v>0.0189059263962373</v>
      </c>
      <c r="AH14" s="57" t="n">
        <f aca="false">IFERROR(Q14/Q$58,0)</f>
        <v>0.0153682979561934</v>
      </c>
      <c r="AI14" s="57" t="n">
        <f aca="false">IFERROR(R14/R$58,0)</f>
        <v>0.0186248032958639</v>
      </c>
      <c r="AJ14" s="49" t="n">
        <f aca="false">K14-N14</f>
        <v>257470.72</v>
      </c>
      <c r="AK14" s="57" t="n">
        <f aca="false">IFERROR(I14/I$58,0)</f>
        <v>0.0174198059885907</v>
      </c>
    </row>
    <row r="15" customFormat="false" ht="15" hidden="false" customHeight="false" outlineLevel="0" collapsed="false">
      <c r="A15" s="13" t="n">
        <v>10</v>
      </c>
      <c r="B15" s="53" t="s">
        <v>422</v>
      </c>
      <c r="C15" s="54" t="n">
        <v>62419</v>
      </c>
      <c r="D15" s="54" t="n">
        <v>35486</v>
      </c>
      <c r="E15" s="54" t="n">
        <v>8313</v>
      </c>
      <c r="F15" s="54" t="n">
        <v>109693</v>
      </c>
      <c r="G15" s="54" t="n">
        <v>29923</v>
      </c>
      <c r="H15" s="54" t="n">
        <v>19051</v>
      </c>
      <c r="I15" s="55" t="n">
        <f aca="false">SUM(C15:H15)</f>
        <v>264885</v>
      </c>
      <c r="J15" s="54" t="n">
        <v>5298</v>
      </c>
      <c r="K15" s="56" t="n">
        <v>379567.77</v>
      </c>
      <c r="L15" s="54" t="n">
        <v>10455</v>
      </c>
      <c r="M15" s="56" t="n">
        <v>31370.67</v>
      </c>
      <c r="N15" s="56" t="n">
        <v>97195.66</v>
      </c>
      <c r="O15" s="54" t="n">
        <v>2497</v>
      </c>
      <c r="P15" s="56" t="n">
        <v>25205.23</v>
      </c>
      <c r="Q15" s="56" t="n">
        <v>9998.6</v>
      </c>
      <c r="R15" s="56" t="n">
        <v>1597.92</v>
      </c>
      <c r="S15" s="27"/>
      <c r="T15" s="27"/>
      <c r="U15" s="57" t="n">
        <f aca="false">IFERROR(J15/I15,0)</f>
        <v>0.020001132566963</v>
      </c>
      <c r="V15" s="58" t="n">
        <f aca="false">IFERROR(K15/J15,0)</f>
        <v>71.6435956964892</v>
      </c>
      <c r="W15" s="59" t="n">
        <f aca="false">IFERROR(L15/J15,0)</f>
        <v>1.97338618346546</v>
      </c>
      <c r="X15" s="22" t="n">
        <f aca="false">IFERROR(M15/(K15+M15),0)</f>
        <v>0.076339098381743</v>
      </c>
      <c r="Y15" s="22" t="n">
        <f aca="false">IFERROR(N15/K15,0)</f>
        <v>0.256069318003475</v>
      </c>
      <c r="Z15" s="22" t="n">
        <f aca="false">IFERROR(O15/J15,0)</f>
        <v>0.471309928274821</v>
      </c>
      <c r="AA15" s="58" t="n">
        <f aca="false">IFERROR(P15/C15,0)</f>
        <v>0.403807013890001</v>
      </c>
      <c r="AB15" s="58" t="n">
        <f aca="false">IFERROR(Q15/D15,0)</f>
        <v>0.281761821563434</v>
      </c>
      <c r="AC15" s="58" t="n">
        <f aca="false">IFERROR(R15/E15,0)</f>
        <v>0.192219415373511</v>
      </c>
      <c r="AD15" s="57" t="n">
        <f aca="false">IFERROR(F15/F$58,0)</f>
        <v>0.0193560841536961</v>
      </c>
      <c r="AE15" s="57" t="n">
        <f aca="false">IFERROR(G15/G$58,0)</f>
        <v>0.0174769280369689</v>
      </c>
      <c r="AF15" s="57" t="n">
        <f aca="false">IFERROR(H15/H$58,0)</f>
        <v>0.0193567987059567</v>
      </c>
      <c r="AG15" s="57" t="n">
        <f aca="false">IFERROR(P15/P$58,0)</f>
        <v>0.0180288544157004</v>
      </c>
      <c r="AH15" s="57" t="n">
        <f aca="false">IFERROR(Q15/Q$58,0)</f>
        <v>0.0179042116261841</v>
      </c>
      <c r="AI15" s="57" t="n">
        <f aca="false">IFERROR(R15/R$58,0)</f>
        <v>0.0196172553079118</v>
      </c>
      <c r="AJ15" s="49" t="n">
        <f aca="false">K15-N15</f>
        <v>282372.11</v>
      </c>
      <c r="AK15" s="57" t="n">
        <f aca="false">IFERROR(I15/I$58,0)</f>
        <v>0.0185693630221615</v>
      </c>
    </row>
    <row r="16" customFormat="false" ht="15" hidden="false" customHeight="false" outlineLevel="0" collapsed="false">
      <c r="A16" s="13" t="n">
        <v>11</v>
      </c>
      <c r="B16" s="53"/>
      <c r="C16" s="54" t="n">
        <v>62044</v>
      </c>
      <c r="D16" s="54" t="n">
        <v>35219</v>
      </c>
      <c r="E16" s="54" t="n">
        <v>7678</v>
      </c>
      <c r="F16" s="54" t="n">
        <v>101338</v>
      </c>
      <c r="G16" s="54" t="n">
        <v>27251</v>
      </c>
      <c r="H16" s="54" t="n">
        <v>16512</v>
      </c>
      <c r="I16" s="55" t="n">
        <f aca="false">SUM(C16:H16)</f>
        <v>250042</v>
      </c>
      <c r="J16" s="54" t="n">
        <v>5264</v>
      </c>
      <c r="K16" s="56" t="n">
        <v>365098.2</v>
      </c>
      <c r="L16" s="54" t="n">
        <v>10241</v>
      </c>
      <c r="M16" s="56" t="n">
        <v>30818.16</v>
      </c>
      <c r="N16" s="56" t="n">
        <v>96282.76</v>
      </c>
      <c r="O16" s="54" t="n">
        <v>1911</v>
      </c>
      <c r="P16" s="56" t="n">
        <v>25194.02</v>
      </c>
      <c r="Q16" s="56" t="n">
        <v>9537.58</v>
      </c>
      <c r="R16" s="56" t="n">
        <v>1498.39</v>
      </c>
      <c r="S16" s="27"/>
      <c r="T16" s="27"/>
      <c r="U16" s="57" t="n">
        <f aca="false">IFERROR(J16/I16,0)</f>
        <v>0.0210524631861847</v>
      </c>
      <c r="V16" s="58" t="n">
        <f aca="false">IFERROR(K16/J16,0)</f>
        <v>69.3575607902736</v>
      </c>
      <c r="W16" s="59" t="n">
        <f aca="false">IFERROR(L16/J16,0)</f>
        <v>1.94547872340426</v>
      </c>
      <c r="X16" s="22" t="n">
        <f aca="false">IFERROR(M16/(K16+M16),0)</f>
        <v>0.0778400771314426</v>
      </c>
      <c r="Y16" s="22" t="n">
        <f aca="false">IFERROR(N16/K16,0)</f>
        <v>0.263717432734536</v>
      </c>
      <c r="Z16" s="22" t="n">
        <f aca="false">IFERROR(O16/J16,0)</f>
        <v>0.363031914893617</v>
      </c>
      <c r="AA16" s="58" t="n">
        <f aca="false">IFERROR(P16/C16,0)</f>
        <v>0.406066984720521</v>
      </c>
      <c r="AB16" s="58" t="n">
        <f aca="false">IFERROR(Q16/D16,0)</f>
        <v>0.270807802606548</v>
      </c>
      <c r="AC16" s="58" t="n">
        <f aca="false">IFERROR(R16/E16,0)</f>
        <v>0.195153685855692</v>
      </c>
      <c r="AD16" s="57" t="n">
        <f aca="false">IFERROR(F16/F$58,0)</f>
        <v>0.0178817869505552</v>
      </c>
      <c r="AE16" s="57" t="n">
        <f aca="false">IFERROR(G16/G$58,0)</f>
        <v>0.0159163107287183</v>
      </c>
      <c r="AF16" s="57" t="n">
        <f aca="false">IFERROR(H16/H$58,0)</f>
        <v>0.0167770437369564</v>
      </c>
      <c r="AG16" s="57" t="n">
        <f aca="false">IFERROR(P16/P$58,0)</f>
        <v>0.0180208361013267</v>
      </c>
      <c r="AH16" s="57" t="n">
        <f aca="false">IFERROR(Q16/Q$58,0)</f>
        <v>0.0170786760868183</v>
      </c>
      <c r="AI16" s="57" t="n">
        <f aca="false">IFERROR(R16/R$58,0)</f>
        <v>0.0183953509442412</v>
      </c>
      <c r="AJ16" s="49" t="n">
        <f aca="false">K16-N16</f>
        <v>268815.44</v>
      </c>
      <c r="AK16" s="57" t="n">
        <f aca="false">IFERROR(I16/I$58,0)</f>
        <v>0.0175288169159722</v>
      </c>
    </row>
    <row r="17" customFormat="false" ht="15" hidden="false" customHeight="false" outlineLevel="0" collapsed="false">
      <c r="A17" s="13" t="n">
        <v>12</v>
      </c>
      <c r="B17" s="53"/>
      <c r="C17" s="54" t="n">
        <v>63090</v>
      </c>
      <c r="D17" s="54" t="n">
        <v>33901</v>
      </c>
      <c r="E17" s="54" t="n">
        <v>7781</v>
      </c>
      <c r="F17" s="54" t="n">
        <v>108326</v>
      </c>
      <c r="G17" s="54" t="n">
        <v>29867</v>
      </c>
      <c r="H17" s="54" t="n">
        <v>18811</v>
      </c>
      <c r="I17" s="55" t="n">
        <f aca="false">SUM(C17:H17)</f>
        <v>261776</v>
      </c>
      <c r="J17" s="54" t="n">
        <v>5310</v>
      </c>
      <c r="K17" s="56" t="n">
        <v>362583.82</v>
      </c>
      <c r="L17" s="54" t="n">
        <v>9966</v>
      </c>
      <c r="M17" s="56" t="n">
        <v>30450</v>
      </c>
      <c r="N17" s="56" t="n">
        <v>96103.39</v>
      </c>
      <c r="O17" s="54" t="n">
        <v>1873</v>
      </c>
      <c r="P17" s="56" t="n">
        <v>24689.03</v>
      </c>
      <c r="Q17" s="56" t="n">
        <v>9108.78</v>
      </c>
      <c r="R17" s="56" t="n">
        <v>1518.67</v>
      </c>
      <c r="S17" s="27"/>
      <c r="T17" s="27"/>
      <c r="U17" s="57" t="n">
        <f aca="false">IFERROR(J17/I17,0)</f>
        <v>0.0202845180612432</v>
      </c>
      <c r="V17" s="58" t="n">
        <f aca="false">IFERROR(K17/J17,0)</f>
        <v>68.2832052730697</v>
      </c>
      <c r="W17" s="59" t="n">
        <f aca="false">IFERROR(L17/J17,0)</f>
        <v>1.87683615819209</v>
      </c>
      <c r="X17" s="22" t="n">
        <f aca="false">IFERROR(M17/(K17+M17),0)</f>
        <v>0.0774742489081474</v>
      </c>
      <c r="Y17" s="22" t="n">
        <f aca="false">IFERROR(N17/K17,0)</f>
        <v>0.26505151277848</v>
      </c>
      <c r="Z17" s="22" t="n">
        <f aca="false">IFERROR(O17/J17,0)</f>
        <v>0.352730696798493</v>
      </c>
      <c r="AA17" s="58" t="n">
        <f aca="false">IFERROR(P17/C17,0)</f>
        <v>0.391330321762561</v>
      </c>
      <c r="AB17" s="58" t="n">
        <f aca="false">IFERROR(Q17/D17,0)</f>
        <v>0.268687649331878</v>
      </c>
      <c r="AC17" s="58" t="n">
        <f aca="false">IFERROR(R17/E17,0)</f>
        <v>0.195176712504819</v>
      </c>
      <c r="AD17" s="57" t="n">
        <f aca="false">IFERROR(F17/F$58,0)</f>
        <v>0.0191148676035233</v>
      </c>
      <c r="AE17" s="57" t="n">
        <f aca="false">IFERROR(G17/G$58,0)</f>
        <v>0.0174442204885924</v>
      </c>
      <c r="AF17" s="57" t="n">
        <f aca="false">IFERROR(H17/H$58,0)</f>
        <v>0.0191129463260591</v>
      </c>
      <c r="AG17" s="57" t="n">
        <f aca="false">IFERROR(P17/P$58,0)</f>
        <v>0.0176596257020809</v>
      </c>
      <c r="AH17" s="57" t="n">
        <f aca="false">IFERROR(Q17/Q$58,0)</f>
        <v>0.0163108359946746</v>
      </c>
      <c r="AI17" s="57" t="n">
        <f aca="false">IFERROR(R17/R$58,0)</f>
        <v>0.0186443233193567</v>
      </c>
      <c r="AJ17" s="49" t="n">
        <f aca="false">K17-N17</f>
        <v>266480.43</v>
      </c>
      <c r="AK17" s="57" t="n">
        <f aca="false">IFERROR(I17/I$58,0)</f>
        <v>0.0183514112708887</v>
      </c>
    </row>
    <row r="18" customFormat="false" ht="15" hidden="false" customHeight="false" outlineLevel="0" collapsed="false">
      <c r="A18" s="13" t="n">
        <v>13</v>
      </c>
      <c r="B18" s="53"/>
      <c r="C18" s="54" t="n">
        <v>67654</v>
      </c>
      <c r="D18" s="54" t="n">
        <v>36194</v>
      </c>
      <c r="E18" s="54" t="n">
        <v>7847</v>
      </c>
      <c r="F18" s="54" t="n">
        <v>101011</v>
      </c>
      <c r="G18" s="54" t="n">
        <v>28460</v>
      </c>
      <c r="H18" s="54" t="n">
        <v>18871</v>
      </c>
      <c r="I18" s="55" t="n">
        <f aca="false">SUM(C18:H18)</f>
        <v>260037</v>
      </c>
      <c r="J18" s="54" t="n">
        <v>5414</v>
      </c>
      <c r="K18" s="56" t="n">
        <v>386538.93</v>
      </c>
      <c r="L18" s="54" t="n">
        <v>10546</v>
      </c>
      <c r="M18" s="56" t="n">
        <v>33304.92</v>
      </c>
      <c r="N18" s="56" t="n">
        <v>100257.95</v>
      </c>
      <c r="O18" s="54" t="n">
        <v>2001</v>
      </c>
      <c r="P18" s="56" t="n">
        <v>27012.86</v>
      </c>
      <c r="Q18" s="56" t="n">
        <v>9671.92</v>
      </c>
      <c r="R18" s="56" t="n">
        <v>1527.19</v>
      </c>
      <c r="S18" s="27"/>
      <c r="T18" s="27"/>
      <c r="U18" s="57" t="n">
        <f aca="false">IFERROR(J18/I18,0)</f>
        <v>0.0208201140606914</v>
      </c>
      <c r="V18" s="58" t="n">
        <f aca="false">IFERROR(K18/J18,0)</f>
        <v>71.3961821204285</v>
      </c>
      <c r="W18" s="59" t="n">
        <f aca="false">IFERROR(L18/J18,0)</f>
        <v>1.9479128186184</v>
      </c>
      <c r="X18" s="22" t="n">
        <f aca="false">IFERROR(M18/(K18+M18),0)</f>
        <v>0.0793269211874843</v>
      </c>
      <c r="Y18" s="22" t="n">
        <f aca="false">IFERROR(N18/K18,0)</f>
        <v>0.259373486649844</v>
      </c>
      <c r="Z18" s="22" t="n">
        <f aca="false">IFERROR(O18/J18,0)</f>
        <v>0.369597340229036</v>
      </c>
      <c r="AA18" s="58" t="n">
        <f aca="false">IFERROR(P18/C18,0)</f>
        <v>0.3992795695746</v>
      </c>
      <c r="AB18" s="58" t="n">
        <f aca="false">IFERROR(Q18/D18,0)</f>
        <v>0.267224401834558</v>
      </c>
      <c r="AC18" s="58" t="n">
        <f aca="false">IFERROR(R18/E18,0)</f>
        <v>0.194620874219447</v>
      </c>
      <c r="AD18" s="57" t="n">
        <f aca="false">IFERROR(F18/F$58,0)</f>
        <v>0.0178240855519403</v>
      </c>
      <c r="AE18" s="57" t="n">
        <f aca="false">IFERROR(G18/G$58,0)</f>
        <v>0.0166224433356326</v>
      </c>
      <c r="AF18" s="57" t="n">
        <f aca="false">IFERROR(H18/H$58,0)</f>
        <v>0.0191739094210335</v>
      </c>
      <c r="AG18" s="57" t="n">
        <f aca="false">IFERROR(P18/P$58,0)</f>
        <v>0.0193218201258904</v>
      </c>
      <c r="AH18" s="57" t="n">
        <f aca="false">IFERROR(Q18/Q$58,0)</f>
        <v>0.0173192349440445</v>
      </c>
      <c r="AI18" s="57" t="n">
        <f aca="false">IFERROR(R18/R$58,0)</f>
        <v>0.0187489211810916</v>
      </c>
      <c r="AJ18" s="49" t="n">
        <f aca="false">K18-N18</f>
        <v>286280.98</v>
      </c>
      <c r="AK18" s="57" t="n">
        <f aca="false">IFERROR(I18/I$58,0)</f>
        <v>0.018229501301296</v>
      </c>
    </row>
    <row r="19" customFormat="false" ht="15" hidden="false" customHeight="false" outlineLevel="0" collapsed="false">
      <c r="A19" s="13" t="n">
        <v>14</v>
      </c>
      <c r="B19" s="53"/>
      <c r="C19" s="54" t="n">
        <v>65863</v>
      </c>
      <c r="D19" s="54" t="n">
        <v>38332</v>
      </c>
      <c r="E19" s="54" t="n">
        <v>8545</v>
      </c>
      <c r="F19" s="54" t="n">
        <v>111174</v>
      </c>
      <c r="G19" s="54" t="n">
        <v>30871</v>
      </c>
      <c r="H19" s="54" t="n">
        <v>20107</v>
      </c>
      <c r="I19" s="55" t="n">
        <f aca="false">SUM(C19:H19)</f>
        <v>274892</v>
      </c>
      <c r="J19" s="54" t="n">
        <v>5563</v>
      </c>
      <c r="K19" s="56" t="n">
        <v>385290.65</v>
      </c>
      <c r="L19" s="54" t="n">
        <v>10726</v>
      </c>
      <c r="M19" s="56" t="n">
        <v>31459.27</v>
      </c>
      <c r="N19" s="56" t="n">
        <v>104199.33</v>
      </c>
      <c r="O19" s="54" t="n">
        <v>2030</v>
      </c>
      <c r="P19" s="56" t="n">
        <v>26069.01</v>
      </c>
      <c r="Q19" s="56" t="n">
        <v>10440.86</v>
      </c>
      <c r="R19" s="56" t="n">
        <v>1549.64</v>
      </c>
      <c r="S19" s="27"/>
      <c r="T19" s="27"/>
      <c r="U19" s="57" t="n">
        <f aca="false">IFERROR(J19/I19,0)</f>
        <v>0.0202370385460472</v>
      </c>
      <c r="V19" s="58" t="n">
        <f aca="false">IFERROR(K19/J19,0)</f>
        <v>69.2595092575948</v>
      </c>
      <c r="W19" s="59" t="n">
        <f aca="false">IFERROR(L19/J19,0)</f>
        <v>1.92809635088981</v>
      </c>
      <c r="X19" s="22" t="n">
        <f aca="false">IFERROR(M19/(K19+M19),0)</f>
        <v>0.0754871650605236</v>
      </c>
      <c r="Y19" s="22" t="n">
        <f aca="false">IFERROR(N19/K19,0)</f>
        <v>0.270443443151294</v>
      </c>
      <c r="Z19" s="22" t="n">
        <f aca="false">IFERROR(O19/J19,0)</f>
        <v>0.364911019234226</v>
      </c>
      <c r="AA19" s="58" t="n">
        <f aca="false">IFERROR(P19/C19,0)</f>
        <v>0.395806598545466</v>
      </c>
      <c r="AB19" s="58" t="n">
        <f aca="false">IFERROR(Q19/D19,0)</f>
        <v>0.272379734947303</v>
      </c>
      <c r="AC19" s="58" t="n">
        <f aca="false">IFERROR(R19/E19,0)</f>
        <v>0.181350497366881</v>
      </c>
      <c r="AD19" s="57" t="n">
        <f aca="false">IFERROR(F19/F$58,0)</f>
        <v>0.0196174167877896</v>
      </c>
      <c r="AE19" s="57" t="n">
        <f aca="false">IFERROR(G19/G$58,0)</f>
        <v>0.0180306201059141</v>
      </c>
      <c r="AF19" s="57" t="n">
        <f aca="false">IFERROR(H19/H$58,0)</f>
        <v>0.0204297491775062</v>
      </c>
      <c r="AG19" s="57" t="n">
        <f aca="false">IFERROR(P19/P$58,0)</f>
        <v>0.0186467009446626</v>
      </c>
      <c r="AH19" s="57" t="n">
        <f aca="false">IFERROR(Q19/Q$58,0)</f>
        <v>0.0186961541615187</v>
      </c>
      <c r="AI19" s="57" t="n">
        <f aca="false">IFERROR(R19/R$58,0)</f>
        <v>0.0190245340914141</v>
      </c>
      <c r="AJ19" s="49" t="n">
        <f aca="false">K19-N19</f>
        <v>281091.32</v>
      </c>
      <c r="AK19" s="57" t="n">
        <f aca="false">IFERROR(I19/I$58,0)</f>
        <v>0.0192708886493686</v>
      </c>
    </row>
    <row r="20" customFormat="false" ht="15" hidden="false" customHeight="false" outlineLevel="0" collapsed="false">
      <c r="A20" s="13" t="n">
        <v>15</v>
      </c>
      <c r="B20" s="53"/>
      <c r="C20" s="54" t="n">
        <v>63818</v>
      </c>
      <c r="D20" s="54" t="n">
        <v>38054</v>
      </c>
      <c r="E20" s="54" t="n">
        <v>8032</v>
      </c>
      <c r="F20" s="54" t="n">
        <v>100575</v>
      </c>
      <c r="G20" s="54" t="n">
        <v>27873</v>
      </c>
      <c r="H20" s="54" t="n">
        <v>17198</v>
      </c>
      <c r="I20" s="55" t="n">
        <f aca="false">SUM(C20:H20)</f>
        <v>255550</v>
      </c>
      <c r="J20" s="54" t="n">
        <v>5279</v>
      </c>
      <c r="K20" s="56" t="n">
        <v>376093.79</v>
      </c>
      <c r="L20" s="54" t="n">
        <v>10173</v>
      </c>
      <c r="M20" s="56" t="n">
        <v>31436.75</v>
      </c>
      <c r="N20" s="56" t="n">
        <v>96517.51</v>
      </c>
      <c r="O20" s="54" t="n">
        <v>1843</v>
      </c>
      <c r="P20" s="56" t="n">
        <v>25660.47</v>
      </c>
      <c r="Q20" s="56" t="n">
        <v>10551.9</v>
      </c>
      <c r="R20" s="56" t="n">
        <v>1594.16</v>
      </c>
      <c r="S20" s="27"/>
      <c r="T20" s="27"/>
      <c r="U20" s="57" t="n">
        <f aca="false">IFERROR(J20/I20,0)</f>
        <v>0.0206574055957738</v>
      </c>
      <c r="V20" s="58" t="n">
        <f aca="false">IFERROR(K20/J20,0)</f>
        <v>71.2433775336238</v>
      </c>
      <c r="W20" s="59" t="n">
        <f aca="false">IFERROR(L20/J20,0)</f>
        <v>1.92706952074257</v>
      </c>
      <c r="X20" s="22" t="n">
        <f aca="false">IFERROR(M20/(K20+M20),0)</f>
        <v>0.0771396175609318</v>
      </c>
      <c r="Y20" s="22" t="n">
        <f aca="false">IFERROR(N20/K20,0)</f>
        <v>0.256631490777872</v>
      </c>
      <c r="Z20" s="22" t="n">
        <f aca="false">IFERROR(O20/J20,0)</f>
        <v>0.349119151354423</v>
      </c>
      <c r="AA20" s="58" t="n">
        <f aca="false">IFERROR(P20/C20,0)</f>
        <v>0.402088282302799</v>
      </c>
      <c r="AB20" s="58" t="n">
        <f aca="false">IFERROR(Q20/D20,0)</f>
        <v>0.277287538760708</v>
      </c>
      <c r="AC20" s="58" t="n">
        <f aca="false">IFERROR(R20/E20,0)</f>
        <v>0.19847609561753</v>
      </c>
      <c r="AD20" s="57" t="n">
        <f aca="false">IFERROR(F20/F$58,0)</f>
        <v>0.0177471503537872</v>
      </c>
      <c r="AE20" s="57" t="n">
        <f aca="false">IFERROR(G20/G$58,0)</f>
        <v>0.0162795981410431</v>
      </c>
      <c r="AF20" s="57" t="n">
        <f aca="false">IFERROR(H20/H$58,0)</f>
        <v>0.0174740551228305</v>
      </c>
      <c r="AG20" s="57" t="n">
        <f aca="false">IFERROR(P20/P$58,0)</f>
        <v>0.0183544795214504</v>
      </c>
      <c r="AH20" s="57" t="n">
        <f aca="false">IFERROR(Q20/Q$58,0)</f>
        <v>0.0188949903644843</v>
      </c>
      <c r="AI20" s="57" t="n">
        <f aca="false">IFERROR(R20/R$58,0)</f>
        <v>0.0195710947492119</v>
      </c>
      <c r="AJ20" s="49" t="n">
        <f aca="false">K20-N20</f>
        <v>279576.28</v>
      </c>
      <c r="AK20" s="57" t="n">
        <f aca="false">IFERROR(I20/I$58,0)</f>
        <v>0.0179149469404208</v>
      </c>
    </row>
    <row r="21" customFormat="false" ht="15" hidden="false" customHeight="false" outlineLevel="0" collapsed="false">
      <c r="A21" s="13" t="n">
        <v>16</v>
      </c>
      <c r="B21" s="53"/>
      <c r="C21" s="54" t="n">
        <v>67707</v>
      </c>
      <c r="D21" s="54" t="n">
        <v>36960</v>
      </c>
      <c r="E21" s="54" t="n">
        <v>7982</v>
      </c>
      <c r="F21" s="54" t="n">
        <v>111144</v>
      </c>
      <c r="G21" s="54" t="n">
        <v>28575</v>
      </c>
      <c r="H21" s="54" t="n">
        <v>18156</v>
      </c>
      <c r="I21" s="55" t="n">
        <f aca="false">SUM(C21:H21)</f>
        <v>270524</v>
      </c>
      <c r="J21" s="54" t="n">
        <v>5670</v>
      </c>
      <c r="K21" s="56" t="n">
        <v>402431.15</v>
      </c>
      <c r="L21" s="54" t="n">
        <v>10919</v>
      </c>
      <c r="M21" s="56" t="n">
        <v>37069.62</v>
      </c>
      <c r="N21" s="56" t="n">
        <v>99789.56</v>
      </c>
      <c r="O21" s="54" t="n">
        <v>1959</v>
      </c>
      <c r="P21" s="56" t="n">
        <v>26987.9</v>
      </c>
      <c r="Q21" s="56" t="n">
        <v>10725</v>
      </c>
      <c r="R21" s="56" t="n">
        <v>1522.61</v>
      </c>
      <c r="S21" s="27"/>
      <c r="T21" s="27"/>
      <c r="U21" s="57" t="n">
        <f aca="false">IFERROR(J21/I21,0)</f>
        <v>0.0209593233872041</v>
      </c>
      <c r="V21" s="58" t="n">
        <f aca="false">IFERROR(K21/J21,0)</f>
        <v>70.9755114638448</v>
      </c>
      <c r="W21" s="59" t="n">
        <f aca="false">IFERROR(L21/J21,0)</f>
        <v>1.92574955908289</v>
      </c>
      <c r="X21" s="22" t="n">
        <f aca="false">IFERROR(M21/(K21+M21),0)</f>
        <v>0.08434483516377</v>
      </c>
      <c r="Y21" s="22" t="n">
        <f aca="false">IFERROR(N21/K21,0)</f>
        <v>0.247966788853199</v>
      </c>
      <c r="Z21" s="22" t="n">
        <f aca="false">IFERROR(O21/J21,0)</f>
        <v>0.345502645502646</v>
      </c>
      <c r="AA21" s="58" t="n">
        <f aca="false">IFERROR(P21/C21,0)</f>
        <v>0.398598372398718</v>
      </c>
      <c r="AB21" s="58" t="n">
        <f aca="false">IFERROR(Q21/D21,0)</f>
        <v>0.290178571428571</v>
      </c>
      <c r="AC21" s="58" t="n">
        <f aca="false">IFERROR(R21/E21,0)</f>
        <v>0.190755449761964</v>
      </c>
      <c r="AD21" s="57" t="n">
        <f aca="false">IFERROR(F21/F$58,0)</f>
        <v>0.0196121230814947</v>
      </c>
      <c r="AE21" s="57" t="n">
        <f aca="false">IFERROR(G21/G$58,0)</f>
        <v>0.0166896106224772</v>
      </c>
      <c r="AF21" s="57" t="n">
        <f aca="false">IFERROR(H21/H$58,0)</f>
        <v>0.0184474325392552</v>
      </c>
      <c r="AG21" s="57" t="n">
        <f aca="false">IFERROR(P21/P$58,0)</f>
        <v>0.0193039666801485</v>
      </c>
      <c r="AH21" s="57" t="n">
        <f aca="false">IFERROR(Q21/Q$58,0)</f>
        <v>0.0192049556628753</v>
      </c>
      <c r="AI21" s="57" t="n">
        <f aca="false">IFERROR(R21/R$58,0)</f>
        <v>0.0186926936920369</v>
      </c>
      <c r="AJ21" s="49" t="n">
        <f aca="false">K21-N21</f>
        <v>302641.59</v>
      </c>
      <c r="AK21" s="57" t="n">
        <f aca="false">IFERROR(I21/I$58,0)</f>
        <v>0.0189646766038364</v>
      </c>
    </row>
    <row r="22" customFormat="false" ht="15" hidden="false" customHeight="false" outlineLevel="0" collapsed="false">
      <c r="A22" s="13" t="n">
        <v>17</v>
      </c>
      <c r="B22" s="53"/>
      <c r="C22" s="54" t="n">
        <v>70174</v>
      </c>
      <c r="D22" s="54" t="n">
        <v>37677</v>
      </c>
      <c r="E22" s="54" t="n">
        <v>8440</v>
      </c>
      <c r="F22" s="54" t="n">
        <v>112391</v>
      </c>
      <c r="G22" s="54" t="n">
        <v>31499</v>
      </c>
      <c r="H22" s="54" t="n">
        <v>19661</v>
      </c>
      <c r="I22" s="55" t="n">
        <f aca="false">SUM(C22:H22)</f>
        <v>279842</v>
      </c>
      <c r="J22" s="54" t="n">
        <v>5671</v>
      </c>
      <c r="K22" s="56" t="n">
        <v>405671.53</v>
      </c>
      <c r="L22" s="54" t="n">
        <v>10668</v>
      </c>
      <c r="M22" s="56" t="n">
        <v>36468.76</v>
      </c>
      <c r="N22" s="56" t="n">
        <v>110459.46</v>
      </c>
      <c r="O22" s="54" t="n">
        <v>1933</v>
      </c>
      <c r="P22" s="56" t="n">
        <v>27598.39</v>
      </c>
      <c r="Q22" s="56" t="n">
        <v>10960.62</v>
      </c>
      <c r="R22" s="56" t="n">
        <v>1656.01</v>
      </c>
      <c r="S22" s="27"/>
      <c r="T22" s="27"/>
      <c r="U22" s="57" t="n">
        <f aca="false">IFERROR(J22/I22,0)</f>
        <v>0.0202650066823422</v>
      </c>
      <c r="V22" s="58" t="n">
        <f aca="false">IFERROR(K22/J22,0)</f>
        <v>71.5343907600071</v>
      </c>
      <c r="W22" s="59" t="n">
        <f aca="false">IFERROR(L22/J22,0)</f>
        <v>1.88114970904602</v>
      </c>
      <c r="X22" s="22" t="n">
        <f aca="false">IFERROR(M22/(K22+M22),0)</f>
        <v>0.0824823270460152</v>
      </c>
      <c r="Y22" s="22" t="n">
        <f aca="false">IFERROR(N22/K22,0)</f>
        <v>0.272287927131588</v>
      </c>
      <c r="Z22" s="22" t="n">
        <f aca="false">IFERROR(O22/J22,0)</f>
        <v>0.34085699171222</v>
      </c>
      <c r="AA22" s="58" t="n">
        <f aca="false">IFERROR(P22/C22,0)</f>
        <v>0.393285119844957</v>
      </c>
      <c r="AB22" s="58" t="n">
        <f aca="false">IFERROR(Q22/D22,0)</f>
        <v>0.290910104307668</v>
      </c>
      <c r="AC22" s="58" t="n">
        <f aca="false">IFERROR(R22/E22,0)</f>
        <v>0.19620971563981</v>
      </c>
      <c r="AD22" s="57" t="n">
        <f aca="false">IFERROR(F22/F$58,0)</f>
        <v>0.0198321648064877</v>
      </c>
      <c r="AE22" s="57" t="n">
        <f aca="false">IFERROR(G22/G$58,0)</f>
        <v>0.018397411898422</v>
      </c>
      <c r="AF22" s="57" t="n">
        <f aca="false">IFERROR(H22/H$58,0)</f>
        <v>0.0199765901715298</v>
      </c>
      <c r="AG22" s="57" t="n">
        <f aca="false">IFERROR(P22/P$58,0)</f>
        <v>0.0197406393600741</v>
      </c>
      <c r="AH22" s="57" t="n">
        <f aca="false">IFERROR(Q22/Q$58,0)</f>
        <v>0.0196268737657458</v>
      </c>
      <c r="AI22" s="57" t="n">
        <f aca="false">IFERROR(R22/R$58,0)</f>
        <v>0.0203304113863366</v>
      </c>
      <c r="AJ22" s="49" t="n">
        <f aca="false">K22-N22</f>
        <v>295212.07</v>
      </c>
      <c r="AK22" s="57" t="n">
        <f aca="false">IFERROR(I22/I$58,0)</f>
        <v>0.0196179009262424</v>
      </c>
    </row>
    <row r="23" customFormat="false" ht="15" hidden="false" customHeight="false" outlineLevel="0" collapsed="false">
      <c r="A23" s="13" t="n">
        <v>18</v>
      </c>
      <c r="B23" s="53"/>
      <c r="C23" s="54" t="n">
        <v>67130</v>
      </c>
      <c r="D23" s="54" t="n">
        <v>37958</v>
      </c>
      <c r="E23" s="54" t="n">
        <v>7769</v>
      </c>
      <c r="F23" s="54" t="n">
        <v>106850</v>
      </c>
      <c r="G23" s="54" t="n">
        <v>29221</v>
      </c>
      <c r="H23" s="54" t="n">
        <v>18803</v>
      </c>
      <c r="I23" s="55" t="n">
        <f aca="false">SUM(C23:H23)</f>
        <v>267731</v>
      </c>
      <c r="J23" s="54" t="n">
        <v>5641</v>
      </c>
      <c r="K23" s="56" t="n">
        <v>390344.45</v>
      </c>
      <c r="L23" s="54" t="n">
        <v>10427</v>
      </c>
      <c r="M23" s="56" t="n">
        <v>34952.96</v>
      </c>
      <c r="N23" s="56" t="n">
        <v>100162.43</v>
      </c>
      <c r="O23" s="54" t="n">
        <v>2060</v>
      </c>
      <c r="P23" s="56" t="n">
        <v>26140</v>
      </c>
      <c r="Q23" s="56" t="n">
        <v>10780.72</v>
      </c>
      <c r="R23" s="56" t="n">
        <v>1481.97</v>
      </c>
      <c r="S23" s="27"/>
      <c r="T23" s="27"/>
      <c r="U23" s="57" t="n">
        <f aca="false">IFERROR(J23/I23,0)</f>
        <v>0.0210696557365415</v>
      </c>
      <c r="V23" s="58" t="n">
        <f aca="false">IFERROR(K23/J23,0)</f>
        <v>69.1977397624535</v>
      </c>
      <c r="W23" s="59" t="n">
        <f aca="false">IFERROR(L23/J23,0)</f>
        <v>1.84843112923241</v>
      </c>
      <c r="X23" s="22" t="n">
        <f aca="false">IFERROR(M23/(K23+M23),0)</f>
        <v>0.082184746904525</v>
      </c>
      <c r="Y23" s="22" t="n">
        <f aca="false">IFERROR(N23/K23,0)</f>
        <v>0.256600113053996</v>
      </c>
      <c r="Z23" s="22" t="n">
        <f aca="false">IFERROR(O23/J23,0)</f>
        <v>0.365183478106719</v>
      </c>
      <c r="AA23" s="58" t="n">
        <f aca="false">IFERROR(P23/C23,0)</f>
        <v>0.389393713689856</v>
      </c>
      <c r="AB23" s="58" t="n">
        <f aca="false">IFERROR(Q23/D23,0)</f>
        <v>0.284017071500079</v>
      </c>
      <c r="AC23" s="58" t="n">
        <f aca="false">IFERROR(R23/E23,0)</f>
        <v>0.190754279830094</v>
      </c>
      <c r="AD23" s="57" t="n">
        <f aca="false">IFERROR(F23/F$58,0)</f>
        <v>0.0188544172538122</v>
      </c>
      <c r="AE23" s="57" t="n">
        <f aca="false">IFERROR(G23/G$58,0)</f>
        <v>0.0170669155555348</v>
      </c>
      <c r="AF23" s="57" t="n">
        <f aca="false">IFERROR(H23/H$58,0)</f>
        <v>0.0191048179133958</v>
      </c>
      <c r="AG23" s="57" t="n">
        <f aca="false">IFERROR(P23/P$58,0)</f>
        <v>0.0186974788338138</v>
      </c>
      <c r="AH23" s="57" t="n">
        <f aca="false">IFERROR(Q23/Q$58,0)</f>
        <v>0.0193047318987294</v>
      </c>
      <c r="AI23" s="57" t="n">
        <f aca="false">IFERROR(R23/R$58,0)</f>
        <v>0.0181937668022592</v>
      </c>
      <c r="AJ23" s="49" t="n">
        <f aca="false">K23-N23</f>
        <v>290182.02</v>
      </c>
      <c r="AK23" s="57" t="n">
        <f aca="false">IFERROR(I23/I$58,0)</f>
        <v>0.0187688775554913</v>
      </c>
    </row>
    <row r="24" customFormat="false" ht="15" hidden="false" customHeight="false" outlineLevel="0" collapsed="false">
      <c r="A24" s="13" t="n">
        <v>19</v>
      </c>
      <c r="B24" s="53"/>
      <c r="C24" s="54" t="n">
        <v>67559</v>
      </c>
      <c r="D24" s="54" t="n">
        <v>38553</v>
      </c>
      <c r="E24" s="54" t="n">
        <v>8182</v>
      </c>
      <c r="F24" s="54" t="n">
        <v>101051</v>
      </c>
      <c r="G24" s="54" t="n">
        <v>30190</v>
      </c>
      <c r="H24" s="54" t="n">
        <v>17783</v>
      </c>
      <c r="I24" s="55" t="n">
        <f aca="false">SUM(C24:H24)</f>
        <v>263318</v>
      </c>
      <c r="J24" s="54" t="n">
        <v>5186</v>
      </c>
      <c r="K24" s="56" t="n">
        <v>370894.76</v>
      </c>
      <c r="L24" s="54" t="n">
        <v>9556</v>
      </c>
      <c r="M24" s="56" t="n">
        <v>30103.95</v>
      </c>
      <c r="N24" s="56" t="n">
        <v>100657.73</v>
      </c>
      <c r="O24" s="54" t="n">
        <v>1777</v>
      </c>
      <c r="P24" s="56" t="n">
        <v>28095.75</v>
      </c>
      <c r="Q24" s="56" t="n">
        <v>11102.28</v>
      </c>
      <c r="R24" s="56" t="n">
        <v>1616.33</v>
      </c>
      <c r="S24" s="27"/>
      <c r="T24" s="27"/>
      <c r="U24" s="57" t="n">
        <f aca="false">IFERROR(J24/I24,0)</f>
        <v>0.0196948176729278</v>
      </c>
      <c r="V24" s="58" t="n">
        <f aca="false">IFERROR(K24/J24,0)</f>
        <v>71.5184650983417</v>
      </c>
      <c r="W24" s="59" t="n">
        <f aca="false">IFERROR(L24/J24,0)</f>
        <v>1.84265329733899</v>
      </c>
      <c r="X24" s="22" t="n">
        <f aca="false">IFERROR(M24/(K24+M24),0)</f>
        <v>0.0750724360185598</v>
      </c>
      <c r="Y24" s="22" t="n">
        <f aca="false">IFERROR(N24/K24,0)</f>
        <v>0.271391620631146</v>
      </c>
      <c r="Z24" s="22" t="n">
        <f aca="false">IFERROR(O24/J24,0)</f>
        <v>0.34265329733899</v>
      </c>
      <c r="AA24" s="58" t="n">
        <f aca="false">IFERROR(P24/C24,0)</f>
        <v>0.415869832294735</v>
      </c>
      <c r="AB24" s="58" t="n">
        <f aca="false">IFERROR(Q24/D24,0)</f>
        <v>0.287974476694421</v>
      </c>
      <c r="AC24" s="58" t="n">
        <f aca="false">IFERROR(R24/E24,0)</f>
        <v>0.1975470545099</v>
      </c>
      <c r="AD24" s="57" t="n">
        <f aca="false">IFERROR(F24/F$58,0)</f>
        <v>0.0178311438270003</v>
      </c>
      <c r="AE24" s="57" t="n">
        <f aca="false">IFERROR(G24/G$58,0)</f>
        <v>0.0176328729551212</v>
      </c>
      <c r="AF24" s="57" t="n">
        <f aca="false">IFERROR(H24/H$58,0)</f>
        <v>0.0180684452988309</v>
      </c>
      <c r="AG24" s="57" t="n">
        <f aca="false">IFERROR(P24/P$58,0)</f>
        <v>0.0200963921555135</v>
      </c>
      <c r="AH24" s="57" t="n">
        <f aca="false">IFERROR(Q24/Q$58,0)</f>
        <v>0.0198805403409629</v>
      </c>
      <c r="AI24" s="57" t="n">
        <f aca="false">IFERROR(R24/R$58,0)</f>
        <v>0.0198432701711206</v>
      </c>
      <c r="AJ24" s="49" t="n">
        <f aca="false">K24-N24</f>
        <v>270237.03</v>
      </c>
      <c r="AK24" s="57" t="n">
        <f aca="false">IFERROR(I24/I$58,0)</f>
        <v>0.0184595108528966</v>
      </c>
    </row>
    <row r="25" customFormat="false" ht="15" hidden="false" customHeight="false" outlineLevel="0" collapsed="false">
      <c r="A25" s="13" t="n">
        <v>20</v>
      </c>
      <c r="B25" s="53"/>
      <c r="C25" s="54" t="n">
        <v>65438</v>
      </c>
      <c r="D25" s="54" t="n">
        <v>36621</v>
      </c>
      <c r="E25" s="54" t="n">
        <v>8023</v>
      </c>
      <c r="F25" s="54" t="n">
        <v>106056</v>
      </c>
      <c r="G25" s="54" t="n">
        <v>29344</v>
      </c>
      <c r="H25" s="54" t="n">
        <v>17439</v>
      </c>
      <c r="I25" s="55" t="n">
        <f aca="false">SUM(C25:H25)</f>
        <v>262921</v>
      </c>
      <c r="J25" s="54" t="n">
        <v>5392</v>
      </c>
      <c r="K25" s="56" t="n">
        <v>380364.32</v>
      </c>
      <c r="L25" s="54" t="n">
        <v>10442</v>
      </c>
      <c r="M25" s="56" t="n">
        <v>33853.55</v>
      </c>
      <c r="N25" s="56" t="n">
        <v>100735.13</v>
      </c>
      <c r="O25" s="54" t="n">
        <v>1903</v>
      </c>
      <c r="P25" s="56" t="n">
        <v>26381.33</v>
      </c>
      <c r="Q25" s="56" t="n">
        <v>10093.57</v>
      </c>
      <c r="R25" s="56" t="n">
        <v>1492.09</v>
      </c>
      <c r="S25" s="27"/>
      <c r="T25" s="27"/>
      <c r="U25" s="57" t="n">
        <f aca="false">IFERROR(J25/I25,0)</f>
        <v>0.0205080613568334</v>
      </c>
      <c r="V25" s="58" t="n">
        <f aca="false">IFERROR(K25/J25,0)</f>
        <v>70.5423442136499</v>
      </c>
      <c r="W25" s="59" t="n">
        <f aca="false">IFERROR(L25/J25,0)</f>
        <v>1.93657270029674</v>
      </c>
      <c r="X25" s="22" t="n">
        <f aca="false">IFERROR(M25/(K25+M25),0)</f>
        <v>0.0817288496027465</v>
      </c>
      <c r="Y25" s="22" t="n">
        <f aca="false">IFERROR(N25/K25,0)</f>
        <v>0.26483853690588</v>
      </c>
      <c r="Z25" s="22" t="n">
        <f aca="false">IFERROR(O25/J25,0)</f>
        <v>0.352930267062315</v>
      </c>
      <c r="AA25" s="58" t="n">
        <f aca="false">IFERROR(P25/C25,0)</f>
        <v>0.403150004584492</v>
      </c>
      <c r="AB25" s="58" t="n">
        <f aca="false">IFERROR(Q25/D25,0)</f>
        <v>0.275622457060157</v>
      </c>
      <c r="AC25" s="58" t="n">
        <f aca="false">IFERROR(R25/E25,0)</f>
        <v>0.185976567368815</v>
      </c>
      <c r="AD25" s="57" t="n">
        <f aca="false">IFERROR(F25/F$58,0)</f>
        <v>0.0187143104938728</v>
      </c>
      <c r="AE25" s="57" t="n">
        <f aca="false">IFERROR(G25/G$58,0)</f>
        <v>0.0171387553492903</v>
      </c>
      <c r="AF25" s="57" t="n">
        <f aca="false">IFERROR(H25/H$58,0)</f>
        <v>0.017718923554311</v>
      </c>
      <c r="AG25" s="57" t="n">
        <f aca="false">IFERROR(P25/P$58,0)</f>
        <v>0.0188700979067657</v>
      </c>
      <c r="AH25" s="57" t="n">
        <f aca="false">IFERROR(Q25/Q$58,0)</f>
        <v>0.0180742717324129</v>
      </c>
      <c r="AI25" s="57" t="n">
        <f aca="false">IFERROR(R25/R$58,0)</f>
        <v>0.0183180074549302</v>
      </c>
      <c r="AJ25" s="49" t="n">
        <f aca="false">K25-N25</f>
        <v>279629.19</v>
      </c>
      <c r="AK25" s="57" t="n">
        <f aca="false">IFERROR(I25/I$58,0)</f>
        <v>0.0184316797672564</v>
      </c>
    </row>
    <row r="26" customFormat="false" ht="15" hidden="false" customHeight="false" outlineLevel="0" collapsed="false">
      <c r="A26" s="13" t="n">
        <v>21</v>
      </c>
      <c r="B26" s="53" t="s">
        <v>426</v>
      </c>
      <c r="C26" s="54" t="n">
        <v>84850</v>
      </c>
      <c r="D26" s="54" t="n">
        <v>46392</v>
      </c>
      <c r="E26" s="54" t="n">
        <v>10114</v>
      </c>
      <c r="F26" s="54" t="n">
        <v>136978</v>
      </c>
      <c r="G26" s="54" t="n">
        <v>62728</v>
      </c>
      <c r="H26" s="54" t="n">
        <v>24527</v>
      </c>
      <c r="I26" s="55" t="n">
        <f aca="false">SUM(C26:H26)</f>
        <v>365589</v>
      </c>
      <c r="J26" s="54" t="n">
        <v>9129</v>
      </c>
      <c r="K26" s="56" t="n">
        <v>576619.66</v>
      </c>
      <c r="L26" s="54" t="n">
        <v>17848</v>
      </c>
      <c r="M26" s="56" t="n">
        <v>246198</v>
      </c>
      <c r="N26" s="56" t="n">
        <v>127309.56</v>
      </c>
      <c r="O26" s="54" t="n">
        <v>4260</v>
      </c>
      <c r="P26" s="56" t="n">
        <v>33386.55</v>
      </c>
      <c r="Q26" s="56" t="n">
        <v>13283.25</v>
      </c>
      <c r="R26" s="56" t="n">
        <v>1994.72</v>
      </c>
      <c r="S26" s="27"/>
      <c r="T26" s="27"/>
      <c r="U26" s="57" t="n">
        <f aca="false">IFERROR(J26/I26,0)</f>
        <v>0.0249706637781771</v>
      </c>
      <c r="V26" s="58" t="n">
        <f aca="false">IFERROR(K26/J26,0)</f>
        <v>63.1635075035601</v>
      </c>
      <c r="W26" s="59" t="n">
        <f aca="false">IFERROR(L26/J26,0)</f>
        <v>1.95508818052361</v>
      </c>
      <c r="X26" s="22" t="n">
        <f aca="false">IFERROR(M26/(K26+M26),0)</f>
        <v>0.299213315377796</v>
      </c>
      <c r="Y26" s="22" t="n">
        <f aca="false">IFERROR(N26/K26,0)</f>
        <v>0.220786020372597</v>
      </c>
      <c r="Z26" s="22" t="n">
        <f aca="false">IFERROR(O26/J26,0)</f>
        <v>0.466644758462044</v>
      </c>
      <c r="AA26" s="58" t="n">
        <f aca="false">IFERROR(P26/C26,0)</f>
        <v>0.393477312905127</v>
      </c>
      <c r="AB26" s="58" t="n">
        <f aca="false">IFERROR(Q26/D26,0)</f>
        <v>0.2863263062597</v>
      </c>
      <c r="AC26" s="58" t="n">
        <f aca="false">IFERROR(R26/E26,0)</f>
        <v>0.197223650385604</v>
      </c>
      <c r="AD26" s="57" t="n">
        <f aca="false">IFERROR(F26/F$58,0)</f>
        <v>0.0241707100289442</v>
      </c>
      <c r="AE26" s="57" t="n">
        <f aca="false">IFERROR(G26/G$58,0)</f>
        <v>0.0366371266886002</v>
      </c>
      <c r="AF26" s="57" t="n">
        <f aca="false">IFERROR(H26/H$58,0)</f>
        <v>0.0249206971739541</v>
      </c>
      <c r="AG26" s="57" t="n">
        <f aca="false">IFERROR(P26/P$58,0)</f>
        <v>0.0238808076495434</v>
      </c>
      <c r="AH26" s="57" t="n">
        <f aca="false">IFERROR(Q26/Q$58,0)</f>
        <v>0.0237859419402227</v>
      </c>
      <c r="AI26" s="57" t="n">
        <f aca="false">IFERROR(R26/R$58,0)</f>
        <v>0.0244886674600717</v>
      </c>
      <c r="AJ26" s="49" t="n">
        <f aca="false">K26-N26</f>
        <v>449310.1</v>
      </c>
      <c r="AK26" s="57" t="n">
        <f aca="false">IFERROR(I26/I$58,0)</f>
        <v>0.0256290649070691</v>
      </c>
    </row>
    <row r="27" customFormat="false" ht="15" hidden="false" customHeight="false" outlineLevel="0" collapsed="false">
      <c r="A27" s="13" t="n">
        <v>22</v>
      </c>
      <c r="B27" s="53" t="s">
        <v>428</v>
      </c>
      <c r="C27" s="54" t="n">
        <v>82229</v>
      </c>
      <c r="D27" s="54" t="n">
        <v>48914</v>
      </c>
      <c r="E27" s="54" t="n">
        <v>9992</v>
      </c>
      <c r="F27" s="54" t="n">
        <v>131029</v>
      </c>
      <c r="G27" s="54" t="n">
        <v>39012</v>
      </c>
      <c r="H27" s="54" t="n">
        <v>23442</v>
      </c>
      <c r="I27" s="55" t="n">
        <f aca="false">SUM(C27:H27)</f>
        <v>334618</v>
      </c>
      <c r="J27" s="54" t="n">
        <v>8348</v>
      </c>
      <c r="K27" s="56" t="n">
        <v>515779.16</v>
      </c>
      <c r="L27" s="54" t="n">
        <v>15978</v>
      </c>
      <c r="M27" s="56" t="n">
        <v>239094.96</v>
      </c>
      <c r="N27" s="56" t="n">
        <v>120168.05</v>
      </c>
      <c r="O27" s="54" t="n">
        <v>3571</v>
      </c>
      <c r="P27" s="56" t="n">
        <v>32540.58</v>
      </c>
      <c r="Q27" s="56" t="n">
        <v>14147.76</v>
      </c>
      <c r="R27" s="56" t="n">
        <v>1942.64</v>
      </c>
      <c r="S27" s="27"/>
      <c r="T27" s="27"/>
      <c r="U27" s="57" t="n">
        <f aca="false">IFERROR(J27/I27,0)</f>
        <v>0.0249478509823142</v>
      </c>
      <c r="V27" s="58" t="n">
        <f aca="false">IFERROR(K27/J27,0)</f>
        <v>61.7847580258745</v>
      </c>
      <c r="W27" s="59" t="n">
        <f aca="false">IFERROR(L27/J27,0)</f>
        <v>1.91399137517968</v>
      </c>
      <c r="X27" s="22" t="n">
        <f aca="false">IFERROR(M27/(K27+M27),0)</f>
        <v>0.316734874948422</v>
      </c>
      <c r="Y27" s="22" t="n">
        <f aca="false">IFERROR(N27/K27,0)</f>
        <v>0.23298353116865</v>
      </c>
      <c r="Z27" s="22" t="n">
        <f aca="false">IFERROR(O27/J27,0)</f>
        <v>0.427767129851461</v>
      </c>
      <c r="AA27" s="58" t="n">
        <f aca="false">IFERROR(P27/C27,0)</f>
        <v>0.395731189726252</v>
      </c>
      <c r="AB27" s="58" t="n">
        <f aca="false">IFERROR(Q27/D27,0)</f>
        <v>0.289237437134563</v>
      </c>
      <c r="AC27" s="58" t="n">
        <f aca="false">IFERROR(R27/E27,0)</f>
        <v>0.194419535628503</v>
      </c>
      <c r="AD27" s="57" t="n">
        <f aca="false">IFERROR(F27/F$58,0)</f>
        <v>0.0231209680706576</v>
      </c>
      <c r="AE27" s="57" t="n">
        <f aca="false">IFERROR(G27/G$58,0)</f>
        <v>0.0227854799511489</v>
      </c>
      <c r="AF27" s="57" t="n">
        <f aca="false">IFERROR(H27/H$58,0)</f>
        <v>0.0238182812065003</v>
      </c>
      <c r="AG27" s="57" t="n">
        <f aca="false">IFERROR(P27/P$58,0)</f>
        <v>0.0232757002980116</v>
      </c>
      <c r="AH27" s="57" t="n">
        <f aca="false">IFERROR(Q27/Q$58,0)</f>
        <v>0.0253339956670397</v>
      </c>
      <c r="AI27" s="57" t="n">
        <f aca="false">IFERROR(R27/R$58,0)</f>
        <v>0.0238492946151007</v>
      </c>
      <c r="AJ27" s="49" t="n">
        <f aca="false">K27-N27</f>
        <v>395611.11</v>
      </c>
      <c r="AK27" s="57" t="n">
        <f aca="false">IFERROR(I27/I$58,0)</f>
        <v>0.0234578897096839</v>
      </c>
    </row>
    <row r="28" customFormat="false" ht="15" hidden="false" customHeight="false" outlineLevel="0" collapsed="false">
      <c r="A28" s="13" t="n">
        <v>23</v>
      </c>
      <c r="B28" s="53" t="s">
        <v>428</v>
      </c>
      <c r="C28" s="54" t="n">
        <v>83517</v>
      </c>
      <c r="D28" s="54" t="n">
        <v>46960</v>
      </c>
      <c r="E28" s="54" t="n">
        <v>9665</v>
      </c>
      <c r="F28" s="54" t="n">
        <v>135057</v>
      </c>
      <c r="G28" s="54" t="n">
        <v>35285</v>
      </c>
      <c r="H28" s="54" t="n">
        <v>23636</v>
      </c>
      <c r="I28" s="55" t="n">
        <f aca="false">SUM(C28:H28)</f>
        <v>334120</v>
      </c>
      <c r="J28" s="54" t="n">
        <v>7577</v>
      </c>
      <c r="K28" s="56" t="n">
        <v>473569.2</v>
      </c>
      <c r="L28" s="54" t="n">
        <v>14803</v>
      </c>
      <c r="M28" s="56" t="n">
        <v>172539.79</v>
      </c>
      <c r="N28" s="56" t="n">
        <v>108037.49</v>
      </c>
      <c r="O28" s="54" t="n">
        <v>3441</v>
      </c>
      <c r="P28" s="56" t="n">
        <v>32579.44</v>
      </c>
      <c r="Q28" s="56" t="n">
        <v>13029.93</v>
      </c>
      <c r="R28" s="56" t="n">
        <v>1918.86</v>
      </c>
      <c r="S28" s="27"/>
      <c r="T28" s="27"/>
      <c r="U28" s="57" t="n">
        <f aca="false">IFERROR(J28/I28,0)</f>
        <v>0.022677481144499</v>
      </c>
      <c r="V28" s="58" t="n">
        <f aca="false">IFERROR(K28/J28,0)</f>
        <v>62.5008842549822</v>
      </c>
      <c r="W28" s="59" t="n">
        <f aca="false">IFERROR(L28/J28,0)</f>
        <v>1.95367559720206</v>
      </c>
      <c r="X28" s="22" t="n">
        <f aca="false">IFERROR(M28/(K28+M28),0)</f>
        <v>0.267044403762282</v>
      </c>
      <c r="Y28" s="22" t="n">
        <f aca="false">IFERROR(N28/K28,0)</f>
        <v>0.228134536621047</v>
      </c>
      <c r="Z28" s="22" t="n">
        <f aca="false">IFERROR(O28/J28,0)</f>
        <v>0.454137521446483</v>
      </c>
      <c r="AA28" s="58" t="n">
        <f aca="false">IFERROR(P28/C28,0)</f>
        <v>0.390093513895375</v>
      </c>
      <c r="AB28" s="58" t="n">
        <f aca="false">IFERROR(Q28/D28,0)</f>
        <v>0.277468696763203</v>
      </c>
      <c r="AC28" s="58" t="n">
        <f aca="false">IFERROR(R28/E28,0)</f>
        <v>0.198536989136058</v>
      </c>
      <c r="AD28" s="57" t="n">
        <f aca="false">IFERROR(F28/F$58,0)</f>
        <v>0.0238317363691915</v>
      </c>
      <c r="AE28" s="57" t="n">
        <f aca="false">IFERROR(G28/G$58,0)</f>
        <v>0.0206086757940195</v>
      </c>
      <c r="AF28" s="57" t="n">
        <f aca="false">IFERROR(H28/H$58,0)</f>
        <v>0.0240153952135842</v>
      </c>
      <c r="AG28" s="57" t="n">
        <f aca="false">IFERROR(P28/P$58,0)</f>
        <v>0.0233034961674639</v>
      </c>
      <c r="AH28" s="57" t="n">
        <f aca="false">IFERROR(Q28/Q$58,0)</f>
        <v>0.0233323289454889</v>
      </c>
      <c r="AI28" s="57" t="n">
        <f aca="false">IFERROR(R28/R$58,0)</f>
        <v>0.0235573536348125</v>
      </c>
      <c r="AJ28" s="49" t="n">
        <f aca="false">K28-N28</f>
        <v>365531.71</v>
      </c>
      <c r="AK28" s="57" t="n">
        <f aca="false">IFERROR(I28/I$58,0)</f>
        <v>0.0234229781715257</v>
      </c>
    </row>
    <row r="29" customFormat="false" ht="15" hidden="false" customHeight="false" outlineLevel="0" collapsed="false">
      <c r="A29" s="13" t="n">
        <v>24</v>
      </c>
      <c r="B29" s="53"/>
      <c r="C29" s="54" t="n">
        <v>65180</v>
      </c>
      <c r="D29" s="54" t="n">
        <v>33125</v>
      </c>
      <c r="E29" s="54" t="n">
        <v>7746</v>
      </c>
      <c r="F29" s="54" t="n">
        <v>102342</v>
      </c>
      <c r="G29" s="54" t="n">
        <v>27563</v>
      </c>
      <c r="H29" s="54" t="n">
        <v>16566</v>
      </c>
      <c r="I29" s="55" t="n">
        <f aca="false">SUM(C29:H29)</f>
        <v>252522</v>
      </c>
      <c r="J29" s="54" t="n">
        <v>5047</v>
      </c>
      <c r="K29" s="56" t="n">
        <v>362694.63</v>
      </c>
      <c r="L29" s="54" t="n">
        <v>9515</v>
      </c>
      <c r="M29" s="56" t="n">
        <v>33308.76</v>
      </c>
      <c r="N29" s="56" t="n">
        <v>91041.67</v>
      </c>
      <c r="O29" s="54" t="n">
        <v>1704</v>
      </c>
      <c r="P29" s="56" t="n">
        <v>25480.35</v>
      </c>
      <c r="Q29" s="56" t="n">
        <v>9505.48</v>
      </c>
      <c r="R29" s="56" t="n">
        <v>1518.07</v>
      </c>
      <c r="S29" s="27"/>
      <c r="T29" s="27"/>
      <c r="U29" s="57" t="n">
        <f aca="false">IFERROR(J29/I29,0)</f>
        <v>0.0199863774245412</v>
      </c>
      <c r="V29" s="58" t="n">
        <f aca="false">IFERROR(K29/J29,0)</f>
        <v>71.8634099465029</v>
      </c>
      <c r="W29" s="59" t="n">
        <f aca="false">IFERROR(L29/J29,0)</f>
        <v>1.88527838319794</v>
      </c>
      <c r="X29" s="22" t="n">
        <f aca="false">IFERROR(M29/(K29+M29),0)</f>
        <v>0.0841123102506774</v>
      </c>
      <c r="Y29" s="22" t="n">
        <f aca="false">IFERROR(N29/K29,0)</f>
        <v>0.251014662113966</v>
      </c>
      <c r="Z29" s="22" t="n">
        <f aca="false">IFERROR(O29/J29,0)</f>
        <v>0.337626312660987</v>
      </c>
      <c r="AA29" s="58" t="n">
        <f aca="false">IFERROR(P29/C29,0)</f>
        <v>0.390922829088678</v>
      </c>
      <c r="AB29" s="58" t="n">
        <f aca="false">IFERROR(Q29/D29,0)</f>
        <v>0.286957886792453</v>
      </c>
      <c r="AC29" s="58" t="n">
        <f aca="false">IFERROR(R29/E29,0)</f>
        <v>0.195981151562097</v>
      </c>
      <c r="AD29" s="57" t="n">
        <f aca="false">IFERROR(F29/F$58,0)</f>
        <v>0.0180589496545592</v>
      </c>
      <c r="AE29" s="57" t="n">
        <f aca="false">IFERROR(G29/G$58,0)</f>
        <v>0.0160985384982446</v>
      </c>
      <c r="AF29" s="57" t="n">
        <f aca="false">IFERROR(H29/H$58,0)</f>
        <v>0.0168319105224334</v>
      </c>
      <c r="AG29" s="57" t="n">
        <f aca="false">IFERROR(P29/P$58,0)</f>
        <v>0.0182256428769383</v>
      </c>
      <c r="AH29" s="57" t="n">
        <f aca="false">IFERROR(Q29/Q$58,0)</f>
        <v>0.0170211955202189</v>
      </c>
      <c r="AI29" s="57" t="n">
        <f aca="false">IFERROR(R29/R$58,0)</f>
        <v>0.0186369572727556</v>
      </c>
      <c r="AJ29" s="49" t="n">
        <f aca="false">K29-N29</f>
        <v>271652.96</v>
      </c>
      <c r="AK29" s="57" t="n">
        <f aca="false">IFERROR(I29/I$58,0)</f>
        <v>0.0177026735718605</v>
      </c>
    </row>
    <row r="30" customFormat="false" ht="15" hidden="false" customHeight="false" outlineLevel="0" collapsed="false">
      <c r="A30" s="13" t="n">
        <v>25</v>
      </c>
      <c r="B30" s="53"/>
      <c r="C30" s="54" t="n">
        <v>55951</v>
      </c>
      <c r="D30" s="54" t="n">
        <v>33186</v>
      </c>
      <c r="E30" s="54" t="n">
        <v>7208</v>
      </c>
      <c r="F30" s="54" t="n">
        <v>94463</v>
      </c>
      <c r="G30" s="54" t="n">
        <v>24571</v>
      </c>
      <c r="H30" s="54" t="n">
        <v>16567</v>
      </c>
      <c r="I30" s="55" t="n">
        <f aca="false">SUM(C30:H30)</f>
        <v>231946</v>
      </c>
      <c r="J30" s="54" t="n">
        <v>4742</v>
      </c>
      <c r="K30" s="56" t="n">
        <v>328920.25</v>
      </c>
      <c r="L30" s="54" t="n">
        <v>9126</v>
      </c>
      <c r="M30" s="56" t="n">
        <v>30970.77</v>
      </c>
      <c r="N30" s="56" t="n">
        <v>87656.13</v>
      </c>
      <c r="O30" s="54" t="n">
        <v>1675</v>
      </c>
      <c r="P30" s="56" t="n">
        <v>22869.83</v>
      </c>
      <c r="Q30" s="56" t="n">
        <v>9216.66</v>
      </c>
      <c r="R30" s="56" t="n">
        <v>1431.25</v>
      </c>
      <c r="S30" s="27"/>
      <c r="T30" s="27"/>
      <c r="U30" s="57" t="n">
        <f aca="false">IFERROR(J30/I30,0)</f>
        <v>0.0204444137859674</v>
      </c>
      <c r="V30" s="58" t="n">
        <f aca="false">IFERROR(K30/J30,0)</f>
        <v>69.3631906368621</v>
      </c>
      <c r="W30" s="59" t="n">
        <f aca="false">IFERROR(L30/J30,0)</f>
        <v>1.92450442851118</v>
      </c>
      <c r="X30" s="22" t="n">
        <f aca="false">IFERROR(M30/(K30+M30),0)</f>
        <v>0.0860559677204505</v>
      </c>
      <c r="Y30" s="22" t="n">
        <f aca="false">IFERROR(N30/K30,0)</f>
        <v>0.266496605180131</v>
      </c>
      <c r="Z30" s="22" t="n">
        <f aca="false">IFERROR(O30/J30,0)</f>
        <v>0.353226486714467</v>
      </c>
      <c r="AA30" s="58" t="n">
        <f aca="false">IFERROR(P30/C30,0)</f>
        <v>0.408747475469607</v>
      </c>
      <c r="AB30" s="58" t="n">
        <f aca="false">IFERROR(Q30/D30,0)</f>
        <v>0.277727354908696</v>
      </c>
      <c r="AC30" s="58" t="n">
        <f aca="false">IFERROR(R30/E30,0)</f>
        <v>0.198564095449501</v>
      </c>
      <c r="AD30" s="57" t="n">
        <f aca="false">IFERROR(F30/F$58,0)</f>
        <v>0.0166686459246314</v>
      </c>
      <c r="AE30" s="57" t="n">
        <f aca="false">IFERROR(G30/G$58,0)</f>
        <v>0.0143510209135569</v>
      </c>
      <c r="AF30" s="57" t="n">
        <f aca="false">IFERROR(H30/H$58,0)</f>
        <v>0.0168329265740163</v>
      </c>
      <c r="AG30" s="57" t="n">
        <f aca="false">IFERROR(P30/P$58,0)</f>
        <v>0.0163583841758959</v>
      </c>
      <c r="AH30" s="57" t="n">
        <f aca="false">IFERROR(Q30/Q$58,0)</f>
        <v>0.0165040136745731</v>
      </c>
      <c r="AI30" s="57" t="n">
        <f aca="false">IFERROR(R30/R$58,0)</f>
        <v>0.0175710903295839</v>
      </c>
      <c r="AJ30" s="49" t="n">
        <f aca="false">K30-N30</f>
        <v>241264.12</v>
      </c>
      <c r="AK30" s="57" t="n">
        <f aca="false">IFERROR(I30/I$58,0)</f>
        <v>0.0162602241559102</v>
      </c>
    </row>
    <row r="31" customFormat="false" ht="15" hidden="false" customHeight="false" outlineLevel="0" collapsed="false">
      <c r="A31" s="13" t="n">
        <v>26</v>
      </c>
      <c r="B31" s="53"/>
      <c r="C31" s="54" t="n">
        <v>61810</v>
      </c>
      <c r="D31" s="54" t="n">
        <v>33894</v>
      </c>
      <c r="E31" s="54" t="n">
        <v>7276</v>
      </c>
      <c r="F31" s="54" t="n">
        <v>99221</v>
      </c>
      <c r="G31" s="54" t="n">
        <v>26420</v>
      </c>
      <c r="H31" s="54" t="n">
        <v>16147</v>
      </c>
      <c r="I31" s="55" t="n">
        <f aca="false">SUM(C31:H31)</f>
        <v>244768</v>
      </c>
      <c r="J31" s="54" t="n">
        <v>4830</v>
      </c>
      <c r="K31" s="56" t="n">
        <v>338861.41</v>
      </c>
      <c r="L31" s="54" t="n">
        <v>9230</v>
      </c>
      <c r="M31" s="56" t="n">
        <v>31845.71</v>
      </c>
      <c r="N31" s="56" t="n">
        <v>83952.72</v>
      </c>
      <c r="O31" s="54" t="n">
        <v>1599</v>
      </c>
      <c r="P31" s="56" t="n">
        <v>24688.83</v>
      </c>
      <c r="Q31" s="56" t="n">
        <v>9091.13</v>
      </c>
      <c r="R31" s="56" t="n">
        <v>1332.64</v>
      </c>
      <c r="S31" s="27"/>
      <c r="T31" s="27"/>
      <c r="U31" s="57" t="n">
        <f aca="false">IFERROR(J31/I31,0)</f>
        <v>0.0197329716302785</v>
      </c>
      <c r="V31" s="58" t="n">
        <f aca="false">IFERROR(K31/J31,0)</f>
        <v>70.1576418219462</v>
      </c>
      <c r="W31" s="59" t="n">
        <f aca="false">IFERROR(L31/J31,0)</f>
        <v>1.91097308488613</v>
      </c>
      <c r="X31" s="22" t="n">
        <f aca="false">IFERROR(M31/(K31+M31),0)</f>
        <v>0.0859053098305746</v>
      </c>
      <c r="Y31" s="22" t="n">
        <f aca="false">IFERROR(N31/K31,0)</f>
        <v>0.24774942652809</v>
      </c>
      <c r="Z31" s="22" t="n">
        <f aca="false">IFERROR(O31/J31,0)</f>
        <v>0.331055900621118</v>
      </c>
      <c r="AA31" s="58" t="n">
        <f aca="false">IFERROR(P31/C31,0)</f>
        <v>0.399430998220353</v>
      </c>
      <c r="AB31" s="58" t="n">
        <f aca="false">IFERROR(Q31/D31,0)</f>
        <v>0.268222399244704</v>
      </c>
      <c r="AC31" s="58" t="n">
        <f aca="false">IFERROR(R31/E31,0)</f>
        <v>0.183155579989005</v>
      </c>
      <c r="AD31" s="57" t="n">
        <f aca="false">IFERROR(F31/F$58,0)</f>
        <v>0.0175082277430089</v>
      </c>
      <c r="AE31" s="57" t="n">
        <f aca="false">IFERROR(G31/G$58,0)</f>
        <v>0.0154309540733455</v>
      </c>
      <c r="AF31" s="57" t="n">
        <f aca="false">IFERROR(H31/H$58,0)</f>
        <v>0.0164061849091955</v>
      </c>
      <c r="AG31" s="57" t="n">
        <f aca="false">IFERROR(P31/P$58,0)</f>
        <v>0.0176594826456246</v>
      </c>
      <c r="AH31" s="57" t="n">
        <f aca="false">IFERROR(Q31/Q$58,0)</f>
        <v>0.0162792306364042</v>
      </c>
      <c r="AI31" s="57" t="n">
        <f aca="false">IFERROR(R31/R$58,0)</f>
        <v>0.0163604805707017</v>
      </c>
      <c r="AJ31" s="49" t="n">
        <f aca="false">K31-N31</f>
        <v>254908.69</v>
      </c>
      <c r="AK31" s="57" t="n">
        <f aca="false">IFERROR(I31/I$58,0)</f>
        <v>0.0171590911082486</v>
      </c>
    </row>
    <row r="32" customFormat="false" ht="15" hidden="false" customHeight="false" outlineLevel="0" collapsed="false">
      <c r="A32" s="13" t="n">
        <v>27</v>
      </c>
      <c r="B32" s="53"/>
      <c r="C32" s="54" t="n">
        <v>60479</v>
      </c>
      <c r="D32" s="54" t="n">
        <v>31652</v>
      </c>
      <c r="E32" s="54" t="n">
        <v>6997</v>
      </c>
      <c r="F32" s="54" t="n">
        <v>96012</v>
      </c>
      <c r="G32" s="54" t="n">
        <v>26320</v>
      </c>
      <c r="H32" s="54" t="n">
        <v>15139</v>
      </c>
      <c r="I32" s="55" t="n">
        <f aca="false">SUM(C32:H32)</f>
        <v>236599</v>
      </c>
      <c r="J32" s="54" t="n">
        <v>4675</v>
      </c>
      <c r="K32" s="56" t="n">
        <v>327305.32</v>
      </c>
      <c r="L32" s="54" t="n">
        <v>9120</v>
      </c>
      <c r="M32" s="56" t="n">
        <v>26011.42</v>
      </c>
      <c r="N32" s="56" t="n">
        <v>86206.35</v>
      </c>
      <c r="O32" s="54" t="n">
        <v>1685</v>
      </c>
      <c r="P32" s="56" t="n">
        <v>23109.92</v>
      </c>
      <c r="Q32" s="56" t="n">
        <v>8970.37</v>
      </c>
      <c r="R32" s="56" t="n">
        <v>1310.66</v>
      </c>
      <c r="S32" s="27"/>
      <c r="T32" s="27"/>
      <c r="U32" s="57" t="n">
        <f aca="false">IFERROR(J32/I32,0)</f>
        <v>0.0197591705797573</v>
      </c>
      <c r="V32" s="58" t="n">
        <f aca="false">IFERROR(K32/J32,0)</f>
        <v>70.0118331550802</v>
      </c>
      <c r="W32" s="59" t="n">
        <f aca="false">IFERROR(L32/J32,0)</f>
        <v>1.95080213903743</v>
      </c>
      <c r="X32" s="22" t="n">
        <f aca="false">IFERROR(M32/(K32+M32),0)</f>
        <v>0.0736206838090944</v>
      </c>
      <c r="Y32" s="22" t="n">
        <f aca="false">IFERROR(N32/K32,0)</f>
        <v>0.263382061739785</v>
      </c>
      <c r="Z32" s="22" t="n">
        <f aca="false">IFERROR(O32/J32,0)</f>
        <v>0.360427807486631</v>
      </c>
      <c r="AA32" s="58" t="n">
        <f aca="false">IFERROR(P32/C32,0)</f>
        <v>0.382114783643909</v>
      </c>
      <c r="AB32" s="58" t="n">
        <f aca="false">IFERROR(Q32/D32,0)</f>
        <v>0.283406103879692</v>
      </c>
      <c r="AC32" s="58" t="n">
        <f aca="false">IFERROR(R32/E32,0)</f>
        <v>0.18731742175218</v>
      </c>
      <c r="AD32" s="57" t="n">
        <f aca="false">IFERROR(F32/F$58,0)</f>
        <v>0.0169419776263268</v>
      </c>
      <c r="AE32" s="57" t="n">
        <f aca="false">IFERROR(G32/G$58,0)</f>
        <v>0.0153725477369589</v>
      </c>
      <c r="AF32" s="57" t="n">
        <f aca="false">IFERROR(H32/H$58,0)</f>
        <v>0.0153820049136255</v>
      </c>
      <c r="AG32" s="57" t="n">
        <f aca="false">IFERROR(P32/P$58,0)</f>
        <v>0.016530116298819</v>
      </c>
      <c r="AH32" s="57" t="n">
        <f aca="false">IFERROR(Q32/Q$58,0)</f>
        <v>0.0160629891029918</v>
      </c>
      <c r="AI32" s="57" t="n">
        <f aca="false">IFERROR(R32/R$58,0)</f>
        <v>0.0160906377302166</v>
      </c>
      <c r="AJ32" s="49" t="n">
        <f aca="false">K32-N32</f>
        <v>241098.97</v>
      </c>
      <c r="AK32" s="57" t="n">
        <f aca="false">IFERROR(I32/I$58,0)</f>
        <v>0.0165864156961715</v>
      </c>
    </row>
    <row r="33" customFormat="false" ht="15" hidden="false" customHeight="false" outlineLevel="0" collapsed="false">
      <c r="A33" s="13" t="n">
        <v>28</v>
      </c>
      <c r="B33" s="53"/>
      <c r="C33" s="54" t="n">
        <v>61951</v>
      </c>
      <c r="D33" s="54" t="n">
        <v>33217</v>
      </c>
      <c r="E33" s="54" t="n">
        <v>7392</v>
      </c>
      <c r="F33" s="54" t="n">
        <v>97399</v>
      </c>
      <c r="G33" s="54" t="n">
        <v>25323</v>
      </c>
      <c r="H33" s="54" t="n">
        <v>17534</v>
      </c>
      <c r="I33" s="55" t="n">
        <f aca="false">SUM(C33:H33)</f>
        <v>242816</v>
      </c>
      <c r="J33" s="54" t="n">
        <v>4794</v>
      </c>
      <c r="K33" s="56" t="n">
        <v>339657.28</v>
      </c>
      <c r="L33" s="54" t="n">
        <v>9376</v>
      </c>
      <c r="M33" s="56" t="n">
        <v>27224.66</v>
      </c>
      <c r="N33" s="56" t="n">
        <v>92722.12</v>
      </c>
      <c r="O33" s="54" t="n">
        <v>1778</v>
      </c>
      <c r="P33" s="56" t="n">
        <v>23680.52</v>
      </c>
      <c r="Q33" s="56" t="n">
        <v>9741.57</v>
      </c>
      <c r="R33" s="56" t="n">
        <v>1386.03</v>
      </c>
      <c r="S33" s="27"/>
      <c r="T33" s="27"/>
      <c r="U33" s="57" t="n">
        <f aca="false">IFERROR(J33/I33,0)</f>
        <v>0.0197433447548761</v>
      </c>
      <c r="V33" s="58" t="n">
        <f aca="false">IFERROR(K33/J33,0)</f>
        <v>70.8504964539007</v>
      </c>
      <c r="W33" s="59" t="n">
        <f aca="false">IFERROR(L33/J33,0)</f>
        <v>1.95577805590321</v>
      </c>
      <c r="X33" s="22" t="n">
        <f aca="false">IFERROR(M33/(K33+M33),0)</f>
        <v>0.0742055060001046</v>
      </c>
      <c r="Y33" s="22" t="n">
        <f aca="false">IFERROR(N33/K33,0)</f>
        <v>0.272987288834204</v>
      </c>
      <c r="Z33" s="22" t="n">
        <f aca="false">IFERROR(O33/J33,0)</f>
        <v>0.370880267000417</v>
      </c>
      <c r="AA33" s="58" t="n">
        <f aca="false">IFERROR(P33/C33,0)</f>
        <v>0.382245968588078</v>
      </c>
      <c r="AB33" s="58" t="n">
        <f aca="false">IFERROR(Q33/D33,0)</f>
        <v>0.293270614444411</v>
      </c>
      <c r="AC33" s="58" t="n">
        <f aca="false">IFERROR(R33/E33,0)</f>
        <v>0.187504058441558</v>
      </c>
      <c r="AD33" s="57" t="n">
        <f aca="false">IFERROR(F33/F$58,0)</f>
        <v>0.0171867233140295</v>
      </c>
      <c r="AE33" s="57" t="n">
        <f aca="false">IFERROR(G33/G$58,0)</f>
        <v>0.0147902365631843</v>
      </c>
      <c r="AF33" s="57" t="n">
        <f aca="false">IFERROR(H33/H$58,0)</f>
        <v>0.0178154484546871</v>
      </c>
      <c r="AG33" s="57" t="n">
        <f aca="false">IFERROR(P33/P$58,0)</f>
        <v>0.0169382563685426</v>
      </c>
      <c r="AH33" s="57" t="n">
        <f aca="false">IFERROR(Q33/Q$58,0)</f>
        <v>0.0174439552388621</v>
      </c>
      <c r="AI33" s="57" t="n">
        <f aca="false">IFERROR(R33/R$58,0)</f>
        <v>0.0170159359507516</v>
      </c>
      <c r="AJ33" s="49" t="n">
        <f aca="false">K33-N33</f>
        <v>246935.16</v>
      </c>
      <c r="AK33" s="57" t="n">
        <f aca="false">IFERROR(I33/I$58,0)</f>
        <v>0.0170222490952268</v>
      </c>
    </row>
    <row r="34" customFormat="false" ht="15" hidden="false" customHeight="false" outlineLevel="0" collapsed="false">
      <c r="A34" s="13" t="n">
        <v>29</v>
      </c>
      <c r="B34" s="53"/>
      <c r="C34" s="54" t="n">
        <v>61814</v>
      </c>
      <c r="D34" s="54" t="n">
        <v>34080</v>
      </c>
      <c r="E34" s="54" t="n">
        <v>7232</v>
      </c>
      <c r="F34" s="54" t="n">
        <v>103310</v>
      </c>
      <c r="G34" s="54" t="n">
        <v>26199</v>
      </c>
      <c r="H34" s="54" t="n">
        <v>17899</v>
      </c>
      <c r="I34" s="55" t="n">
        <f aca="false">SUM(C34:H34)</f>
        <v>250534</v>
      </c>
      <c r="J34" s="54" t="n">
        <v>4967</v>
      </c>
      <c r="K34" s="56" t="n">
        <v>356268.51</v>
      </c>
      <c r="L34" s="54" t="n">
        <v>9116</v>
      </c>
      <c r="M34" s="56" t="n">
        <v>28955.53</v>
      </c>
      <c r="N34" s="56" t="n">
        <v>93117.42</v>
      </c>
      <c r="O34" s="54" t="n">
        <v>1637</v>
      </c>
      <c r="P34" s="56" t="n">
        <v>24053.43</v>
      </c>
      <c r="Q34" s="56" t="n">
        <v>9895.18</v>
      </c>
      <c r="R34" s="56" t="n">
        <v>1339.12</v>
      </c>
      <c r="S34" s="27"/>
      <c r="T34" s="27"/>
      <c r="U34" s="57" t="n">
        <f aca="false">IFERROR(J34/I34,0)</f>
        <v>0.0198256524064598</v>
      </c>
      <c r="V34" s="58" t="n">
        <f aca="false">IFERROR(K34/J34,0)</f>
        <v>71.7271008657137</v>
      </c>
      <c r="W34" s="59" t="n">
        <f aca="false">IFERROR(L34/J34,0)</f>
        <v>1.83531306623717</v>
      </c>
      <c r="X34" s="22" t="n">
        <f aca="false">IFERROR(M34/(K34+M34),0)</f>
        <v>0.0751654284088812</v>
      </c>
      <c r="Y34" s="22" t="n">
        <f aca="false">IFERROR(N34/K34,0)</f>
        <v>0.26136865141407</v>
      </c>
      <c r="Z34" s="22" t="n">
        <f aca="false">IFERROR(O34/J34,0)</f>
        <v>0.329575196295551</v>
      </c>
      <c r="AA34" s="58" t="n">
        <f aca="false">IFERROR(P34/C34,0)</f>
        <v>0.389125926165594</v>
      </c>
      <c r="AB34" s="58" t="n">
        <f aca="false">IFERROR(Q34/D34,0)</f>
        <v>0.290351525821596</v>
      </c>
      <c r="AC34" s="58" t="n">
        <f aca="false">IFERROR(R34/E34,0)</f>
        <v>0.18516592920354</v>
      </c>
      <c r="AD34" s="57" t="n">
        <f aca="false">IFERROR(F34/F$58,0)</f>
        <v>0.0182297599110093</v>
      </c>
      <c r="AE34" s="57" t="n">
        <f aca="false">IFERROR(G34/G$58,0)</f>
        <v>0.0153018760699311</v>
      </c>
      <c r="AF34" s="57" t="n">
        <f aca="false">IFERROR(H34/H$58,0)</f>
        <v>0.0181863072824481</v>
      </c>
      <c r="AG34" s="57" t="n">
        <f aca="false">IFERROR(P34/P$58,0)</f>
        <v>0.0172049922840712</v>
      </c>
      <c r="AH34" s="57" t="n">
        <f aca="false">IFERROR(Q34/Q$58,0)</f>
        <v>0.0177190203427665</v>
      </c>
      <c r="AI34" s="57" t="n">
        <f aca="false">IFERROR(R34/R$58,0)</f>
        <v>0.016440033873993</v>
      </c>
      <c r="AJ34" s="49" t="n">
        <f aca="false">K34-N34</f>
        <v>263151.09</v>
      </c>
      <c r="AK34" s="57" t="n">
        <f aca="false">IFERROR(I34/I$58,0)</f>
        <v>0.0175633078331887</v>
      </c>
    </row>
    <row r="35" customFormat="false" ht="15" hidden="false" customHeight="false" outlineLevel="0" collapsed="false">
      <c r="A35" s="13" t="n">
        <v>30</v>
      </c>
      <c r="B35" s="53"/>
      <c r="C35" s="54" t="n">
        <v>60584</v>
      </c>
      <c r="D35" s="54" t="n">
        <v>33937</v>
      </c>
      <c r="E35" s="54" t="n">
        <v>7205</v>
      </c>
      <c r="F35" s="54" t="n">
        <v>99187</v>
      </c>
      <c r="G35" s="54" t="n">
        <v>27116</v>
      </c>
      <c r="H35" s="54" t="n">
        <v>16498</v>
      </c>
      <c r="I35" s="55" t="n">
        <f aca="false">SUM(C35:H35)</f>
        <v>244527</v>
      </c>
      <c r="J35" s="54" t="n">
        <v>5091</v>
      </c>
      <c r="K35" s="56" t="n">
        <v>350293.68</v>
      </c>
      <c r="L35" s="54" t="n">
        <v>9568</v>
      </c>
      <c r="M35" s="56" t="n">
        <v>32020.76</v>
      </c>
      <c r="N35" s="56" t="n">
        <v>91493.14</v>
      </c>
      <c r="O35" s="54" t="n">
        <v>1763</v>
      </c>
      <c r="P35" s="56" t="n">
        <v>24933.98</v>
      </c>
      <c r="Q35" s="56" t="n">
        <v>9767.5</v>
      </c>
      <c r="R35" s="56" t="n">
        <v>1360.32</v>
      </c>
      <c r="S35" s="27"/>
      <c r="T35" s="27"/>
      <c r="U35" s="57" t="n">
        <f aca="false">IFERROR(J35/I35,0)</f>
        <v>0.0208197867720129</v>
      </c>
      <c r="V35" s="58" t="n">
        <f aca="false">IFERROR(K35/J35,0)</f>
        <v>68.806458456099</v>
      </c>
      <c r="W35" s="59" t="n">
        <f aca="false">IFERROR(L35/J35,0)</f>
        <v>1.87939501080338</v>
      </c>
      <c r="X35" s="22" t="n">
        <f aca="false">IFERROR(M35/(K35+M35),0)</f>
        <v>0.0837550368225694</v>
      </c>
      <c r="Y35" s="22" t="n">
        <f aca="false">IFERROR(N35/K35,0)</f>
        <v>0.261189810789621</v>
      </c>
      <c r="Z35" s="22" t="n">
        <f aca="false">IFERROR(O35/J35,0)</f>
        <v>0.346297387546651</v>
      </c>
      <c r="AA35" s="58" t="n">
        <f aca="false">IFERROR(P35/C35,0)</f>
        <v>0.411560478013997</v>
      </c>
      <c r="AB35" s="58" t="n">
        <f aca="false">IFERROR(Q35/D35,0)</f>
        <v>0.287812711789492</v>
      </c>
      <c r="AC35" s="58" t="n">
        <f aca="false">IFERROR(R35/E35,0)</f>
        <v>0.188802220680083</v>
      </c>
      <c r="AD35" s="57" t="n">
        <f aca="false">IFERROR(F35/F$58,0)</f>
        <v>0.017502228209208</v>
      </c>
      <c r="AE35" s="57" t="n">
        <f aca="false">IFERROR(G35/G$58,0)</f>
        <v>0.0158374621745964</v>
      </c>
      <c r="AF35" s="57" t="n">
        <f aca="false">IFERROR(H35/H$58,0)</f>
        <v>0.0167628190147957</v>
      </c>
      <c r="AG35" s="57" t="n">
        <f aca="false">IFERROR(P35/P$58,0)</f>
        <v>0.0178348340968912</v>
      </c>
      <c r="AH35" s="57" t="n">
        <f aca="false">IFERROR(Q35/Q$58,0)</f>
        <v>0.0174903873601058</v>
      </c>
      <c r="AI35" s="57" t="n">
        <f aca="false">IFERROR(R35/R$58,0)</f>
        <v>0.0167003008538967</v>
      </c>
      <c r="AJ35" s="49" t="n">
        <f aca="false">K35-N35</f>
        <v>258800.54</v>
      </c>
      <c r="AK35" s="57" t="n">
        <f aca="false">IFERROR(I35/I$58,0)</f>
        <v>0.0171421961670917</v>
      </c>
    </row>
    <row r="36" customFormat="false" ht="15" hidden="false" customHeight="false" outlineLevel="0" collapsed="false">
      <c r="A36" s="13" t="n">
        <v>31</v>
      </c>
      <c r="B36" s="53"/>
      <c r="C36" s="54" t="n">
        <v>55215</v>
      </c>
      <c r="D36" s="54" t="n">
        <v>31792</v>
      </c>
      <c r="E36" s="54" t="n">
        <v>7101</v>
      </c>
      <c r="F36" s="54" t="n">
        <v>88178</v>
      </c>
      <c r="G36" s="54" t="n">
        <v>26326</v>
      </c>
      <c r="H36" s="54" t="n">
        <v>15329</v>
      </c>
      <c r="I36" s="55" t="n">
        <f aca="false">SUM(C36:H36)</f>
        <v>223941</v>
      </c>
      <c r="J36" s="54" t="n">
        <v>4441</v>
      </c>
      <c r="K36" s="56" t="n">
        <v>318756.8</v>
      </c>
      <c r="L36" s="54" t="n">
        <v>8372</v>
      </c>
      <c r="M36" s="56" t="n">
        <v>26051.27</v>
      </c>
      <c r="N36" s="56" t="n">
        <v>86784.92</v>
      </c>
      <c r="O36" s="54" t="n">
        <v>1624</v>
      </c>
      <c r="P36" s="56" t="n">
        <v>21504.6</v>
      </c>
      <c r="Q36" s="56" t="n">
        <v>9033.32</v>
      </c>
      <c r="R36" s="56" t="n">
        <v>1331.1</v>
      </c>
      <c r="S36" s="27"/>
      <c r="T36" s="27"/>
      <c r="U36" s="57" t="n">
        <f aca="false">IFERROR(J36/I36,0)</f>
        <v>0.0198311162315074</v>
      </c>
      <c r="V36" s="58" t="n">
        <f aca="false">IFERROR(K36/J36,0)</f>
        <v>71.7759063274037</v>
      </c>
      <c r="W36" s="59" t="n">
        <f aca="false">IFERROR(L36/J36,0)</f>
        <v>1.88516099977483</v>
      </c>
      <c r="X36" s="22" t="n">
        <f aca="false">IFERROR(M36/(K36+M36),0)</f>
        <v>0.0755529590708245</v>
      </c>
      <c r="Y36" s="22" t="n">
        <f aca="false">IFERROR(N36/K36,0)</f>
        <v>0.272260607459982</v>
      </c>
      <c r="Z36" s="22" t="n">
        <f aca="false">IFERROR(O36/J36,0)</f>
        <v>0.365683404638595</v>
      </c>
      <c r="AA36" s="58" t="n">
        <f aca="false">IFERROR(P36/C36,0)</f>
        <v>0.389470252648737</v>
      </c>
      <c r="AB36" s="58" t="n">
        <f aca="false">IFERROR(Q36/D36,0)</f>
        <v>0.284138147961751</v>
      </c>
      <c r="AC36" s="58" t="n">
        <f aca="false">IFERROR(R36/E36,0)</f>
        <v>0.18745247148289</v>
      </c>
      <c r="AD36" s="57" t="n">
        <f aca="false">IFERROR(F36/F$58,0)</f>
        <v>0.0155596144558414</v>
      </c>
      <c r="AE36" s="57" t="n">
        <f aca="false">IFERROR(G36/G$58,0)</f>
        <v>0.0153760521171421</v>
      </c>
      <c r="AF36" s="57" t="n">
        <f aca="false">IFERROR(H36/H$58,0)</f>
        <v>0.0155750547143777</v>
      </c>
      <c r="AG36" s="57" t="n">
        <f aca="false">IFERROR(P36/P$58,0)</f>
        <v>0.0153818593469637</v>
      </c>
      <c r="AH36" s="57" t="n">
        <f aca="false">IFERROR(Q36/Q$58,0)</f>
        <v>0.0161757118963697</v>
      </c>
      <c r="AI36" s="57" t="n">
        <f aca="false">IFERROR(R36/R$58,0)</f>
        <v>0.0163415743844256</v>
      </c>
      <c r="AJ36" s="49" t="n">
        <f aca="false">K36-N36</f>
        <v>231971.88</v>
      </c>
      <c r="AK36" s="57" t="n">
        <f aca="false">IFERROR(I36/I$58,0)</f>
        <v>0.0156990457162386</v>
      </c>
    </row>
    <row r="37" customFormat="false" ht="15" hidden="false" customHeight="false" outlineLevel="0" collapsed="false">
      <c r="A37" s="13" t="n">
        <v>32</v>
      </c>
      <c r="B37" s="53"/>
      <c r="C37" s="54" t="n">
        <v>61643</v>
      </c>
      <c r="D37" s="54" t="n">
        <v>32930</v>
      </c>
      <c r="E37" s="54" t="n">
        <v>7166</v>
      </c>
      <c r="F37" s="54" t="n">
        <v>101617</v>
      </c>
      <c r="G37" s="54" t="n">
        <v>27893</v>
      </c>
      <c r="H37" s="54" t="n">
        <v>16355</v>
      </c>
      <c r="I37" s="55" t="n">
        <f aca="false">SUM(C37:H37)</f>
        <v>247604</v>
      </c>
      <c r="J37" s="54" t="n">
        <v>4900</v>
      </c>
      <c r="K37" s="56" t="n">
        <v>337350.22</v>
      </c>
      <c r="L37" s="54" t="n">
        <v>9052</v>
      </c>
      <c r="M37" s="56" t="n">
        <v>30873.78</v>
      </c>
      <c r="N37" s="56" t="n">
        <v>87279.75</v>
      </c>
      <c r="O37" s="54" t="n">
        <v>1804</v>
      </c>
      <c r="P37" s="56" t="n">
        <v>24527.99</v>
      </c>
      <c r="Q37" s="56" t="n">
        <v>9546.7</v>
      </c>
      <c r="R37" s="56" t="n">
        <v>1311.99</v>
      </c>
      <c r="S37" s="27"/>
      <c r="T37" s="27"/>
      <c r="U37" s="57" t="n">
        <f aca="false">IFERROR(J37/I37,0)</f>
        <v>0.0197896641411286</v>
      </c>
      <c r="V37" s="58" t="n">
        <f aca="false">IFERROR(K37/J37,0)</f>
        <v>68.8469836734694</v>
      </c>
      <c r="W37" s="59" t="n">
        <f aca="false">IFERROR(L37/J37,0)</f>
        <v>1.84734693877551</v>
      </c>
      <c r="X37" s="22" t="n">
        <f aca="false">IFERROR(M37/(K37+M37),0)</f>
        <v>0.0838451051533849</v>
      </c>
      <c r="Y37" s="22" t="n">
        <f aca="false">IFERROR(N37/K37,0)</f>
        <v>0.258721485345408</v>
      </c>
      <c r="Z37" s="22" t="n">
        <f aca="false">IFERROR(O37/J37,0)</f>
        <v>0.368163265306122</v>
      </c>
      <c r="AA37" s="58" t="n">
        <f aca="false">IFERROR(P37/C37,0)</f>
        <v>0.397903898252843</v>
      </c>
      <c r="AB37" s="58" t="n">
        <f aca="false">IFERROR(Q37/D37,0)</f>
        <v>0.289908897661707</v>
      </c>
      <c r="AC37" s="58" t="n">
        <f aca="false">IFERROR(R37/E37,0)</f>
        <v>0.18308540329333</v>
      </c>
      <c r="AD37" s="57" t="n">
        <f aca="false">IFERROR(F37/F$58,0)</f>
        <v>0.0179310184190981</v>
      </c>
      <c r="AE37" s="57" t="n">
        <f aca="false">IFERROR(G37/G$58,0)</f>
        <v>0.0162912794083205</v>
      </c>
      <c r="AF37" s="57" t="n">
        <f aca="false">IFERROR(H37/H$58,0)</f>
        <v>0.0166175236384401</v>
      </c>
      <c r="AG37" s="57" t="n">
        <f aca="false">IFERROR(P37/P$58,0)</f>
        <v>0.0175444366434964</v>
      </c>
      <c r="AH37" s="57" t="n">
        <f aca="false">IFERROR(Q37/Q$58,0)</f>
        <v>0.0170950070141512</v>
      </c>
      <c r="AI37" s="57" t="n">
        <f aca="false">IFERROR(R37/R$58,0)</f>
        <v>0.0161069658001822</v>
      </c>
      <c r="AJ37" s="49" t="n">
        <f aca="false">K37-N37</f>
        <v>250070.47</v>
      </c>
      <c r="AK37" s="57" t="n">
        <f aca="false">IFERROR(I37/I$58,0)</f>
        <v>0.0173579046066756</v>
      </c>
    </row>
    <row r="38" customFormat="false" ht="15" hidden="false" customHeight="false" outlineLevel="0" collapsed="false">
      <c r="A38" s="13" t="n">
        <v>33</v>
      </c>
      <c r="B38" s="53"/>
      <c r="C38" s="54" t="n">
        <v>54045</v>
      </c>
      <c r="D38" s="54" t="n">
        <v>31532</v>
      </c>
      <c r="E38" s="54" t="n">
        <v>6516</v>
      </c>
      <c r="F38" s="54" t="n">
        <v>87309</v>
      </c>
      <c r="G38" s="54" t="n">
        <v>25450</v>
      </c>
      <c r="H38" s="54" t="n">
        <v>15666</v>
      </c>
      <c r="I38" s="55" t="n">
        <f aca="false">SUM(C38:H38)</f>
        <v>220518</v>
      </c>
      <c r="J38" s="54" t="n">
        <v>4606</v>
      </c>
      <c r="K38" s="56" t="n">
        <v>321497.98</v>
      </c>
      <c r="L38" s="54" t="n">
        <v>8942</v>
      </c>
      <c r="M38" s="56" t="n">
        <v>29622.15</v>
      </c>
      <c r="N38" s="56" t="n">
        <v>79687.38</v>
      </c>
      <c r="O38" s="54" t="n">
        <v>1643</v>
      </c>
      <c r="P38" s="56" t="n">
        <v>20685.2</v>
      </c>
      <c r="Q38" s="56" t="n">
        <v>8738.23</v>
      </c>
      <c r="R38" s="56" t="n">
        <v>1249.51</v>
      </c>
      <c r="S38" s="27"/>
      <c r="T38" s="27"/>
      <c r="U38" s="57" t="n">
        <f aca="false">IFERROR(J38/I38,0)</f>
        <v>0.0208871838126593</v>
      </c>
      <c r="V38" s="58" t="n">
        <f aca="false">IFERROR(K38/J38,0)</f>
        <v>69.7998219713417</v>
      </c>
      <c r="W38" s="59" t="n">
        <f aca="false">IFERROR(L38/J38,0)</f>
        <v>1.94138080764221</v>
      </c>
      <c r="X38" s="22" t="n">
        <f aca="false">IFERROR(M38/(K38+M38),0)</f>
        <v>0.084364715859498</v>
      </c>
      <c r="Y38" s="22" t="n">
        <f aca="false">IFERROR(N38/K38,0)</f>
        <v>0.2478627703975</v>
      </c>
      <c r="Z38" s="22" t="n">
        <f aca="false">IFERROR(O38/J38,0)</f>
        <v>0.35670864090317</v>
      </c>
      <c r="AA38" s="58" t="n">
        <f aca="false">IFERROR(P38/C38,0)</f>
        <v>0.382740309001758</v>
      </c>
      <c r="AB38" s="58" t="n">
        <f aca="false">IFERROR(Q38/D38,0)</f>
        <v>0.277122605607002</v>
      </c>
      <c r="AC38" s="58" t="n">
        <f aca="false">IFERROR(R38/E38,0)</f>
        <v>0.191760282381829</v>
      </c>
      <c r="AD38" s="57" t="n">
        <f aca="false">IFERROR(F38/F$58,0)</f>
        <v>0.0154062734301646</v>
      </c>
      <c r="AE38" s="57" t="n">
        <f aca="false">IFERROR(G38/G$58,0)</f>
        <v>0.0148644126103953</v>
      </c>
      <c r="AF38" s="57" t="n">
        <f aca="false">IFERROR(H38/H$58,0)</f>
        <v>0.0159174640978173</v>
      </c>
      <c r="AG38" s="57" t="n">
        <f aca="false">IFERROR(P38/P$58,0)</f>
        <v>0.0147957570456467</v>
      </c>
      <c r="AH38" s="57" t="n">
        <f aca="false">IFERROR(Q38/Q$58,0)</f>
        <v>0.0156473025381825</v>
      </c>
      <c r="AI38" s="57" t="n">
        <f aca="false">IFERROR(R38/R$58,0)</f>
        <v>0.0153399148141264</v>
      </c>
      <c r="AJ38" s="49" t="n">
        <f aca="false">K38-N38</f>
        <v>241810.6</v>
      </c>
      <c r="AK38" s="57" t="n">
        <f aca="false">IFERROR(I38/I$58,0)</f>
        <v>0.0154590814690186</v>
      </c>
    </row>
    <row r="39" customFormat="false" ht="15" hidden="false" customHeight="false" outlineLevel="0" collapsed="false">
      <c r="A39" s="13" t="n">
        <v>34</v>
      </c>
      <c r="B39" s="53"/>
      <c r="C39" s="54" t="n">
        <v>58728</v>
      </c>
      <c r="D39" s="54" t="n">
        <v>30906</v>
      </c>
      <c r="E39" s="54" t="n">
        <v>7010</v>
      </c>
      <c r="F39" s="54" t="n">
        <v>90333</v>
      </c>
      <c r="G39" s="54" t="n">
        <v>24890</v>
      </c>
      <c r="H39" s="54" t="n">
        <v>16711</v>
      </c>
      <c r="I39" s="55" t="n">
        <f aca="false">SUM(C39:H39)</f>
        <v>228578</v>
      </c>
      <c r="J39" s="54" t="n">
        <v>4665</v>
      </c>
      <c r="K39" s="56" t="n">
        <v>329226.14</v>
      </c>
      <c r="L39" s="54" t="n">
        <v>9064</v>
      </c>
      <c r="M39" s="56" t="n">
        <v>29973.24</v>
      </c>
      <c r="N39" s="56" t="n">
        <v>83832.76</v>
      </c>
      <c r="O39" s="54" t="n">
        <v>1702</v>
      </c>
      <c r="P39" s="56" t="n">
        <v>22386.69</v>
      </c>
      <c r="Q39" s="56" t="n">
        <v>8695.13</v>
      </c>
      <c r="R39" s="56" t="n">
        <v>1309.82</v>
      </c>
      <c r="S39" s="27"/>
      <c r="T39" s="27"/>
      <c r="U39" s="57" t="n">
        <f aca="false">IFERROR(J39/I39,0)</f>
        <v>0.0204087882473379</v>
      </c>
      <c r="V39" s="58" t="n">
        <f aca="false">IFERROR(K39/J39,0)</f>
        <v>70.5736634512326</v>
      </c>
      <c r="W39" s="59" t="n">
        <f aca="false">IFERROR(L39/J39,0)</f>
        <v>1.94297963558414</v>
      </c>
      <c r="X39" s="22" t="n">
        <f aca="false">IFERROR(M39/(K39+M39),0)</f>
        <v>0.0834445761014398</v>
      </c>
      <c r="Y39" s="22" t="n">
        <f aca="false">IFERROR(N39/K39,0)</f>
        <v>0.254635795322935</v>
      </c>
      <c r="Z39" s="22" t="n">
        <f aca="false">IFERROR(O39/J39,0)</f>
        <v>0.364844587352626</v>
      </c>
      <c r="AA39" s="58" t="n">
        <f aca="false">IFERROR(P39/C39,0)</f>
        <v>0.381192787086228</v>
      </c>
      <c r="AB39" s="58" t="n">
        <f aca="false">IFERROR(Q39/D39,0)</f>
        <v>0.281341163528118</v>
      </c>
      <c r="AC39" s="58" t="n">
        <f aca="false">IFERROR(R39/E39,0)</f>
        <v>0.186850213980029</v>
      </c>
      <c r="AD39" s="57" t="n">
        <f aca="false">IFERROR(F39/F$58,0)</f>
        <v>0.0159398790246946</v>
      </c>
      <c r="AE39" s="57" t="n">
        <f aca="false">IFERROR(G39/G$58,0)</f>
        <v>0.0145373371266302</v>
      </c>
      <c r="AF39" s="57" t="n">
        <f aca="false">IFERROR(H39/H$58,0)</f>
        <v>0.0169792380019549</v>
      </c>
      <c r="AG39" s="57" t="n">
        <f aca="false">IFERROR(P39/P$58,0)</f>
        <v>0.016012802694497</v>
      </c>
      <c r="AH39" s="57" t="n">
        <f aca="false">IFERROR(Q39/Q$58,0)</f>
        <v>0.0155701245811596</v>
      </c>
      <c r="AI39" s="57" t="n">
        <f aca="false">IFERROR(R39/R$58,0)</f>
        <v>0.0160803252649751</v>
      </c>
      <c r="AJ39" s="49" t="n">
        <f aca="false">K39-N39</f>
        <v>245393.38</v>
      </c>
      <c r="AK39" s="57" t="n">
        <f aca="false">IFERROR(I39/I$58,0)</f>
        <v>0.0160241156006555</v>
      </c>
    </row>
    <row r="40" customFormat="false" ht="15" hidden="false" customHeight="false" outlineLevel="0" collapsed="false">
      <c r="A40" s="13" t="n">
        <v>35</v>
      </c>
      <c r="B40" s="53"/>
      <c r="C40" s="54" t="n">
        <v>59755</v>
      </c>
      <c r="D40" s="54" t="n">
        <v>33775</v>
      </c>
      <c r="E40" s="54" t="n">
        <v>6695</v>
      </c>
      <c r="F40" s="54" t="n">
        <v>90156</v>
      </c>
      <c r="G40" s="54" t="n">
        <v>26633</v>
      </c>
      <c r="H40" s="54" t="n">
        <v>16325</v>
      </c>
      <c r="I40" s="55" t="n">
        <f aca="false">SUM(C40:H40)</f>
        <v>233339</v>
      </c>
      <c r="J40" s="54" t="n">
        <v>4647</v>
      </c>
      <c r="K40" s="56" t="n">
        <v>322925.34</v>
      </c>
      <c r="L40" s="54" t="n">
        <v>8525</v>
      </c>
      <c r="M40" s="56" t="n">
        <v>28588.87</v>
      </c>
      <c r="N40" s="56" t="n">
        <v>81163.3</v>
      </c>
      <c r="O40" s="54" t="n">
        <v>1706</v>
      </c>
      <c r="P40" s="56" t="n">
        <v>25004.74</v>
      </c>
      <c r="Q40" s="56" t="n">
        <v>9516.21</v>
      </c>
      <c r="R40" s="56" t="n">
        <v>1298.25</v>
      </c>
      <c r="S40" s="27"/>
      <c r="T40" s="27"/>
      <c r="U40" s="57" t="n">
        <f aca="false">IFERROR(J40/I40,0)</f>
        <v>0.0199152306301133</v>
      </c>
      <c r="V40" s="58" t="n">
        <f aca="false">IFERROR(K40/J40,0)</f>
        <v>69.4911426726921</v>
      </c>
      <c r="W40" s="59" t="n">
        <f aca="false">IFERROR(L40/J40,0)</f>
        <v>1.83451689261889</v>
      </c>
      <c r="X40" s="22" t="n">
        <f aca="false">IFERROR(M40/(K40+M40),0)</f>
        <v>0.081330623874352</v>
      </c>
      <c r="Y40" s="22" t="n">
        <f aca="false">IFERROR(N40/K40,0)</f>
        <v>0.251337662135774</v>
      </c>
      <c r="Z40" s="22" t="n">
        <f aca="false">IFERROR(O40/J40,0)</f>
        <v>0.367118571121153</v>
      </c>
      <c r="AA40" s="58" t="n">
        <f aca="false">IFERROR(P40/C40,0)</f>
        <v>0.418454355284077</v>
      </c>
      <c r="AB40" s="58" t="n">
        <f aca="false">IFERROR(Q40/D40,0)</f>
        <v>0.281753071798668</v>
      </c>
      <c r="AC40" s="58" t="n">
        <f aca="false">IFERROR(R40/E40,0)</f>
        <v>0.193913368185213</v>
      </c>
      <c r="AD40" s="57" t="n">
        <f aca="false">IFERROR(F40/F$58,0)</f>
        <v>0.0159086461575545</v>
      </c>
      <c r="AE40" s="57" t="n">
        <f aca="false">IFERROR(G40/G$58,0)</f>
        <v>0.015555359569849</v>
      </c>
      <c r="AF40" s="57" t="n">
        <f aca="false">IFERROR(H40/H$58,0)</f>
        <v>0.0165870420909529</v>
      </c>
      <c r="AG40" s="57" t="n">
        <f aca="false">IFERROR(P40/P$58,0)</f>
        <v>0.0178854474711177</v>
      </c>
      <c r="AH40" s="57" t="n">
        <f aca="false">IFERROR(Q40/Q$58,0)</f>
        <v>0.0170404094292411</v>
      </c>
      <c r="AI40" s="57" t="n">
        <f aca="false">IFERROR(R40/R$58,0)</f>
        <v>0.0159382833330182</v>
      </c>
      <c r="AJ40" s="49" t="n">
        <f aca="false">K40-N40</f>
        <v>241762.04</v>
      </c>
      <c r="AK40" s="57" t="n">
        <f aca="false">IFERROR(I40/I$58,0)</f>
        <v>0.0163578783178668</v>
      </c>
    </row>
    <row r="41" customFormat="false" ht="15" hidden="false" customHeight="false" outlineLevel="0" collapsed="false">
      <c r="A41" s="13" t="n">
        <v>36</v>
      </c>
      <c r="B41" s="53" t="s">
        <v>433</v>
      </c>
      <c r="C41" s="54" t="n">
        <v>72499</v>
      </c>
      <c r="D41" s="54" t="n">
        <v>44301</v>
      </c>
      <c r="E41" s="54" t="n">
        <v>9463</v>
      </c>
      <c r="F41" s="54" t="n">
        <v>127274</v>
      </c>
      <c r="G41" s="54" t="n">
        <v>56351</v>
      </c>
      <c r="H41" s="54" t="n">
        <v>21773</v>
      </c>
      <c r="I41" s="55" t="n">
        <f aca="false">SUM(C41:H41)</f>
        <v>331661</v>
      </c>
      <c r="J41" s="54" t="n">
        <v>7398</v>
      </c>
      <c r="K41" s="56" t="n">
        <v>495628.35</v>
      </c>
      <c r="L41" s="54" t="n">
        <v>13540</v>
      </c>
      <c r="M41" s="56" t="n">
        <v>127730.04</v>
      </c>
      <c r="N41" s="56" t="n">
        <v>122682.12</v>
      </c>
      <c r="O41" s="54" t="n">
        <v>3455</v>
      </c>
      <c r="P41" s="56" t="n">
        <v>29158.01</v>
      </c>
      <c r="Q41" s="56" t="n">
        <v>12618.23</v>
      </c>
      <c r="R41" s="56" t="n">
        <v>1717.86</v>
      </c>
      <c r="S41" s="27"/>
      <c r="T41" s="27"/>
      <c r="U41" s="57" t="n">
        <f aca="false">IFERROR(J41/I41,0)</f>
        <v>0.0223059087441695</v>
      </c>
      <c r="V41" s="58" t="n">
        <f aca="false">IFERROR(K41/J41,0)</f>
        <v>66.9949107866991</v>
      </c>
      <c r="W41" s="59" t="n">
        <f aca="false">IFERROR(L41/J41,0)</f>
        <v>1.83022438496891</v>
      </c>
      <c r="X41" s="22" t="n">
        <f aca="false">IFERROR(M41/(K41+M41),0)</f>
        <v>0.204906265880211</v>
      </c>
      <c r="Y41" s="22" t="n">
        <f aca="false">IFERROR(N41/K41,0)</f>
        <v>0.24752845554537</v>
      </c>
      <c r="Z41" s="22" t="n">
        <f aca="false">IFERROR(O41/J41,0)</f>
        <v>0.467018113003515</v>
      </c>
      <c r="AA41" s="58" t="n">
        <f aca="false">IFERROR(P41/C41,0)</f>
        <v>0.402184995655112</v>
      </c>
      <c r="AB41" s="58" t="n">
        <f aca="false">IFERROR(Q41/D41,0)</f>
        <v>0.284829462088892</v>
      </c>
      <c r="AC41" s="58" t="n">
        <f aca="false">IFERROR(R41/E41,0)</f>
        <v>0.181534397125647</v>
      </c>
      <c r="AD41" s="57" t="n">
        <f aca="false">IFERROR(F41/F$58,0)</f>
        <v>0.0224583724994075</v>
      </c>
      <c r="AE41" s="57" t="n">
        <f aca="false">IFERROR(G41/G$58,0)</f>
        <v>0.0329125546172253</v>
      </c>
      <c r="AF41" s="57" t="n">
        <f aca="false">IFERROR(H41/H$58,0)</f>
        <v>0.0221224911146289</v>
      </c>
      <c r="AG41" s="57" t="n">
        <f aca="false">IFERROR(P41/P$58,0)</f>
        <v>0.0208562079116729</v>
      </c>
      <c r="AH41" s="57" t="n">
        <f aca="false">IFERROR(Q41/Q$58,0)</f>
        <v>0.0225951093420944</v>
      </c>
      <c r="AI41" s="57" t="n">
        <f aca="false">IFERROR(R41/R$58,0)</f>
        <v>0.0210897280234613</v>
      </c>
      <c r="AJ41" s="49" t="n">
        <f aca="false">K41-N41</f>
        <v>372946.23</v>
      </c>
      <c r="AK41" s="57" t="n">
        <f aca="false">IFERROR(I41/I$58,0)</f>
        <v>0.0232505936889333</v>
      </c>
    </row>
    <row r="42" customFormat="false" ht="15" hidden="false" customHeight="false" outlineLevel="0" collapsed="false">
      <c r="A42" s="13" t="n">
        <v>37</v>
      </c>
      <c r="B42" s="53"/>
      <c r="C42" s="54" t="n">
        <v>65133</v>
      </c>
      <c r="D42" s="54" t="n">
        <v>38091</v>
      </c>
      <c r="E42" s="54" t="n">
        <v>8049</v>
      </c>
      <c r="F42" s="54" t="n">
        <v>101703</v>
      </c>
      <c r="G42" s="54" t="n">
        <v>26777</v>
      </c>
      <c r="H42" s="54" t="n">
        <v>18619</v>
      </c>
      <c r="I42" s="55" t="n">
        <f aca="false">SUM(C42:H42)</f>
        <v>258372</v>
      </c>
      <c r="J42" s="54" t="n">
        <v>5317</v>
      </c>
      <c r="K42" s="56" t="n">
        <v>372836.6</v>
      </c>
      <c r="L42" s="54" t="n">
        <v>9831</v>
      </c>
      <c r="M42" s="56" t="n">
        <v>30910.23</v>
      </c>
      <c r="N42" s="56" t="n">
        <v>98085.58</v>
      </c>
      <c r="O42" s="54" t="n">
        <v>1814</v>
      </c>
      <c r="P42" s="56" t="n">
        <v>25297.94</v>
      </c>
      <c r="Q42" s="56" t="n">
        <v>10488.77</v>
      </c>
      <c r="R42" s="56" t="n">
        <v>1476.73</v>
      </c>
      <c r="S42" s="27"/>
      <c r="T42" s="27"/>
      <c r="U42" s="57" t="n">
        <f aca="false">IFERROR(J42/I42,0)</f>
        <v>0.0205788552939173</v>
      </c>
      <c r="V42" s="58" t="n">
        <f aca="false">IFERROR(K42/J42,0)</f>
        <v>70.1216099304119</v>
      </c>
      <c r="W42" s="59" t="n">
        <f aca="false">IFERROR(L42/J42,0)</f>
        <v>1.8489749858943</v>
      </c>
      <c r="X42" s="22" t="n">
        <f aca="false">IFERROR(M42/(K42+M42),0)</f>
        <v>0.0765584462917022</v>
      </c>
      <c r="Y42" s="22" t="n">
        <f aca="false">IFERROR(N42/K42,0)</f>
        <v>0.263079268505292</v>
      </c>
      <c r="Z42" s="22" t="n">
        <f aca="false">IFERROR(O42/J42,0)</f>
        <v>0.341169832612375</v>
      </c>
      <c r="AA42" s="58" t="n">
        <f aca="false">IFERROR(P42/C42,0)</f>
        <v>0.388404341885066</v>
      </c>
      <c r="AB42" s="58" t="n">
        <f aca="false">IFERROR(Q42/D42,0)</f>
        <v>0.275360846394161</v>
      </c>
      <c r="AC42" s="58" t="n">
        <f aca="false">IFERROR(R42/E42,0)</f>
        <v>0.183467511492111</v>
      </c>
      <c r="AD42" s="57" t="n">
        <f aca="false">IFERROR(F42/F$58,0)</f>
        <v>0.017946193710477</v>
      </c>
      <c r="AE42" s="57" t="n">
        <f aca="false">IFERROR(G42/G$58,0)</f>
        <v>0.0156394646942458</v>
      </c>
      <c r="AF42" s="57" t="n">
        <f aca="false">IFERROR(H42/H$58,0)</f>
        <v>0.018917864422141</v>
      </c>
      <c r="AG42" s="57" t="n">
        <f aca="false">IFERROR(P42/P$58,0)</f>
        <v>0.018095168236002</v>
      </c>
      <c r="AH42" s="57" t="n">
        <f aca="false">IFERROR(Q42/Q$58,0)</f>
        <v>0.0187819452501722</v>
      </c>
      <c r="AI42" s="57" t="n">
        <f aca="false">IFERROR(R42/R$58,0)</f>
        <v>0.0181294366619434</v>
      </c>
      <c r="AJ42" s="49" t="n">
        <f aca="false">K42-N42</f>
        <v>274751.02</v>
      </c>
      <c r="AK42" s="57" t="n">
        <f aca="false">IFERROR(I42/I$58,0)</f>
        <v>0.018112778989984</v>
      </c>
    </row>
    <row r="43" customFormat="false" ht="15" hidden="false" customHeight="false" outlineLevel="0" collapsed="false">
      <c r="A43" s="13" t="n">
        <v>38</v>
      </c>
      <c r="B43" s="53"/>
      <c r="C43" s="54" t="n">
        <v>72105</v>
      </c>
      <c r="D43" s="54" t="n">
        <v>39794</v>
      </c>
      <c r="E43" s="54" t="n">
        <v>8433</v>
      </c>
      <c r="F43" s="54" t="n">
        <v>111978</v>
      </c>
      <c r="G43" s="54" t="n">
        <v>30536</v>
      </c>
      <c r="H43" s="54" t="n">
        <v>19240</v>
      </c>
      <c r="I43" s="55" t="n">
        <f aca="false">SUM(C43:H43)</f>
        <v>282086</v>
      </c>
      <c r="J43" s="54" t="n">
        <v>5558</v>
      </c>
      <c r="K43" s="56" t="n">
        <v>383344.04</v>
      </c>
      <c r="L43" s="54" t="n">
        <v>10289</v>
      </c>
      <c r="M43" s="56" t="n">
        <v>32102.91</v>
      </c>
      <c r="N43" s="56" t="n">
        <v>98538.38</v>
      </c>
      <c r="O43" s="54" t="n">
        <v>1873</v>
      </c>
      <c r="P43" s="56" t="n">
        <v>30017.74</v>
      </c>
      <c r="Q43" s="56" t="n">
        <v>11516.98</v>
      </c>
      <c r="R43" s="56" t="n">
        <v>1672.85</v>
      </c>
      <c r="S43" s="27"/>
      <c r="T43" s="27"/>
      <c r="U43" s="57" t="n">
        <f aca="false">IFERROR(J43/I43,0)</f>
        <v>0.0197032110774728</v>
      </c>
      <c r="V43" s="58" t="n">
        <f aca="false">IFERROR(K43/J43,0)</f>
        <v>68.9715797049298</v>
      </c>
      <c r="W43" s="59" t="n">
        <f aca="false">IFERROR(L43/J43,0)</f>
        <v>1.85120546959338</v>
      </c>
      <c r="X43" s="22" t="n">
        <f aca="false">IFERROR(M43/(K43+M43),0)</f>
        <v>0.077273187346784</v>
      </c>
      <c r="Y43" s="22" t="n">
        <f aca="false">IFERROR(N43/K43,0)</f>
        <v>0.257049463974971</v>
      </c>
      <c r="Z43" s="22" t="n">
        <f aca="false">IFERROR(O43/J43,0)</f>
        <v>0.336991723641598</v>
      </c>
      <c r="AA43" s="58" t="n">
        <f aca="false">IFERROR(P43/C43,0)</f>
        <v>0.416305942722419</v>
      </c>
      <c r="AB43" s="58" t="n">
        <f aca="false">IFERROR(Q43/D43,0)</f>
        <v>0.289414987183998</v>
      </c>
      <c r="AC43" s="58" t="n">
        <f aca="false">IFERROR(R43/E43,0)</f>
        <v>0.198369500770781</v>
      </c>
      <c r="AD43" s="57" t="n">
        <f aca="false">IFERROR(F43/F$58,0)</f>
        <v>0.019759288116494</v>
      </c>
      <c r="AE43" s="57" t="n">
        <f aca="false">IFERROR(G43/G$58,0)</f>
        <v>0.0178349588790189</v>
      </c>
      <c r="AF43" s="57" t="n">
        <f aca="false">IFERROR(H43/H$58,0)</f>
        <v>0.0195488324551261</v>
      </c>
      <c r="AG43" s="57" t="n">
        <f aca="false">IFERROR(P43/P$58,0)</f>
        <v>0.0214711575473958</v>
      </c>
      <c r="AH43" s="57" t="n">
        <f aca="false">IFERROR(Q43/Q$58,0)</f>
        <v>0.0206231319599274</v>
      </c>
      <c r="AI43" s="57" t="n">
        <f aca="false">IFERROR(R43/R$58,0)</f>
        <v>0.0205371517609394</v>
      </c>
      <c r="AJ43" s="49" t="n">
        <f aca="false">K43-N43</f>
        <v>284805.66</v>
      </c>
      <c r="AK43" s="57" t="n">
        <f aca="false">IFERROR(I43/I$58,0)</f>
        <v>0.0197752131584251</v>
      </c>
    </row>
    <row r="44" customFormat="false" ht="15" hidden="false" customHeight="false" outlineLevel="0" collapsed="false">
      <c r="A44" s="13" t="n">
        <v>39</v>
      </c>
      <c r="B44" s="53"/>
      <c r="C44" s="54" t="n">
        <v>75037</v>
      </c>
      <c r="D44" s="54" t="n">
        <v>41471</v>
      </c>
      <c r="E44" s="54" t="n">
        <v>8713</v>
      </c>
      <c r="F44" s="54" t="n">
        <v>117409</v>
      </c>
      <c r="G44" s="54" t="n">
        <v>30052</v>
      </c>
      <c r="H44" s="54" t="n">
        <v>19456</v>
      </c>
      <c r="I44" s="55" t="n">
        <f aca="false">SUM(C44:H44)</f>
        <v>292138</v>
      </c>
      <c r="J44" s="54" t="n">
        <v>6020</v>
      </c>
      <c r="K44" s="56" t="n">
        <v>414509.57</v>
      </c>
      <c r="L44" s="54" t="n">
        <v>11710</v>
      </c>
      <c r="M44" s="56" t="n">
        <v>34160.55</v>
      </c>
      <c r="N44" s="56" t="n">
        <v>112296.07</v>
      </c>
      <c r="O44" s="54" t="n">
        <v>2182</v>
      </c>
      <c r="P44" s="56" t="n">
        <v>29223.71</v>
      </c>
      <c r="Q44" s="56" t="n">
        <v>11235.25</v>
      </c>
      <c r="R44" s="56" t="n">
        <v>1607.83</v>
      </c>
      <c r="S44" s="27"/>
      <c r="T44" s="27"/>
      <c r="U44" s="57" t="n">
        <f aca="false">IFERROR(J44/I44,0)</f>
        <v>0.0206066995734892</v>
      </c>
      <c r="V44" s="58" t="n">
        <f aca="false">IFERROR(K44/J44,0)</f>
        <v>68.8554102990033</v>
      </c>
      <c r="W44" s="59" t="n">
        <f aca="false">IFERROR(L44/J44,0)</f>
        <v>1.94518272425249</v>
      </c>
      <c r="X44" s="22" t="n">
        <f aca="false">IFERROR(M44/(K44+M44),0)</f>
        <v>0.0761373411717277</v>
      </c>
      <c r="Y44" s="22" t="n">
        <f aca="false">IFERROR(N44/K44,0)</f>
        <v>0.270913093755592</v>
      </c>
      <c r="Z44" s="22" t="n">
        <f aca="false">IFERROR(O44/J44,0)</f>
        <v>0.362458471760797</v>
      </c>
      <c r="AA44" s="58" t="n">
        <f aca="false">IFERROR(P44/C44,0)</f>
        <v>0.389457334381705</v>
      </c>
      <c r="AB44" s="58" t="n">
        <f aca="false">IFERROR(Q44/D44,0)</f>
        <v>0.270918232017554</v>
      </c>
      <c r="AC44" s="58" t="n">
        <f aca="false">IFERROR(R44/E44,0)</f>
        <v>0.184532308045449</v>
      </c>
      <c r="AD44" s="57" t="n">
        <f aca="false">IFERROR(F44/F$58,0)</f>
        <v>0.0207176254127547</v>
      </c>
      <c r="AE44" s="57" t="n">
        <f aca="false">IFERROR(G44/G$58,0)</f>
        <v>0.0175522722109076</v>
      </c>
      <c r="AF44" s="57" t="n">
        <f aca="false">IFERROR(H44/H$58,0)</f>
        <v>0.0197682995970339</v>
      </c>
      <c r="AG44" s="57" t="n">
        <f aca="false">IFERROR(P44/P$58,0)</f>
        <v>0.0209032019575559</v>
      </c>
      <c r="AH44" s="57" t="n">
        <f aca="false">IFERROR(Q44/Q$58,0)</f>
        <v>0.0201186459777454</v>
      </c>
      <c r="AI44" s="57" t="n">
        <f aca="false">IFERROR(R44/R$58,0)</f>
        <v>0.0197389178442724</v>
      </c>
      <c r="AJ44" s="49" t="n">
        <f aca="false">K44-N44</f>
        <v>302213.5</v>
      </c>
      <c r="AK44" s="57" t="n">
        <f aca="false">IFERROR(I44/I$58,0)</f>
        <v>0.0204798934426948</v>
      </c>
    </row>
    <row r="45" customFormat="false" ht="15" hidden="false" customHeight="false" outlineLevel="0" collapsed="false">
      <c r="A45" s="13" t="n">
        <v>40</v>
      </c>
      <c r="B45" s="53"/>
      <c r="C45" s="54" t="n">
        <v>62997</v>
      </c>
      <c r="D45" s="54" t="n">
        <v>36452</v>
      </c>
      <c r="E45" s="54" t="n">
        <v>7860</v>
      </c>
      <c r="F45" s="54" t="n">
        <v>104949</v>
      </c>
      <c r="G45" s="54" t="n">
        <v>29319</v>
      </c>
      <c r="H45" s="54" t="n">
        <v>19222</v>
      </c>
      <c r="I45" s="55" t="n">
        <f aca="false">SUM(C45:H45)</f>
        <v>260799</v>
      </c>
      <c r="J45" s="54" t="n">
        <v>5471</v>
      </c>
      <c r="K45" s="56" t="n">
        <v>377303.15</v>
      </c>
      <c r="L45" s="54" t="n">
        <v>10391</v>
      </c>
      <c r="M45" s="56" t="n">
        <v>35182.07</v>
      </c>
      <c r="N45" s="56" t="n">
        <v>98480.4</v>
      </c>
      <c r="O45" s="54" t="n">
        <v>1846</v>
      </c>
      <c r="P45" s="56" t="n">
        <v>25901.84</v>
      </c>
      <c r="Q45" s="56" t="n">
        <v>10703.95</v>
      </c>
      <c r="R45" s="56" t="n">
        <v>1511.83</v>
      </c>
      <c r="S45" s="27"/>
      <c r="T45" s="27"/>
      <c r="U45" s="57" t="n">
        <f aca="false">IFERROR(J45/I45,0)</f>
        <v>0.0209778411727039</v>
      </c>
      <c r="V45" s="58" t="n">
        <f aca="false">IFERROR(K45/J45,0)</f>
        <v>68.9642021568269</v>
      </c>
      <c r="W45" s="59" t="n">
        <f aca="false">IFERROR(L45/J45,0)</f>
        <v>1.89928715042954</v>
      </c>
      <c r="X45" s="22" t="n">
        <f aca="false">IFERROR(M45/(K45+M45),0)</f>
        <v>0.0852929227379347</v>
      </c>
      <c r="Y45" s="22" t="n">
        <f aca="false">IFERROR(N45/K45,0)</f>
        <v>0.261011337965241</v>
      </c>
      <c r="Z45" s="22" t="n">
        <f aca="false">IFERROR(O45/J45,0)</f>
        <v>0.337415463352221</v>
      </c>
      <c r="AA45" s="58" t="n">
        <f aca="false">IFERROR(P45/C45,0)</f>
        <v>0.411159896503008</v>
      </c>
      <c r="AB45" s="58" t="n">
        <f aca="false">IFERROR(Q45/D45,0)</f>
        <v>0.293645067486009</v>
      </c>
      <c r="AC45" s="58" t="n">
        <f aca="false">IFERROR(R45/E45,0)</f>
        <v>0.192344783715013</v>
      </c>
      <c r="AD45" s="57" t="n">
        <f aca="false">IFERROR(F45/F$58,0)</f>
        <v>0.0185189727315895</v>
      </c>
      <c r="AE45" s="57" t="n">
        <f aca="false">IFERROR(G45/G$58,0)</f>
        <v>0.0171241537651937</v>
      </c>
      <c r="AF45" s="57" t="n">
        <f aca="false">IFERROR(H45/H$58,0)</f>
        <v>0.0195305435266338</v>
      </c>
      <c r="AG45" s="57" t="n">
        <f aca="false">IFERROR(P45/P$58,0)</f>
        <v>0.0185271272056936</v>
      </c>
      <c r="AH45" s="57" t="n">
        <f aca="false">IFERROR(Q45/Q$58,0)</f>
        <v>0.0191672620202922</v>
      </c>
      <c r="AI45" s="57" t="n">
        <f aca="false">IFERROR(R45/R$58,0)</f>
        <v>0.0185603503881047</v>
      </c>
      <c r="AJ45" s="49" t="n">
        <f aca="false">K45-N45</f>
        <v>278822.75</v>
      </c>
      <c r="AK45" s="57" t="n">
        <f aca="false">IFERROR(I45/I$58,0)</f>
        <v>0.0182829201608875</v>
      </c>
    </row>
    <row r="46" customFormat="false" ht="15" hidden="false" customHeight="false" outlineLevel="0" collapsed="false">
      <c r="A46" s="13" t="n">
        <v>41</v>
      </c>
      <c r="B46" s="53"/>
      <c r="C46" s="54" t="n">
        <v>69583</v>
      </c>
      <c r="D46" s="54" t="n">
        <v>40712</v>
      </c>
      <c r="E46" s="54" t="n">
        <v>8791</v>
      </c>
      <c r="F46" s="54" t="n">
        <v>114298</v>
      </c>
      <c r="G46" s="54" t="n">
        <v>29272</v>
      </c>
      <c r="H46" s="54" t="n">
        <v>20390</v>
      </c>
      <c r="I46" s="55" t="n">
        <f aca="false">SUM(C46:H46)</f>
        <v>283046</v>
      </c>
      <c r="J46" s="54" t="n">
        <v>5987</v>
      </c>
      <c r="K46" s="56" t="n">
        <v>414766.31</v>
      </c>
      <c r="L46" s="54" t="n">
        <v>11572</v>
      </c>
      <c r="M46" s="56" t="n">
        <v>38341.83</v>
      </c>
      <c r="N46" s="56" t="n">
        <v>111640.37</v>
      </c>
      <c r="O46" s="54" t="n">
        <v>2164</v>
      </c>
      <c r="P46" s="56" t="n">
        <v>28403.95</v>
      </c>
      <c r="Q46" s="56" t="n">
        <v>11303.35</v>
      </c>
      <c r="R46" s="56" t="n">
        <v>1624.16</v>
      </c>
      <c r="S46" s="27"/>
      <c r="T46" s="27"/>
      <c r="U46" s="57" t="n">
        <f aca="false">IFERROR(J46/I46,0)</f>
        <v>0.021152038891205</v>
      </c>
      <c r="V46" s="58" t="n">
        <f aca="false">IFERROR(K46/J46,0)</f>
        <v>69.2778202772674</v>
      </c>
      <c r="W46" s="59" t="n">
        <f aca="false">IFERROR(L46/J46,0)</f>
        <v>1.9328545181226</v>
      </c>
      <c r="X46" s="22" t="n">
        <f aca="false">IFERROR(M46/(K46+M46),0)</f>
        <v>0.0846196009632491</v>
      </c>
      <c r="Y46" s="22" t="n">
        <f aca="false">IFERROR(N46/K46,0)</f>
        <v>0.269164508563871</v>
      </c>
      <c r="Z46" s="22" t="n">
        <f aca="false">IFERROR(O46/J46,0)</f>
        <v>0.361449807917154</v>
      </c>
      <c r="AA46" s="58" t="n">
        <f aca="false">IFERROR(P46/C46,0)</f>
        <v>0.40820243450268</v>
      </c>
      <c r="AB46" s="58" t="n">
        <f aca="false">IFERROR(Q46/D46,0)</f>
        <v>0.277641727254863</v>
      </c>
      <c r="AC46" s="58" t="n">
        <f aca="false">IFERROR(R46/E46,0)</f>
        <v>0.184752587873962</v>
      </c>
      <c r="AD46" s="57" t="n">
        <f aca="false">IFERROR(F46/F$58,0)</f>
        <v>0.0201686680699694</v>
      </c>
      <c r="AE46" s="57" t="n">
        <f aca="false">IFERROR(G46/G$58,0)</f>
        <v>0.017096702787092</v>
      </c>
      <c r="AF46" s="57" t="n">
        <f aca="false">IFERROR(H46/H$58,0)</f>
        <v>0.0207172917754689</v>
      </c>
      <c r="AG46" s="57" t="n">
        <f aca="false">IFERROR(P46/P$58,0)</f>
        <v>0.0203168421546176</v>
      </c>
      <c r="AH46" s="57" t="n">
        <f aca="false">IFERROR(Q46/Q$58,0)</f>
        <v>0.0202405907311852</v>
      </c>
      <c r="AI46" s="57" t="n">
        <f aca="false">IFERROR(R46/R$58,0)</f>
        <v>0.0199393970792643</v>
      </c>
      <c r="AJ46" s="49" t="n">
        <f aca="false">K46-N46</f>
        <v>303125.94</v>
      </c>
      <c r="AK46" s="57" t="n">
        <f aca="false">IFERROR(I46/I$58,0)</f>
        <v>0.0198425125090915</v>
      </c>
    </row>
    <row r="47" customFormat="false" ht="15" hidden="false" customHeight="false" outlineLevel="0" collapsed="false">
      <c r="A47" s="13" t="n">
        <v>42</v>
      </c>
      <c r="B47" s="53"/>
      <c r="C47" s="54" t="n">
        <v>62611</v>
      </c>
      <c r="D47" s="54" t="n">
        <v>35569</v>
      </c>
      <c r="E47" s="54" t="n">
        <v>8245</v>
      </c>
      <c r="F47" s="54" t="n">
        <v>100360</v>
      </c>
      <c r="G47" s="54" t="n">
        <v>29049</v>
      </c>
      <c r="H47" s="54" t="n">
        <v>19077</v>
      </c>
      <c r="I47" s="55" t="n">
        <f aca="false">SUM(C47:H47)</f>
        <v>254911</v>
      </c>
      <c r="J47" s="54" t="n">
        <v>5113</v>
      </c>
      <c r="K47" s="56" t="n">
        <v>360703.61</v>
      </c>
      <c r="L47" s="54" t="n">
        <v>10088</v>
      </c>
      <c r="M47" s="56" t="n">
        <v>29636.45</v>
      </c>
      <c r="N47" s="56" t="n">
        <v>94255.93</v>
      </c>
      <c r="O47" s="54" t="n">
        <v>1835</v>
      </c>
      <c r="P47" s="56" t="n">
        <v>24926.79</v>
      </c>
      <c r="Q47" s="56" t="n">
        <v>9827.77</v>
      </c>
      <c r="R47" s="56" t="n">
        <v>1528.65</v>
      </c>
      <c r="S47" s="27"/>
      <c r="T47" s="27"/>
      <c r="U47" s="57" t="n">
        <f aca="false">IFERROR(J47/I47,0)</f>
        <v>0.0200579810208269</v>
      </c>
      <c r="V47" s="58" t="n">
        <f aca="false">IFERROR(K47/J47,0)</f>
        <v>70.5463739487581</v>
      </c>
      <c r="W47" s="59" t="n">
        <f aca="false">IFERROR(L47/J47,0)</f>
        <v>1.97300997457461</v>
      </c>
      <c r="X47" s="22" t="n">
        <f aca="false">IFERROR(M47/(K47+M47),0)</f>
        <v>0.0759246949954355</v>
      </c>
      <c r="Y47" s="22" t="n">
        <f aca="false">IFERROR(N47/K47,0)</f>
        <v>0.261311302096477</v>
      </c>
      <c r="Z47" s="22" t="n">
        <f aca="false">IFERROR(O47/J47,0)</f>
        <v>0.358889106199883</v>
      </c>
      <c r="AA47" s="58" t="n">
        <f aca="false">IFERROR(P47/C47,0)</f>
        <v>0.39812157608088</v>
      </c>
      <c r="AB47" s="58" t="n">
        <f aca="false">IFERROR(Q47/D47,0)</f>
        <v>0.27630155472462</v>
      </c>
      <c r="AC47" s="58" t="n">
        <f aca="false">IFERROR(R47/E47,0)</f>
        <v>0.185403274711947</v>
      </c>
      <c r="AD47" s="57" t="n">
        <f aca="false">IFERROR(F47/F$58,0)</f>
        <v>0.0177092121253401</v>
      </c>
      <c r="AE47" s="57" t="n">
        <f aca="false">IFERROR(G47/G$58,0)</f>
        <v>0.0169664566569498</v>
      </c>
      <c r="AF47" s="57" t="n">
        <f aca="false">IFERROR(H47/H$58,0)</f>
        <v>0.0193832160471123</v>
      </c>
      <c r="AG47" s="57" t="n">
        <f aca="false">IFERROR(P47/P$58,0)</f>
        <v>0.0178296912172885</v>
      </c>
      <c r="AH47" s="57" t="n">
        <f aca="false">IFERROR(Q47/Q$58,0)</f>
        <v>0.0175983111529078</v>
      </c>
      <c r="AI47" s="57" t="n">
        <f aca="false">IFERROR(R47/R$58,0)</f>
        <v>0.0187668452278208</v>
      </c>
      <c r="AJ47" s="49" t="n">
        <f aca="false">K47-N47</f>
        <v>266447.68</v>
      </c>
      <c r="AK47" s="57" t="n">
        <f aca="false">IFERROR(I47/I$58,0)</f>
        <v>0.0178701508101335</v>
      </c>
    </row>
    <row r="48" customFormat="false" ht="15" hidden="false" customHeight="false" outlineLevel="0" collapsed="false">
      <c r="A48" s="13" t="n">
        <v>43</v>
      </c>
      <c r="B48" s="53" t="s">
        <v>438</v>
      </c>
      <c r="C48" s="54" t="n">
        <v>121582</v>
      </c>
      <c r="D48" s="54" t="n">
        <v>73666</v>
      </c>
      <c r="E48" s="54" t="n">
        <v>15283</v>
      </c>
      <c r="F48" s="54" t="n">
        <v>205015</v>
      </c>
      <c r="G48" s="54" t="n">
        <v>88168</v>
      </c>
      <c r="H48" s="54" t="n">
        <v>35528</v>
      </c>
      <c r="I48" s="55" t="n">
        <f aca="false">SUM(C48:H48)</f>
        <v>539242</v>
      </c>
      <c r="J48" s="54" t="n">
        <v>15200</v>
      </c>
      <c r="K48" s="56" t="n">
        <v>1033633.78</v>
      </c>
      <c r="L48" s="54" t="n">
        <v>28949</v>
      </c>
      <c r="M48" s="56" t="n">
        <v>346527.05</v>
      </c>
      <c r="N48" s="56" t="n">
        <v>301038.84</v>
      </c>
      <c r="O48" s="54" t="n">
        <v>6457</v>
      </c>
      <c r="P48" s="56" t="n">
        <v>50196.94</v>
      </c>
      <c r="Q48" s="56" t="n">
        <v>21208.55</v>
      </c>
      <c r="R48" s="56" t="n">
        <v>2813.69</v>
      </c>
      <c r="S48" s="27"/>
      <c r="T48" s="27"/>
      <c r="U48" s="57" t="n">
        <f aca="false">IFERROR(J48/I48,0)</f>
        <v>0.0281877153485819</v>
      </c>
      <c r="V48" s="58" t="n">
        <f aca="false">IFERROR(K48/J48,0)</f>
        <v>68.0022223684211</v>
      </c>
      <c r="W48" s="59" t="n">
        <f aca="false">IFERROR(L48/J48,0)</f>
        <v>1.90453947368421</v>
      </c>
      <c r="X48" s="22" t="n">
        <f aca="false">IFERROR(M48/(K48+M48),0)</f>
        <v>0.251077296549562</v>
      </c>
      <c r="Y48" s="22" t="n">
        <f aca="false">IFERROR(N48/K48,0)</f>
        <v>0.291243229299259</v>
      </c>
      <c r="Z48" s="22" t="n">
        <f aca="false">IFERROR(O48/J48,0)</f>
        <v>0.424802631578947</v>
      </c>
      <c r="AA48" s="58" t="n">
        <f aca="false">IFERROR(P48/C48,0)</f>
        <v>0.412864897764472</v>
      </c>
      <c r="AB48" s="58" t="n">
        <f aca="false">IFERROR(Q48/D48,0)</f>
        <v>0.287901474221486</v>
      </c>
      <c r="AC48" s="58" t="n">
        <f aca="false">IFERROR(R48/E48,0)</f>
        <v>0.184105869266505</v>
      </c>
      <c r="AD48" s="57" t="n">
        <f aca="false">IFERROR(F48/F$58,0)</f>
        <v>0.0361763065352392</v>
      </c>
      <c r="AE48" s="57" t="n">
        <f aca="false">IFERROR(G48/G$58,0)</f>
        <v>0.0514956986653568</v>
      </c>
      <c r="AF48" s="57" t="n">
        <f aca="false">IFERROR(H48/H$58,0)</f>
        <v>0.0360982806375114</v>
      </c>
      <c r="AG48" s="57" t="n">
        <f aca="false">IFERROR(P48/P$58,0)</f>
        <v>0.0359049817586924</v>
      </c>
      <c r="AH48" s="57" t="n">
        <f aca="false">IFERROR(Q48/Q$58,0)</f>
        <v>0.0379775536059556</v>
      </c>
      <c r="AI48" s="57" t="n">
        <f aca="false">IFERROR(R48/R$58,0)</f>
        <v>0.0345429527681726</v>
      </c>
      <c r="AJ48" s="49" t="n">
        <f aca="false">K48-N48</f>
        <v>732594.94</v>
      </c>
      <c r="AK48" s="57" t="n">
        <f aca="false">IFERROR(I48/I$58,0)</f>
        <v>0.0378027463042316</v>
      </c>
    </row>
    <row r="49" customFormat="false" ht="15" hidden="false" customHeight="false" outlineLevel="0" collapsed="false">
      <c r="A49" s="13" t="n">
        <v>44</v>
      </c>
      <c r="B49" s="53" t="s">
        <v>440</v>
      </c>
      <c r="C49" s="54" t="n">
        <v>105478</v>
      </c>
      <c r="D49" s="54" t="n">
        <v>57891</v>
      </c>
      <c r="E49" s="54" t="n">
        <v>11712</v>
      </c>
      <c r="F49" s="54" t="n">
        <v>161685</v>
      </c>
      <c r="G49" s="54" t="n">
        <v>72992</v>
      </c>
      <c r="H49" s="54" t="n">
        <v>28123</v>
      </c>
      <c r="I49" s="55" t="n">
        <f aca="false">SUM(C49:H49)</f>
        <v>437881</v>
      </c>
      <c r="J49" s="54" t="n">
        <v>11539</v>
      </c>
      <c r="K49" s="56" t="n">
        <v>778244.88</v>
      </c>
      <c r="L49" s="54" t="n">
        <v>21362</v>
      </c>
      <c r="M49" s="56" t="n">
        <v>228227.22</v>
      </c>
      <c r="N49" s="56" t="n">
        <v>227808.81</v>
      </c>
      <c r="O49" s="54" t="n">
        <v>5002</v>
      </c>
      <c r="P49" s="56" t="n">
        <v>42272.4</v>
      </c>
      <c r="Q49" s="56" t="n">
        <v>16695.12</v>
      </c>
      <c r="R49" s="56" t="n">
        <v>2209.61</v>
      </c>
      <c r="S49" s="27"/>
      <c r="T49" s="27"/>
      <c r="U49" s="57" t="n">
        <f aca="false">IFERROR(J49/I49,0)</f>
        <v>0.0263519083952033</v>
      </c>
      <c r="V49" s="58" t="n">
        <f aca="false">IFERROR(K49/J49,0)</f>
        <v>67.4447421786983</v>
      </c>
      <c r="W49" s="59" t="n">
        <f aca="false">IFERROR(L49/J49,0)</f>
        <v>1.8512869399428</v>
      </c>
      <c r="X49" s="22" t="n">
        <f aca="false">IFERROR(M49/(K49+M49),0)</f>
        <v>0.226759609133726</v>
      </c>
      <c r="Y49" s="22" t="n">
        <f aca="false">IFERROR(N49/K49,0)</f>
        <v>0.29272124475782</v>
      </c>
      <c r="Z49" s="22" t="n">
        <f aca="false">IFERROR(O49/J49,0)</f>
        <v>0.433486437299593</v>
      </c>
      <c r="AA49" s="58" t="n">
        <f aca="false">IFERROR(P49/C49,0)</f>
        <v>0.400769828779461</v>
      </c>
      <c r="AB49" s="58" t="n">
        <f aca="false">IFERROR(Q49/D49,0)</f>
        <v>0.288388868736073</v>
      </c>
      <c r="AC49" s="58" t="n">
        <f aca="false">IFERROR(R49/E49,0)</f>
        <v>0.188662056010929</v>
      </c>
      <c r="AD49" s="57" t="n">
        <f aca="false">IFERROR(F49/F$58,0)</f>
        <v>0.0285304300765805</v>
      </c>
      <c r="AE49" s="57" t="n">
        <f aca="false">IFERROR(G49/G$58,0)</f>
        <v>0.0426319530553231</v>
      </c>
      <c r="AF49" s="57" t="n">
        <f aca="false">IFERROR(H49/H$58,0)</f>
        <v>0.0285744186660868</v>
      </c>
      <c r="AG49" s="57" t="n">
        <f aca="false">IFERROR(P49/P$58,0)</f>
        <v>0.0302366987090478</v>
      </c>
      <c r="AH49" s="57" t="n">
        <f aca="false">IFERROR(Q49/Q$58,0)</f>
        <v>0.0298954815278678</v>
      </c>
      <c r="AI49" s="57" t="n">
        <f aca="false">IFERROR(R49/R$58,0)</f>
        <v>0.0271268170502372</v>
      </c>
      <c r="AJ49" s="49" t="n">
        <f aca="false">K49-N49</f>
        <v>550436.07</v>
      </c>
      <c r="AK49" s="57" t="n">
        <f aca="false">IFERROR(I49/I$58,0)</f>
        <v>0.0306969864262117</v>
      </c>
    </row>
    <row r="50" customFormat="false" ht="15" hidden="false" customHeight="false" outlineLevel="0" collapsed="false">
      <c r="A50" s="13" t="n">
        <v>45</v>
      </c>
      <c r="B50" s="53"/>
      <c r="C50" s="54" t="n">
        <v>84032</v>
      </c>
      <c r="D50" s="54" t="n">
        <v>51239</v>
      </c>
      <c r="E50" s="54" t="n">
        <v>11039</v>
      </c>
      <c r="F50" s="54" t="n">
        <v>139025</v>
      </c>
      <c r="G50" s="54" t="n">
        <v>36657</v>
      </c>
      <c r="H50" s="54" t="n">
        <v>25440</v>
      </c>
      <c r="I50" s="55" t="n">
        <f aca="false">SUM(C50:H50)</f>
        <v>347432</v>
      </c>
      <c r="J50" s="54" t="n">
        <v>7710</v>
      </c>
      <c r="K50" s="56" t="n">
        <v>566967.18</v>
      </c>
      <c r="L50" s="54" t="n">
        <v>14727</v>
      </c>
      <c r="M50" s="56" t="n">
        <v>51749.45</v>
      </c>
      <c r="N50" s="56" t="n">
        <v>158866.01</v>
      </c>
      <c r="O50" s="54" t="n">
        <v>2582</v>
      </c>
      <c r="P50" s="56" t="n">
        <v>34136.87</v>
      </c>
      <c r="Q50" s="56" t="n">
        <v>14707.11</v>
      </c>
      <c r="R50" s="56" t="n">
        <v>2202.02</v>
      </c>
      <c r="S50" s="27"/>
      <c r="T50" s="27"/>
      <c r="U50" s="57" t="n">
        <f aca="false">IFERROR(J50/I50,0)</f>
        <v>0.0221913928480969</v>
      </c>
      <c r="V50" s="58" t="n">
        <f aca="false">IFERROR(K50/J50,0)</f>
        <v>73.5365992217899</v>
      </c>
      <c r="W50" s="59" t="n">
        <f aca="false">IFERROR(L50/J50,0)</f>
        <v>1.91011673151751</v>
      </c>
      <c r="X50" s="22" t="n">
        <f aca="false">IFERROR(M50/(K50+M50),0)</f>
        <v>0.0836399855617264</v>
      </c>
      <c r="Y50" s="22" t="n">
        <f aca="false">IFERROR(N50/K50,0)</f>
        <v>0.280203185658824</v>
      </c>
      <c r="Z50" s="22" t="n">
        <f aca="false">IFERROR(O50/J50,0)</f>
        <v>0.334889753566796</v>
      </c>
      <c r="AA50" s="58" t="n">
        <f aca="false">IFERROR(P50/C50,0)</f>
        <v>0.406236552741813</v>
      </c>
      <c r="AB50" s="58" t="n">
        <f aca="false">IFERROR(Q50/D50,0)</f>
        <v>0.287029606354535</v>
      </c>
      <c r="AC50" s="58" t="n">
        <f aca="false">IFERROR(R50/E50,0)</f>
        <v>0.199476401847993</v>
      </c>
      <c r="AD50" s="57" t="n">
        <f aca="false">IFERROR(F50/F$58,0)</f>
        <v>0.0245319172551356</v>
      </c>
      <c r="AE50" s="57" t="n">
        <f aca="false">IFERROR(G50/G$58,0)</f>
        <v>0.021410010729244</v>
      </c>
      <c r="AF50" s="57" t="n">
        <f aca="false">IFERROR(H50/H$58,0)</f>
        <v>0.025848352269148</v>
      </c>
      <c r="AG50" s="57" t="n">
        <f aca="false">IFERROR(P50/P$58,0)</f>
        <v>0.0244174982508666</v>
      </c>
      <c r="AH50" s="57" t="n">
        <f aca="false">IFERROR(Q50/Q$58,0)</f>
        <v>0.0263356079700727</v>
      </c>
      <c r="AI50" s="57" t="n">
        <f aca="false">IFERROR(R50/R$58,0)</f>
        <v>0.0270336365607339</v>
      </c>
      <c r="AJ50" s="49" t="n">
        <f aca="false">K50-N50</f>
        <v>408101.17</v>
      </c>
      <c r="AK50" s="57" t="n">
        <f aca="false">IFERROR(I50/I$58,0)</f>
        <v>0.0243561958341001</v>
      </c>
    </row>
    <row r="51" customFormat="false" ht="15" hidden="false" customHeight="false" outlineLevel="0" collapsed="false">
      <c r="A51" s="13" t="n">
        <v>46</v>
      </c>
      <c r="B51" s="53"/>
      <c r="C51" s="54" t="n">
        <v>78291</v>
      </c>
      <c r="D51" s="54" t="n">
        <v>47205</v>
      </c>
      <c r="E51" s="54" t="n">
        <v>9694</v>
      </c>
      <c r="F51" s="54" t="n">
        <v>135591</v>
      </c>
      <c r="G51" s="54" t="n">
        <v>36216</v>
      </c>
      <c r="H51" s="54" t="n">
        <v>22891</v>
      </c>
      <c r="I51" s="55" t="n">
        <f aca="false">SUM(C51:H51)</f>
        <v>329888</v>
      </c>
      <c r="J51" s="54" t="n">
        <v>7237</v>
      </c>
      <c r="K51" s="56" t="n">
        <v>558677.29</v>
      </c>
      <c r="L51" s="54" t="n">
        <v>14271</v>
      </c>
      <c r="M51" s="56" t="n">
        <v>45806.14</v>
      </c>
      <c r="N51" s="56" t="n">
        <v>149521.9</v>
      </c>
      <c r="O51" s="54" t="n">
        <v>2581</v>
      </c>
      <c r="P51" s="56" t="n">
        <v>31555.59</v>
      </c>
      <c r="Q51" s="56" t="n">
        <v>13634.34</v>
      </c>
      <c r="R51" s="56" t="n">
        <v>1849.73</v>
      </c>
      <c r="S51" s="27"/>
      <c r="T51" s="27"/>
      <c r="U51" s="57" t="n">
        <f aca="false">IFERROR(J51/I51,0)</f>
        <v>0.0219377485692114</v>
      </c>
      <c r="V51" s="58" t="n">
        <f aca="false">IFERROR(K51/J51,0)</f>
        <v>77.1973594030676</v>
      </c>
      <c r="W51" s="59" t="n">
        <f aca="false">IFERROR(L51/J51,0)</f>
        <v>1.97194970291557</v>
      </c>
      <c r="X51" s="22" t="n">
        <f aca="false">IFERROR(M51/(K51+M51),0)</f>
        <v>0.0757773294133141</v>
      </c>
      <c r="Y51" s="22" t="n">
        <f aca="false">IFERROR(N51/K51,0)</f>
        <v>0.267635543231048</v>
      </c>
      <c r="Z51" s="22" t="n">
        <f aca="false">IFERROR(O51/J51,0)</f>
        <v>0.356639491502004</v>
      </c>
      <c r="AA51" s="58" t="n">
        <f aca="false">IFERROR(P51/C51,0)</f>
        <v>0.403055140437598</v>
      </c>
      <c r="AB51" s="58" t="n">
        <f aca="false">IFERROR(Q51/D51,0)</f>
        <v>0.288832538925961</v>
      </c>
      <c r="AC51" s="58" t="n">
        <f aca="false">IFERROR(R51/E51,0)</f>
        <v>0.190811842376728</v>
      </c>
      <c r="AD51" s="57" t="n">
        <f aca="false">IFERROR(F51/F$58,0)</f>
        <v>0.0239259643412415</v>
      </c>
      <c r="AE51" s="57" t="n">
        <f aca="false">IFERROR(G51/G$58,0)</f>
        <v>0.021152438785779</v>
      </c>
      <c r="AF51" s="57" t="n">
        <f aca="false">IFERROR(H51/H$58,0)</f>
        <v>0.0232584367843187</v>
      </c>
      <c r="AG51" s="57" t="n">
        <f aca="false">IFERROR(P51/P$58,0)</f>
        <v>0.0225711544037301</v>
      </c>
      <c r="AH51" s="57" t="n">
        <f aca="false">IFERROR(Q51/Q$58,0)</f>
        <v>0.0244146289223839</v>
      </c>
      <c r="AI51" s="57" t="n">
        <f aca="false">IFERROR(R51/R$58,0)</f>
        <v>0.0227086622989284</v>
      </c>
      <c r="AJ51" s="49" t="n">
        <f aca="false">K51-N51</f>
        <v>409155.39</v>
      </c>
      <c r="AK51" s="57" t="n">
        <f aca="false">IFERROR(I51/I$58,0)</f>
        <v>0.0231263002006712</v>
      </c>
    </row>
    <row r="52" customFormat="false" ht="15" hidden="false" customHeight="false" outlineLevel="0" collapsed="false">
      <c r="A52" s="13" t="n">
        <v>47</v>
      </c>
      <c r="B52" s="53"/>
      <c r="C52" s="54" t="n">
        <v>55165</v>
      </c>
      <c r="D52" s="54" t="n">
        <v>31376</v>
      </c>
      <c r="E52" s="54" t="n">
        <v>7064</v>
      </c>
      <c r="F52" s="54" t="n">
        <v>93155</v>
      </c>
      <c r="G52" s="54" t="n">
        <v>25216</v>
      </c>
      <c r="H52" s="54" t="n">
        <v>15680</v>
      </c>
      <c r="I52" s="55" t="n">
        <f aca="false">SUM(C52:H52)</f>
        <v>227656</v>
      </c>
      <c r="J52" s="54" t="n">
        <v>4624</v>
      </c>
      <c r="K52" s="56" t="n">
        <v>318688.39</v>
      </c>
      <c r="L52" s="54" t="n">
        <v>8728</v>
      </c>
      <c r="M52" s="56" t="n">
        <v>27845.74</v>
      </c>
      <c r="N52" s="56" t="n">
        <v>80063.93</v>
      </c>
      <c r="O52" s="54" t="n">
        <v>1550</v>
      </c>
      <c r="P52" s="56" t="n">
        <v>21199.86</v>
      </c>
      <c r="Q52" s="56" t="n">
        <v>9055.62</v>
      </c>
      <c r="R52" s="56" t="n">
        <v>1360.87</v>
      </c>
      <c r="S52" s="27"/>
      <c r="T52" s="27"/>
      <c r="U52" s="57" t="n">
        <f aca="false">IFERROR(J52/I52,0)</f>
        <v>0.0203113469445128</v>
      </c>
      <c r="V52" s="58" t="n">
        <f aca="false">IFERROR(K52/J52,0)</f>
        <v>68.9204995674741</v>
      </c>
      <c r="W52" s="59" t="n">
        <f aca="false">IFERROR(L52/J52,0)</f>
        <v>1.88754325259516</v>
      </c>
      <c r="X52" s="22" t="n">
        <f aca="false">IFERROR(M52/(K52+M52),0)</f>
        <v>0.0803549710962092</v>
      </c>
      <c r="Y52" s="22" t="n">
        <f aca="false">IFERROR(N52/K52,0)</f>
        <v>0.251229516079955</v>
      </c>
      <c r="Z52" s="22" t="n">
        <f aca="false">IFERROR(O52/J52,0)</f>
        <v>0.335207612456747</v>
      </c>
      <c r="AA52" s="58" t="n">
        <f aca="false">IFERROR(P52/C52,0)</f>
        <v>0.384299102691924</v>
      </c>
      <c r="AB52" s="58" t="n">
        <f aca="false">IFERROR(Q52/D52,0)</f>
        <v>0.28861613972463</v>
      </c>
      <c r="AC52" s="58" t="n">
        <f aca="false">IFERROR(R52/E52,0)</f>
        <v>0.192648640996602</v>
      </c>
      <c r="AD52" s="57" t="n">
        <f aca="false">IFERROR(F52/F$58,0)</f>
        <v>0.016437840330172</v>
      </c>
      <c r="AE52" s="57" t="n">
        <f aca="false">IFERROR(G52/G$58,0)</f>
        <v>0.0147277417832506</v>
      </c>
      <c r="AF52" s="57" t="n">
        <f aca="false">IFERROR(H52/H$58,0)</f>
        <v>0.015931688819978</v>
      </c>
      <c r="AG52" s="57" t="n">
        <f aca="false">IFERROR(P52/P$58,0)</f>
        <v>0.015163884224553</v>
      </c>
      <c r="AH52" s="57" t="n">
        <f aca="false">IFERROR(Q52/Q$58,0)</f>
        <v>0.0162156438787736</v>
      </c>
      <c r="AI52" s="57" t="n">
        <f aca="false">IFERROR(R52/R$58,0)</f>
        <v>0.016707053063281</v>
      </c>
      <c r="AJ52" s="49" t="n">
        <f aca="false">K52-N52</f>
        <v>238624.46</v>
      </c>
      <c r="AK52" s="57" t="n">
        <f aca="false">IFERROR(I52/I$58,0)</f>
        <v>0.0159594801826196</v>
      </c>
    </row>
    <row r="53" customFormat="false" ht="15" hidden="false" customHeight="false" outlineLevel="0" collapsed="false">
      <c r="A53" s="13" t="n">
        <v>48</v>
      </c>
      <c r="B53" s="53" t="s">
        <v>442</v>
      </c>
      <c r="C53" s="54" t="n">
        <v>102138</v>
      </c>
      <c r="D53" s="54" t="n">
        <v>58120</v>
      </c>
      <c r="E53" s="54" t="n">
        <v>12903</v>
      </c>
      <c r="F53" s="54" t="n">
        <v>176208</v>
      </c>
      <c r="G53" s="54" t="n">
        <v>75155</v>
      </c>
      <c r="H53" s="54" t="n">
        <v>29056</v>
      </c>
      <c r="I53" s="55" t="n">
        <f aca="false">SUM(C53:H53)</f>
        <v>453580</v>
      </c>
      <c r="J53" s="54" t="n">
        <v>11728</v>
      </c>
      <c r="K53" s="56" t="n">
        <v>741648.82</v>
      </c>
      <c r="L53" s="54" t="n">
        <v>22286</v>
      </c>
      <c r="M53" s="56" t="n">
        <v>362513.58</v>
      </c>
      <c r="N53" s="56" t="n">
        <v>173407.58</v>
      </c>
      <c r="O53" s="54" t="n">
        <v>5524</v>
      </c>
      <c r="P53" s="56" t="n">
        <v>40789.42</v>
      </c>
      <c r="Q53" s="56" t="n">
        <v>16883.73</v>
      </c>
      <c r="R53" s="56" t="n">
        <v>2557.86</v>
      </c>
      <c r="S53" s="27"/>
      <c r="T53" s="27"/>
      <c r="U53" s="57" t="n">
        <f aca="false">IFERROR(J53/I53,0)</f>
        <v>0.0258565192468804</v>
      </c>
      <c r="V53" s="58" t="n">
        <f aca="false">IFERROR(K53/J53,0)</f>
        <v>63.2374505457026</v>
      </c>
      <c r="W53" s="59" t="n">
        <f aca="false">IFERROR(L53/J53,0)</f>
        <v>1.90023874488404</v>
      </c>
      <c r="X53" s="22" t="n">
        <f aca="false">IFERROR(M53/(K53+M53),0)</f>
        <v>0.32831545432085</v>
      </c>
      <c r="Y53" s="22" t="n">
        <f aca="false">IFERROR(N53/K53,0)</f>
        <v>0.233813599271957</v>
      </c>
      <c r="Z53" s="22" t="n">
        <f aca="false">IFERROR(O53/J53,0)</f>
        <v>0.471009549795362</v>
      </c>
      <c r="AA53" s="58" t="n">
        <f aca="false">IFERROR(P53/C53,0)</f>
        <v>0.399355969374767</v>
      </c>
      <c r="AB53" s="58" t="n">
        <f aca="false">IFERROR(Q53/D53,0)</f>
        <v>0.290497763248451</v>
      </c>
      <c r="AC53" s="58" t="n">
        <f aca="false">IFERROR(R53/E53,0)</f>
        <v>0.198237619158335</v>
      </c>
      <c r="AD53" s="57" t="n">
        <f aca="false">IFERROR(F53/F$58,0)</f>
        <v>0.0310931132939611</v>
      </c>
      <c r="AE53" s="57" t="n">
        <f aca="false">IFERROR(G53/G$58,0)</f>
        <v>0.0438952821113657</v>
      </c>
      <c r="AF53" s="57" t="n">
        <f aca="false">IFERROR(H53/H$58,0)</f>
        <v>0.0295223947929388</v>
      </c>
      <c r="AG53" s="57" t="n">
        <f aca="false">IFERROR(P53/P$58,0)</f>
        <v>0.0291759493914897</v>
      </c>
      <c r="AH53" s="57" t="n">
        <f aca="false">IFERROR(Q53/Q$58,0)</f>
        <v>0.0302332201467559</v>
      </c>
      <c r="AI53" s="57" t="n">
        <f aca="false">IFERROR(R53/R$58,0)</f>
        <v>0.031402193264929</v>
      </c>
      <c r="AJ53" s="49" t="n">
        <f aca="false">K53-N53</f>
        <v>568241.24</v>
      </c>
      <c r="AK53" s="57" t="n">
        <f aca="false">IFERROR(I53/I$58,0)</f>
        <v>0.0317975411200785</v>
      </c>
    </row>
    <row r="54" customFormat="false" ht="15" hidden="false" customHeight="false" outlineLevel="0" collapsed="false">
      <c r="A54" s="13" t="n">
        <v>49</v>
      </c>
      <c r="B54" s="53" t="s">
        <v>443</v>
      </c>
      <c r="C54" s="54" t="n">
        <v>91778</v>
      </c>
      <c r="D54" s="54" t="n">
        <v>48670</v>
      </c>
      <c r="E54" s="54" t="n">
        <v>10284</v>
      </c>
      <c r="F54" s="54" t="n">
        <v>142040</v>
      </c>
      <c r="G54" s="54" t="n">
        <v>62110</v>
      </c>
      <c r="H54" s="54" t="n">
        <v>24204</v>
      </c>
      <c r="I54" s="55" t="n">
        <f aca="false">SUM(C54:H54)</f>
        <v>379086</v>
      </c>
      <c r="J54" s="54" t="n">
        <v>9402</v>
      </c>
      <c r="K54" s="56" t="n">
        <v>589385.42</v>
      </c>
      <c r="L54" s="54" t="n">
        <v>18010</v>
      </c>
      <c r="M54" s="56" t="n">
        <v>256083.93</v>
      </c>
      <c r="N54" s="56" t="n">
        <v>136190.79</v>
      </c>
      <c r="O54" s="54" t="n">
        <v>4005</v>
      </c>
      <c r="P54" s="56" t="n">
        <v>37627.7</v>
      </c>
      <c r="Q54" s="56" t="n">
        <v>13820.33</v>
      </c>
      <c r="R54" s="56" t="n">
        <v>1947.6</v>
      </c>
      <c r="S54" s="27"/>
      <c r="T54" s="27"/>
      <c r="U54" s="57" t="n">
        <f aca="false">IFERROR(J54/I54,0)</f>
        <v>0.0248017600227917</v>
      </c>
      <c r="V54" s="58" t="n">
        <f aca="false">IFERROR(K54/J54,0)</f>
        <v>62.6872388853436</v>
      </c>
      <c r="W54" s="59" t="n">
        <f aca="false">IFERROR(L54/J54,0)</f>
        <v>1.91554988300362</v>
      </c>
      <c r="X54" s="22" t="n">
        <f aca="false">IFERROR(M54/(K54+M54),0)</f>
        <v>0.302889667141689</v>
      </c>
      <c r="Y54" s="22" t="n">
        <f aca="false">IFERROR(N54/K54,0)</f>
        <v>0.231072546721634</v>
      </c>
      <c r="Z54" s="22" t="n">
        <f aca="false">IFERROR(O54/J54,0)</f>
        <v>0.425973197192087</v>
      </c>
      <c r="AA54" s="58" t="n">
        <f aca="false">IFERROR(P54/C54,0)</f>
        <v>0.409986053302534</v>
      </c>
      <c r="AB54" s="58" t="n">
        <f aca="false">IFERROR(Q54/D54,0)</f>
        <v>0.283959934251079</v>
      </c>
      <c r="AC54" s="58" t="n">
        <f aca="false">IFERROR(R54/E54,0)</f>
        <v>0.189381563593932</v>
      </c>
      <c r="AD54" s="57" t="n">
        <f aca="false">IFERROR(F54/F$58,0)</f>
        <v>0.0250639347377771</v>
      </c>
      <c r="AE54" s="57" t="n">
        <f aca="false">IFERROR(G54/G$58,0)</f>
        <v>0.0362761755297309</v>
      </c>
      <c r="AF54" s="57" t="n">
        <f aca="false">IFERROR(H54/H$58,0)</f>
        <v>0.0245925125126752</v>
      </c>
      <c r="AG54" s="57" t="n">
        <f aca="false">IFERROR(P54/P$58,0)</f>
        <v>0.0269144270969814</v>
      </c>
      <c r="AH54" s="57" t="n">
        <f aca="false">IFERROR(Q54/Q$58,0)</f>
        <v>0.0247476759810075</v>
      </c>
      <c r="AI54" s="57" t="n">
        <f aca="false">IFERROR(R54/R$58,0)</f>
        <v>0.0239101872670027</v>
      </c>
      <c r="AJ54" s="49" t="n">
        <f aca="false">K54-N54</f>
        <v>453194.63</v>
      </c>
      <c r="AK54" s="57" t="n">
        <f aca="false">IFERROR(I54/I$58,0)</f>
        <v>0.0265752517153448</v>
      </c>
    </row>
    <row r="55" customFormat="false" ht="15" hidden="false" customHeight="false" outlineLevel="0" collapsed="false">
      <c r="A55" s="13" t="n">
        <v>50</v>
      </c>
      <c r="B55" s="53" t="s">
        <v>443</v>
      </c>
      <c r="C55" s="54" t="n">
        <v>70224</v>
      </c>
      <c r="D55" s="54" t="n">
        <v>37752</v>
      </c>
      <c r="E55" s="54" t="n">
        <v>8373</v>
      </c>
      <c r="F55" s="54" t="n">
        <v>120553</v>
      </c>
      <c r="G55" s="54" t="n">
        <v>31071</v>
      </c>
      <c r="H55" s="54" t="n">
        <v>19333</v>
      </c>
      <c r="I55" s="55" t="n">
        <f aca="false">SUM(C55:H55)</f>
        <v>287306</v>
      </c>
      <c r="J55" s="54" t="n">
        <v>6425</v>
      </c>
      <c r="K55" s="56" t="n">
        <v>403255.89</v>
      </c>
      <c r="L55" s="54" t="n">
        <v>11981</v>
      </c>
      <c r="M55" s="56" t="n">
        <v>153852.58</v>
      </c>
      <c r="N55" s="56" t="n">
        <v>96695.39</v>
      </c>
      <c r="O55" s="54" t="n">
        <v>2743</v>
      </c>
      <c r="P55" s="56" t="n">
        <v>28822.07</v>
      </c>
      <c r="Q55" s="56" t="n">
        <v>10226.71</v>
      </c>
      <c r="R55" s="56" t="n">
        <v>1556.37</v>
      </c>
      <c r="S55" s="27"/>
      <c r="T55" s="27"/>
      <c r="U55" s="57" t="n">
        <f aca="false">IFERROR(J55/I55,0)</f>
        <v>0.0223629161938839</v>
      </c>
      <c r="V55" s="58" t="n">
        <f aca="false">IFERROR(K55/J55,0)</f>
        <v>62.7635626459144</v>
      </c>
      <c r="W55" s="59" t="n">
        <f aca="false">IFERROR(L55/J55,0)</f>
        <v>1.86474708171206</v>
      </c>
      <c r="X55" s="22" t="n">
        <f aca="false">IFERROR(M55/(K55+M55),0)</f>
        <v>0.276162701313803</v>
      </c>
      <c r="Y55" s="22" t="n">
        <f aca="false">IFERROR(N55/K55,0)</f>
        <v>0.239786677387403</v>
      </c>
      <c r="Z55" s="22" t="n">
        <f aca="false">IFERROR(O55/J55,0)</f>
        <v>0.426926070038911</v>
      </c>
      <c r="AA55" s="58" t="n">
        <f aca="false">IFERROR(P55/C55,0)</f>
        <v>0.410430479608111</v>
      </c>
      <c r="AB55" s="58" t="n">
        <f aca="false">IFERROR(Q55/D55,0)</f>
        <v>0.270891873278237</v>
      </c>
      <c r="AC55" s="58" t="n">
        <f aca="false">IFERROR(R55/E55,0)</f>
        <v>0.18587961304192</v>
      </c>
      <c r="AD55" s="57" t="n">
        <f aca="false">IFERROR(F55/F$58,0)</f>
        <v>0.0212724058324644</v>
      </c>
      <c r="AE55" s="57" t="n">
        <f aca="false">IFERROR(G55/G$58,0)</f>
        <v>0.0181474327786873</v>
      </c>
      <c r="AF55" s="57" t="n">
        <f aca="false">IFERROR(H55/H$58,0)</f>
        <v>0.0196433252523364</v>
      </c>
      <c r="AG55" s="57" t="n">
        <f aca="false">IFERROR(P55/P$58,0)</f>
        <v>0.0206159159820849</v>
      </c>
      <c r="AH55" s="57" t="n">
        <f aca="false">IFERROR(Q55/Q$58,0)</f>
        <v>0.018312681783411</v>
      </c>
      <c r="AI55" s="57" t="n">
        <f aca="false">IFERROR(R55/R$58,0)</f>
        <v>0.0191071565807892</v>
      </c>
      <c r="AJ55" s="49" t="n">
        <f aca="false">K55-N55</f>
        <v>306560.5</v>
      </c>
      <c r="AK55" s="57" t="n">
        <f aca="false">IFERROR(I55/I$58,0)</f>
        <v>0.0201411533776738</v>
      </c>
    </row>
    <row r="56" customFormat="false" ht="15" hidden="false" customHeight="false" outlineLevel="0" collapsed="false">
      <c r="A56" s="13" t="n">
        <v>51</v>
      </c>
      <c r="B56" s="53"/>
      <c r="C56" s="54" t="n">
        <v>52782</v>
      </c>
      <c r="D56" s="54" t="n">
        <v>29485</v>
      </c>
      <c r="E56" s="54" t="n">
        <v>6918</v>
      </c>
      <c r="F56" s="54" t="n">
        <v>85715</v>
      </c>
      <c r="G56" s="54" t="n">
        <v>25151</v>
      </c>
      <c r="H56" s="54" t="n">
        <v>15700</v>
      </c>
      <c r="I56" s="55" t="n">
        <f aca="false">SUM(C56:H56)</f>
        <v>215751</v>
      </c>
      <c r="J56" s="54" t="n">
        <v>4575</v>
      </c>
      <c r="K56" s="56" t="n">
        <v>318294.41</v>
      </c>
      <c r="L56" s="54" t="n">
        <v>8770</v>
      </c>
      <c r="M56" s="56" t="n">
        <v>39639.81</v>
      </c>
      <c r="N56" s="56" t="n">
        <v>85654.37</v>
      </c>
      <c r="O56" s="54" t="n">
        <v>1525</v>
      </c>
      <c r="P56" s="56" t="n">
        <v>21101.28</v>
      </c>
      <c r="Q56" s="56" t="n">
        <v>8369.31</v>
      </c>
      <c r="R56" s="56" t="n">
        <v>1306.25</v>
      </c>
      <c r="S56" s="27"/>
      <c r="T56" s="27"/>
      <c r="U56" s="57" t="n">
        <f aca="false">IFERROR(J56/I56,0)</f>
        <v>0.0212050002085738</v>
      </c>
      <c r="V56" s="58" t="n">
        <f aca="false">IFERROR(K56/J56,0)</f>
        <v>69.5725486338798</v>
      </c>
      <c r="W56" s="59" t="n">
        <f aca="false">IFERROR(L56/J56,0)</f>
        <v>1.91693989071038</v>
      </c>
      <c r="X56" s="22" t="n">
        <f aca="false">IFERROR(M56/(K56+M56),0)</f>
        <v>0.110746075074912</v>
      </c>
      <c r="Y56" s="22" t="n">
        <f aca="false">IFERROR(N56/K56,0)</f>
        <v>0.269104223350954</v>
      </c>
      <c r="Z56" s="22" t="n">
        <f aca="false">IFERROR(O56/J56,0)</f>
        <v>0.333333333333333</v>
      </c>
      <c r="AA56" s="58" t="n">
        <f aca="false">IFERROR(P56/C56,0)</f>
        <v>0.399781743776287</v>
      </c>
      <c r="AB56" s="58" t="n">
        <f aca="false">IFERROR(Q56/D56,0)</f>
        <v>0.28384975411226</v>
      </c>
      <c r="AC56" s="58" t="n">
        <f aca="false">IFERROR(R56/E56,0)</f>
        <v>0.188819022838971</v>
      </c>
      <c r="AD56" s="57" t="n">
        <f aca="false">IFERROR(F56/F$58,0)</f>
        <v>0.0151250011690268</v>
      </c>
      <c r="AE56" s="57" t="n">
        <f aca="false">IFERROR(G56/G$58,0)</f>
        <v>0.0146897776645993</v>
      </c>
      <c r="AF56" s="57" t="n">
        <f aca="false">IFERROR(H56/H$58,0)</f>
        <v>0.0159520098516361</v>
      </c>
      <c r="AG56" s="57" t="n">
        <f aca="false">IFERROR(P56/P$58,0)</f>
        <v>0.0150933716972601</v>
      </c>
      <c r="AH56" s="57" t="n">
        <f aca="false">IFERROR(Q56/Q$58,0)</f>
        <v>0.0149866878768167</v>
      </c>
      <c r="AI56" s="57" t="n">
        <f aca="false">IFERROR(R56/R$58,0)</f>
        <v>0.0160364972876989</v>
      </c>
      <c r="AJ56" s="49" t="n">
        <f aca="false">K56-N56</f>
        <v>232640.04</v>
      </c>
      <c r="AK56" s="57" t="n">
        <f aca="false">IFERROR(I56/I$58,0)</f>
        <v>0.0151248981308657</v>
      </c>
    </row>
    <row r="57" customFormat="false" ht="15" hidden="false" customHeight="false" outlineLevel="0" collapsed="false">
      <c r="A57" s="13" t="n">
        <v>52</v>
      </c>
      <c r="B57" s="53"/>
      <c r="C57" s="54" t="n">
        <v>52009</v>
      </c>
      <c r="D57" s="54" t="n">
        <v>32565</v>
      </c>
      <c r="E57" s="54" t="n">
        <v>6761</v>
      </c>
      <c r="F57" s="54" t="n">
        <v>89543</v>
      </c>
      <c r="G57" s="54" t="n">
        <v>23975</v>
      </c>
      <c r="H57" s="54" t="n">
        <v>14972</v>
      </c>
      <c r="I57" s="55" t="n">
        <f aca="false">SUM(C57:H57)</f>
        <v>219825</v>
      </c>
      <c r="J57" s="54" t="n">
        <v>4652</v>
      </c>
      <c r="K57" s="56" t="n">
        <v>331347.86</v>
      </c>
      <c r="L57" s="54" t="n">
        <v>8488</v>
      </c>
      <c r="M57" s="56" t="n">
        <v>27487.28</v>
      </c>
      <c r="N57" s="56" t="n">
        <v>84742.1</v>
      </c>
      <c r="O57" s="54" t="n">
        <v>1668</v>
      </c>
      <c r="P57" s="56" t="n">
        <v>20693.04</v>
      </c>
      <c r="Q57" s="56" t="n">
        <v>9500.52</v>
      </c>
      <c r="R57" s="56" t="n">
        <v>1276.15</v>
      </c>
      <c r="S57" s="27"/>
      <c r="T57" s="27"/>
      <c r="U57" s="57" t="n">
        <f aca="false">IFERROR(J57/I57,0)</f>
        <v>0.0211622881837826</v>
      </c>
      <c r="V57" s="58" t="n">
        <f aca="false">IFERROR(K57/J57,0)</f>
        <v>71.2269690455718</v>
      </c>
      <c r="W57" s="59" t="n">
        <f aca="false">IFERROR(L57/J57,0)</f>
        <v>1.82459157351677</v>
      </c>
      <c r="X57" s="22" t="n">
        <f aca="false">IFERROR(M57/(K57+M57),0)</f>
        <v>0.0766014164610523</v>
      </c>
      <c r="Y57" s="22" t="n">
        <f aca="false">IFERROR(N57/K57,0)</f>
        <v>0.255749652344216</v>
      </c>
      <c r="Z57" s="22" t="n">
        <f aca="false">IFERROR(O57/J57,0)</f>
        <v>0.358555460017197</v>
      </c>
      <c r="AA57" s="58" t="n">
        <f aca="false">IFERROR(P57/C57,0)</f>
        <v>0.397874214078333</v>
      </c>
      <c r="AB57" s="58" t="n">
        <f aca="false">IFERROR(Q57/D57,0)</f>
        <v>0.291740211883924</v>
      </c>
      <c r="AC57" s="58" t="n">
        <f aca="false">IFERROR(R57/E57,0)</f>
        <v>0.188751663955036</v>
      </c>
      <c r="AD57" s="57" t="n">
        <f aca="false">IFERROR(F57/F$58,0)</f>
        <v>0.0158004780922612</v>
      </c>
      <c r="AE57" s="57" t="n">
        <f aca="false">IFERROR(G57/G$58,0)</f>
        <v>0.0140029191486926</v>
      </c>
      <c r="AF57" s="57" t="n">
        <f aca="false">IFERROR(H57/H$58,0)</f>
        <v>0.01521232429928</v>
      </c>
      <c r="AG57" s="57" t="n">
        <f aca="false">IFERROR(P57/P$58,0)</f>
        <v>0.0148013648587323</v>
      </c>
      <c r="AH57" s="57" t="n">
        <f aca="false">IFERROR(Q57/Q$58,0)</f>
        <v>0.0170123137878098</v>
      </c>
      <c r="AI57" s="57" t="n">
        <f aca="false">IFERROR(R57/R$58,0)</f>
        <v>0.015666967283213</v>
      </c>
      <c r="AJ57" s="49" t="n">
        <f aca="false">K57-N57</f>
        <v>246605.76</v>
      </c>
      <c r="AK57" s="57" t="n">
        <f aca="false">IFERROR(I57/I$58,0)</f>
        <v>0.0154104997502563</v>
      </c>
    </row>
    <row r="58" customFormat="false" ht="15" hidden="false" customHeight="false" outlineLevel="0" collapsed="false">
      <c r="A58" s="60" t="s">
        <v>483</v>
      </c>
      <c r="B58" s="61"/>
      <c r="C58" s="62" t="n">
        <f aca="false">SUM(C6:C57)</f>
        <v>3501147</v>
      </c>
      <c r="D58" s="62" t="n">
        <f aca="false">SUM(D6:D57)</f>
        <v>1974066</v>
      </c>
      <c r="E58" s="62" t="n">
        <f aca="false">SUM(E6:E57)</f>
        <v>425960</v>
      </c>
      <c r="F58" s="62" t="n">
        <f aca="false">SUM(F6:F57)</f>
        <v>5667107</v>
      </c>
      <c r="G58" s="62" t="n">
        <f aca="false">SUM(G6:G57)</f>
        <v>1712143</v>
      </c>
      <c r="H58" s="62" t="n">
        <f aca="false">SUM(H6:H57)</f>
        <v>984202</v>
      </c>
      <c r="I58" s="62" t="n">
        <f aca="false">SUM(I6:I57)</f>
        <v>14264625</v>
      </c>
      <c r="J58" s="62" t="n">
        <f aca="false">SUM(J6:J57)</f>
        <v>308080</v>
      </c>
      <c r="K58" s="63" t="n">
        <f aca="false">SUM(K6:K57)</f>
        <v>21161290.82</v>
      </c>
      <c r="L58" s="62" t="n">
        <f aca="false">SUM(L6:L57)</f>
        <v>586343</v>
      </c>
      <c r="M58" s="63" t="n">
        <f aca="false">SUM(M6:M57)</f>
        <v>3494275.99</v>
      </c>
      <c r="N58" s="63" t="n">
        <f aca="false">SUM(N6:N57)</f>
        <v>5478014.72</v>
      </c>
      <c r="O58" s="62" t="n">
        <f aca="false">SUM(O6:O57)</f>
        <v>117080</v>
      </c>
      <c r="P58" s="63" t="n">
        <f aca="false">SUM(P6:P57)</f>
        <v>1398049.45</v>
      </c>
      <c r="Q58" s="63" t="n">
        <f aca="false">SUM(Q6:Q57)</f>
        <v>558449.61</v>
      </c>
      <c r="R58" s="63" t="n">
        <f aca="false">SUM(R6:R57)</f>
        <v>81454.82</v>
      </c>
      <c r="S58" s="61"/>
      <c r="T58" s="61"/>
      <c r="U58" s="64" t="n">
        <f aca="false">IFERROR(J58/I58,0)</f>
        <v>0.021597483284699</v>
      </c>
      <c r="V58" s="65" t="n">
        <f aca="false">IFERROR(K58/J58,0)</f>
        <v>68.6876487276032</v>
      </c>
      <c r="W58" s="66" t="n">
        <f aca="false">IFERROR(L58/J58,0)</f>
        <v>1.90321669696183</v>
      </c>
      <c r="X58" s="67" t="n">
        <f aca="false">IFERROR(M58/(K58+M58),0)</f>
        <v>0.141723612234409</v>
      </c>
      <c r="Y58" s="67" t="n">
        <f aca="false">IFERROR(N58/K58,0)</f>
        <v>0.258869591963767</v>
      </c>
      <c r="Z58" s="67" t="n">
        <f aca="false">IFERROR(O58/J58,0)</f>
        <v>0.380031160737471</v>
      </c>
      <c r="AA58" s="65" t="n">
        <f aca="false">IFERROR(P58/C58,0)</f>
        <v>0.399311839805641</v>
      </c>
      <c r="AB58" s="65" t="n">
        <f aca="false">IFERROR(Q58/D58,0)</f>
        <v>0.282893079562689</v>
      </c>
      <c r="AC58" s="65" t="n">
        <f aca="false">IFERROR(R58/E58,0)</f>
        <v>0.191226453188093</v>
      </c>
      <c r="AD58" s="68"/>
      <c r="AE58" s="68"/>
      <c r="AF58" s="68"/>
      <c r="AG58" s="68"/>
      <c r="AH58" s="68"/>
      <c r="AI58" s="68"/>
      <c r="AJ58" s="63" t="n">
        <f aca="false">SUM(AJ6:AJ57)</f>
        <v>15683276.1</v>
      </c>
      <c r="AK58" s="68"/>
    </row>
  </sheetData>
  <sheetProtection sheet="true" formatColumns="false" formatRows="false"/>
  <dataValidations count="1">
    <dataValidation allowBlank="true" errorStyle="stop" operator="between" showDropDown="false" showErrorMessage="false" showInputMessage="false" sqref="S6:S57" type="list">
      <formula1>"Y"</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42"/>
    <col collapsed="false" customWidth="true" hidden="false" outlineLevel="0" max="3" min="3" style="0" width="24"/>
    <col collapsed="false" customWidth="true" hidden="false" outlineLevel="0" max="4" min="4" style="0" width="10"/>
    <col collapsed="false" customWidth="true" hidden="false" outlineLevel="0" max="5" min="5" style="0" width="16"/>
    <col collapsed="false" customWidth="true" hidden="false" outlineLevel="0" max="6" min="6" style="0" width="10"/>
    <col collapsed="false" customWidth="true" hidden="false" outlineLevel="0" max="7" min="7" style="0" width="16"/>
    <col collapsed="false" customWidth="true" hidden="false" outlineLevel="0" max="8" min="8" style="0" width="20"/>
    <col collapsed="false" customWidth="true" hidden="false" outlineLevel="0" max="9" min="9" style="0" width="30"/>
  </cols>
  <sheetData>
    <row r="1" customFormat="false" ht="17.35" hidden="false" customHeight="false" outlineLevel="0" collapsed="false">
      <c r="A1" s="1" t="s">
        <v>490</v>
      </c>
    </row>
    <row r="2" customFormat="false" ht="15" hidden="false" customHeight="false" outlineLevel="0" collapsed="false">
      <c r="A2" s="2" t="s">
        <v>491</v>
      </c>
    </row>
    <row r="5" customFormat="false" ht="42" hidden="false" customHeight="true" outlineLevel="0" collapsed="false">
      <c r="A5" s="19" t="s">
        <v>492</v>
      </c>
      <c r="B5" s="19" t="s">
        <v>493</v>
      </c>
      <c r="C5" s="19" t="s">
        <v>290</v>
      </c>
      <c r="D5" s="19" t="s">
        <v>494</v>
      </c>
      <c r="E5" s="19" t="s">
        <v>495</v>
      </c>
      <c r="F5" s="19" t="s">
        <v>496</v>
      </c>
      <c r="G5" s="19" t="s">
        <v>497</v>
      </c>
      <c r="H5" s="19" t="s">
        <v>137</v>
      </c>
      <c r="I5" s="19" t="s">
        <v>264</v>
      </c>
    </row>
    <row r="6" customFormat="false" ht="15" hidden="false" customHeight="false" outlineLevel="0" collapsed="false">
      <c r="A6" s="27" t="s">
        <v>498</v>
      </c>
      <c r="B6" s="27" t="s">
        <v>140</v>
      </c>
      <c r="C6" s="27" t="s">
        <v>499</v>
      </c>
      <c r="D6" s="27" t="n">
        <v>1</v>
      </c>
      <c r="E6" s="45" t="n">
        <v>95000</v>
      </c>
      <c r="F6" s="43" t="n">
        <v>0.15</v>
      </c>
      <c r="G6" s="49" t="n">
        <f aca="false">D6*E6*(1+F6)</f>
        <v>109250</v>
      </c>
      <c r="H6" s="37"/>
      <c r="I6" s="27" t="s">
        <v>500</v>
      </c>
    </row>
    <row r="7" customFormat="false" ht="15" hidden="false" customHeight="false" outlineLevel="0" collapsed="false">
      <c r="A7" s="27" t="s">
        <v>498</v>
      </c>
      <c r="B7" s="27" t="s">
        <v>143</v>
      </c>
      <c r="C7" s="27" t="s">
        <v>499</v>
      </c>
      <c r="D7" s="27" t="n">
        <v>1</v>
      </c>
      <c r="E7" s="45" t="n">
        <v>55000</v>
      </c>
      <c r="F7" s="43" t="n">
        <v>0.15</v>
      </c>
      <c r="G7" s="49" t="n">
        <f aca="false">D7*E7*(1+F7)</f>
        <v>63250</v>
      </c>
      <c r="H7" s="37"/>
      <c r="I7" s="27" t="s">
        <v>500</v>
      </c>
    </row>
    <row r="8" customFormat="false" ht="15" hidden="false" customHeight="false" outlineLevel="0" collapsed="false">
      <c r="A8" s="27" t="s">
        <v>498</v>
      </c>
      <c r="B8" s="27" t="s">
        <v>146</v>
      </c>
      <c r="C8" s="27" t="s">
        <v>499</v>
      </c>
      <c r="D8" s="27" t="n">
        <v>1</v>
      </c>
      <c r="E8" s="45" t="n">
        <v>55000</v>
      </c>
      <c r="F8" s="43" t="n">
        <v>0.15</v>
      </c>
      <c r="G8" s="49" t="n">
        <f aca="false">D8*E8*(1+F8)</f>
        <v>63250</v>
      </c>
      <c r="H8" s="37"/>
      <c r="I8" s="27" t="s">
        <v>500</v>
      </c>
    </row>
    <row r="9" customFormat="false" ht="15" hidden="false" customHeight="false" outlineLevel="0" collapsed="false">
      <c r="A9" s="27" t="s">
        <v>498</v>
      </c>
      <c r="B9" s="27" t="s">
        <v>501</v>
      </c>
      <c r="C9" s="27" t="s">
        <v>499</v>
      </c>
      <c r="D9" s="27" t="n">
        <v>2</v>
      </c>
      <c r="E9" s="45" t="n">
        <v>35000</v>
      </c>
      <c r="F9" s="43" t="n">
        <v>0.15</v>
      </c>
      <c r="G9" s="49" t="n">
        <f aca="false">D9*E9*(1+F9)</f>
        <v>80500</v>
      </c>
      <c r="H9" s="37"/>
      <c r="I9" s="27" t="s">
        <v>500</v>
      </c>
    </row>
    <row r="10" customFormat="false" ht="15" hidden="false" customHeight="false" outlineLevel="0" collapsed="false">
      <c r="A10" s="27" t="s">
        <v>498</v>
      </c>
      <c r="B10" s="27" t="s">
        <v>322</v>
      </c>
      <c r="C10" s="27" t="s">
        <v>499</v>
      </c>
      <c r="D10" s="27" t="n">
        <v>1</v>
      </c>
      <c r="E10" s="45" t="n">
        <v>45000</v>
      </c>
      <c r="F10" s="43" t="n">
        <v>0.15</v>
      </c>
      <c r="G10" s="49" t="n">
        <f aca="false">D10*E10*(1+F10)</f>
        <v>51750</v>
      </c>
      <c r="H10" s="37"/>
      <c r="I10" s="27" t="s">
        <v>500</v>
      </c>
    </row>
    <row r="11" customFormat="false" ht="15" hidden="false" customHeight="false" outlineLevel="0" collapsed="false">
      <c r="A11" s="27" t="s">
        <v>498</v>
      </c>
      <c r="B11" s="27" t="s">
        <v>502</v>
      </c>
      <c r="C11" s="27" t="s">
        <v>499</v>
      </c>
      <c r="D11" s="27" t="n">
        <v>1</v>
      </c>
      <c r="E11" s="45" t="n">
        <v>42000</v>
      </c>
      <c r="F11" s="43" t="n">
        <v>0.15</v>
      </c>
      <c r="G11" s="49" t="n">
        <f aca="false">D11*E11*(1+F11)</f>
        <v>48300</v>
      </c>
      <c r="H11" s="37"/>
      <c r="I11" s="27" t="s">
        <v>500</v>
      </c>
    </row>
    <row r="12" customFormat="false" ht="15" hidden="false" customHeight="false" outlineLevel="0" collapsed="false">
      <c r="A12" s="27" t="s">
        <v>498</v>
      </c>
      <c r="B12" s="27" t="s">
        <v>503</v>
      </c>
      <c r="C12" s="27" t="s">
        <v>499</v>
      </c>
      <c r="D12" s="27" t="n">
        <v>2</v>
      </c>
      <c r="E12" s="45" t="n">
        <v>30000</v>
      </c>
      <c r="F12" s="43" t="n">
        <v>0.15</v>
      </c>
      <c r="G12" s="49" t="n">
        <f aca="false">D12*E12*(1+F12)</f>
        <v>69000</v>
      </c>
      <c r="H12" s="37"/>
      <c r="I12" s="27" t="s">
        <v>500</v>
      </c>
    </row>
    <row r="13" customFormat="false" ht="15" hidden="false" customHeight="false" outlineLevel="0" collapsed="false">
      <c r="A13" s="27" t="s">
        <v>504</v>
      </c>
      <c r="B13" s="27" t="s">
        <v>505</v>
      </c>
      <c r="C13" s="27" t="s">
        <v>506</v>
      </c>
      <c r="D13" s="27" t="n">
        <v>1</v>
      </c>
      <c r="E13" s="45" t="n">
        <v>120000</v>
      </c>
      <c r="F13" s="43" t="n">
        <v>0</v>
      </c>
      <c r="G13" s="49" t="n">
        <f aca="false">D13*E13*(1+F13)</f>
        <v>120000</v>
      </c>
      <c r="H13" s="37"/>
      <c r="I13" s="27" t="s">
        <v>500</v>
      </c>
    </row>
    <row r="14" customFormat="false" ht="15" hidden="false" customHeight="false" outlineLevel="0" collapsed="false">
      <c r="A14" s="27" t="s">
        <v>504</v>
      </c>
      <c r="B14" s="27" t="s">
        <v>507</v>
      </c>
      <c r="C14" s="27" t="s">
        <v>508</v>
      </c>
      <c r="D14" s="27" t="n">
        <v>1</v>
      </c>
      <c r="E14" s="45" t="n">
        <v>30000</v>
      </c>
      <c r="F14" s="43" t="n">
        <v>0</v>
      </c>
      <c r="G14" s="49" t="n">
        <f aca="false">D14*E14*(1+F14)</f>
        <v>30000</v>
      </c>
      <c r="H14" s="37"/>
      <c r="I14" s="27" t="s">
        <v>500</v>
      </c>
    </row>
    <row r="15" customFormat="false" ht="15" hidden="false" customHeight="false" outlineLevel="0" collapsed="false">
      <c r="A15" s="27" t="s">
        <v>504</v>
      </c>
      <c r="B15" s="27" t="s">
        <v>509</v>
      </c>
      <c r="C15" s="27" t="s">
        <v>506</v>
      </c>
      <c r="D15" s="27" t="n">
        <v>1</v>
      </c>
      <c r="E15" s="45" t="n">
        <v>24000</v>
      </c>
      <c r="F15" s="43" t="n">
        <v>0</v>
      </c>
      <c r="G15" s="49" t="n">
        <f aca="false">D15*E15*(1+F15)</f>
        <v>24000</v>
      </c>
      <c r="H15" s="37"/>
      <c r="I15" s="27" t="s">
        <v>500</v>
      </c>
    </row>
    <row r="16" customFormat="false" ht="15" hidden="false" customHeight="false" outlineLevel="0" collapsed="false">
      <c r="A16" s="27" t="s">
        <v>504</v>
      </c>
      <c r="B16" s="27" t="s">
        <v>510</v>
      </c>
      <c r="C16" s="27" t="s">
        <v>511</v>
      </c>
      <c r="D16" s="27" t="n">
        <v>1</v>
      </c>
      <c r="E16" s="45" t="n">
        <v>150000</v>
      </c>
      <c r="F16" s="43" t="n">
        <v>0</v>
      </c>
      <c r="G16" s="49" t="n">
        <f aca="false">D16*E16*(1+F16)</f>
        <v>150000</v>
      </c>
      <c r="H16" s="37"/>
      <c r="I16" s="27" t="s">
        <v>500</v>
      </c>
    </row>
    <row r="17" customFormat="false" ht="15" hidden="false" customHeight="false" outlineLevel="0" collapsed="false">
      <c r="A17" s="27" t="s">
        <v>504</v>
      </c>
      <c r="B17" s="27" t="s">
        <v>512</v>
      </c>
      <c r="C17" s="27" t="s">
        <v>506</v>
      </c>
      <c r="D17" s="27" t="n">
        <v>1</v>
      </c>
      <c r="E17" s="45" t="n">
        <v>45000</v>
      </c>
      <c r="F17" s="43" t="n">
        <v>0</v>
      </c>
      <c r="G17" s="49" t="n">
        <f aca="false">D17*E17*(1+F17)</f>
        <v>45000</v>
      </c>
      <c r="H17" s="37"/>
      <c r="I17" s="27" t="s">
        <v>500</v>
      </c>
    </row>
    <row r="18" customFormat="false" ht="15" hidden="false" customHeight="false" outlineLevel="0" collapsed="false">
      <c r="A18" s="27" t="s">
        <v>504</v>
      </c>
      <c r="B18" s="27" t="s">
        <v>513</v>
      </c>
      <c r="C18" s="27" t="s">
        <v>508</v>
      </c>
      <c r="D18" s="27" t="n">
        <v>1</v>
      </c>
      <c r="E18" s="45" t="n">
        <v>25000</v>
      </c>
      <c r="F18" s="43" t="n">
        <v>0</v>
      </c>
      <c r="G18" s="49" t="n">
        <f aca="false">D18*E18*(1+F18)</f>
        <v>25000</v>
      </c>
      <c r="H18" s="37"/>
      <c r="I18" s="27" t="s">
        <v>500</v>
      </c>
    </row>
    <row r="19" customFormat="false" ht="15" hidden="false" customHeight="false" outlineLevel="0" collapsed="false">
      <c r="A19" s="27" t="s">
        <v>514</v>
      </c>
      <c r="B19" s="27" t="s">
        <v>515</v>
      </c>
      <c r="C19" s="27" t="s">
        <v>516</v>
      </c>
      <c r="D19" s="27" t="n">
        <v>12</v>
      </c>
      <c r="E19" s="45" t="n">
        <v>6000</v>
      </c>
      <c r="F19" s="43" t="n">
        <v>0</v>
      </c>
      <c r="G19" s="49" t="n">
        <f aca="false">D19*E19*(1+F19)</f>
        <v>72000</v>
      </c>
      <c r="H19" s="37"/>
      <c r="I19" s="27" t="s">
        <v>500</v>
      </c>
    </row>
    <row r="20" customFormat="false" ht="15" hidden="false" customHeight="false" outlineLevel="0" collapsed="false">
      <c r="A20" s="27" t="s">
        <v>514</v>
      </c>
      <c r="B20" s="27" t="s">
        <v>517</v>
      </c>
      <c r="C20" s="27" t="s">
        <v>516</v>
      </c>
      <c r="D20" s="27" t="n">
        <v>12</v>
      </c>
      <c r="E20" s="45" t="n">
        <v>3000</v>
      </c>
      <c r="F20" s="43" t="n">
        <v>0</v>
      </c>
      <c r="G20" s="49" t="n">
        <f aca="false">D20*E20*(1+F20)</f>
        <v>36000</v>
      </c>
      <c r="H20" s="37"/>
      <c r="I20" s="27" t="s">
        <v>500</v>
      </c>
    </row>
    <row r="21" customFormat="false" ht="15" hidden="false" customHeight="false" outlineLevel="0" collapsed="false">
      <c r="A21" s="27" t="s">
        <v>518</v>
      </c>
      <c r="B21" s="27" t="s">
        <v>519</v>
      </c>
      <c r="C21" s="27" t="s">
        <v>520</v>
      </c>
      <c r="D21" s="27" t="n">
        <v>1</v>
      </c>
      <c r="E21" s="45" t="n">
        <v>180000</v>
      </c>
      <c r="F21" s="43" t="n">
        <v>0</v>
      </c>
      <c r="G21" s="49" t="n">
        <f aca="false">D21*E21*(1+F21)</f>
        <v>180000</v>
      </c>
      <c r="H21" s="37"/>
      <c r="I21" s="27" t="s">
        <v>500</v>
      </c>
    </row>
    <row r="22" customFormat="false" ht="15" hidden="false" customHeight="false" outlineLevel="0" collapsed="false">
      <c r="A22" s="27" t="s">
        <v>521</v>
      </c>
      <c r="B22" s="27" t="s">
        <v>522</v>
      </c>
      <c r="C22" s="27" t="s">
        <v>523</v>
      </c>
      <c r="D22" s="27" t="n">
        <v>1</v>
      </c>
      <c r="E22" s="45" t="n">
        <v>150000</v>
      </c>
      <c r="F22" s="43" t="n">
        <v>0</v>
      </c>
      <c r="G22" s="49" t="n">
        <f aca="false">D22*E22*(1+F22)</f>
        <v>150000</v>
      </c>
      <c r="H22" s="37"/>
      <c r="I22" s="27" t="s">
        <v>500</v>
      </c>
    </row>
    <row r="23" customFormat="false" ht="15" hidden="false" customHeight="false" outlineLevel="0" collapsed="false">
      <c r="A23" s="37"/>
      <c r="B23" s="37"/>
      <c r="C23" s="37"/>
      <c r="D23" s="37"/>
      <c r="E23" s="69"/>
      <c r="F23" s="70"/>
      <c r="G23" s="49" t="n">
        <f aca="false">D23*E23*(1+F23)</f>
        <v>0</v>
      </c>
      <c r="H23" s="37"/>
      <c r="I23" s="37"/>
    </row>
    <row r="24" customFormat="false" ht="15" hidden="false" customHeight="false" outlineLevel="0" collapsed="false">
      <c r="A24" s="37"/>
      <c r="B24" s="37"/>
      <c r="C24" s="37"/>
      <c r="D24" s="37"/>
      <c r="E24" s="69"/>
      <c r="F24" s="70"/>
      <c r="G24" s="49" t="n">
        <f aca="false">D24*E24*(1+F24)</f>
        <v>0</v>
      </c>
      <c r="H24" s="37"/>
      <c r="I24" s="37"/>
    </row>
    <row r="25" customFormat="false" ht="15" hidden="false" customHeight="false" outlineLevel="0" collapsed="false">
      <c r="A25" s="37"/>
      <c r="B25" s="37"/>
      <c r="C25" s="37"/>
      <c r="D25" s="37"/>
      <c r="E25" s="69"/>
      <c r="F25" s="70"/>
      <c r="G25" s="49" t="n">
        <f aca="false">D25*E25*(1+F25)</f>
        <v>0</v>
      </c>
      <c r="H25" s="37"/>
      <c r="I25" s="37"/>
    </row>
    <row r="26" customFormat="false" ht="15" hidden="false" customHeight="false" outlineLevel="0" collapsed="false">
      <c r="A26" s="37"/>
      <c r="B26" s="37"/>
      <c r="C26" s="37"/>
      <c r="D26" s="37"/>
      <c r="E26" s="69"/>
      <c r="F26" s="70"/>
      <c r="G26" s="49" t="n">
        <f aca="false">D26*E26*(1+F26)</f>
        <v>0</v>
      </c>
      <c r="H26" s="37"/>
      <c r="I26" s="37"/>
    </row>
    <row r="27" customFormat="false" ht="15" hidden="false" customHeight="false" outlineLevel="0" collapsed="false">
      <c r="A27" s="37"/>
      <c r="B27" s="37"/>
      <c r="C27" s="37"/>
      <c r="D27" s="37"/>
      <c r="E27" s="69"/>
      <c r="F27" s="70"/>
      <c r="G27" s="49" t="n">
        <f aca="false">D27*E27*(1+F27)</f>
        <v>0</v>
      </c>
      <c r="H27" s="37"/>
      <c r="I27" s="37"/>
    </row>
    <row r="28" customFormat="false" ht="15" hidden="false" customHeight="false" outlineLevel="0" collapsed="false">
      <c r="A28" s="37"/>
      <c r="B28" s="37"/>
      <c r="C28" s="37"/>
      <c r="D28" s="37"/>
      <c r="E28" s="69"/>
      <c r="F28" s="70"/>
      <c r="G28" s="49" t="n">
        <f aca="false">D28*E28*(1+F28)</f>
        <v>0</v>
      </c>
      <c r="H28" s="37"/>
      <c r="I28" s="37"/>
    </row>
    <row r="29" customFormat="false" ht="15" hidden="false" customHeight="false" outlineLevel="0" collapsed="false">
      <c r="A29" s="37"/>
      <c r="B29" s="37"/>
      <c r="C29" s="37"/>
      <c r="D29" s="37"/>
      <c r="E29" s="69"/>
      <c r="F29" s="70"/>
      <c r="G29" s="49" t="n">
        <f aca="false">D29*E29*(1+F29)</f>
        <v>0</v>
      </c>
      <c r="H29" s="37"/>
      <c r="I29" s="37"/>
    </row>
    <row r="30" customFormat="false" ht="15" hidden="false" customHeight="false" outlineLevel="0" collapsed="false">
      <c r="A30" s="37"/>
      <c r="B30" s="37"/>
      <c r="C30" s="37"/>
      <c r="D30" s="37"/>
      <c r="E30" s="69"/>
      <c r="F30" s="70"/>
      <c r="G30" s="49" t="n">
        <f aca="false">D30*E30*(1+F30)</f>
        <v>0</v>
      </c>
      <c r="H30" s="37"/>
      <c r="I30" s="37"/>
    </row>
    <row r="31" customFormat="false" ht="15" hidden="false" customHeight="false" outlineLevel="0" collapsed="false">
      <c r="A31" s="71"/>
      <c r="B31" s="72" t="s">
        <v>524</v>
      </c>
      <c r="C31" s="71"/>
      <c r="D31" s="71"/>
      <c r="E31" s="71"/>
      <c r="F31" s="71"/>
      <c r="G31" s="73" t="n">
        <f aca="false">SUM(G6:G30)</f>
        <v>1317300</v>
      </c>
      <c r="H31" s="71"/>
      <c r="I31" s="71"/>
    </row>
    <row r="32" customFormat="false" ht="15" hidden="false" customHeight="false" outlineLevel="0" collapsed="false">
      <c r="A32" s="71"/>
      <c r="B32" s="72" t="s">
        <v>525</v>
      </c>
      <c r="C32" s="71"/>
      <c r="D32" s="71"/>
      <c r="E32" s="71"/>
      <c r="F32" s="71"/>
      <c r="G32" s="73" t="n">
        <f aca="false">G31/52</f>
        <v>25332.6923076923</v>
      </c>
      <c r="H32" s="71"/>
      <c r="I32" s="71"/>
    </row>
    <row r="34" customFormat="false" ht="15" hidden="false" customHeight="false" outlineLevel="0" collapsed="false">
      <c r="A34" s="13" t="s">
        <v>526</v>
      </c>
    </row>
  </sheetData>
  <sheetProtection sheet="true" formatColumns="false" formatRows="false"/>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V5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2" min="2" style="0" width="11"/>
  </cols>
  <sheetData>
    <row r="1" customFormat="false" ht="17.35" hidden="false" customHeight="false" outlineLevel="0" collapsed="false">
      <c r="A1" s="1" t="s">
        <v>527</v>
      </c>
    </row>
    <row r="2" customFormat="false" ht="15" hidden="false" customHeight="false" outlineLevel="0" collapsed="false">
      <c r="A2" s="2" t="s">
        <v>528</v>
      </c>
    </row>
    <row r="5" customFormat="false" ht="42" hidden="false" customHeight="true" outlineLevel="0" collapsed="false">
      <c r="A5" s="19" t="s">
        <v>410</v>
      </c>
      <c r="B5" s="19" t="s">
        <v>464</v>
      </c>
      <c r="C5" s="19" t="s">
        <v>465</v>
      </c>
      <c r="D5" s="19" t="s">
        <v>466</v>
      </c>
      <c r="E5" s="19" t="s">
        <v>467</v>
      </c>
      <c r="F5" s="19" t="s">
        <v>468</v>
      </c>
      <c r="G5" s="19" t="s">
        <v>469</v>
      </c>
      <c r="H5" s="19" t="s">
        <v>529</v>
      </c>
      <c r="I5" s="19" t="s">
        <v>530</v>
      </c>
      <c r="J5" s="19" t="s">
        <v>531</v>
      </c>
      <c r="K5" s="19" t="s">
        <v>532</v>
      </c>
      <c r="L5" s="19" t="s">
        <v>533</v>
      </c>
      <c r="M5" s="19" t="s">
        <v>534</v>
      </c>
      <c r="N5" s="19" t="s">
        <v>535</v>
      </c>
      <c r="O5" s="19" t="s">
        <v>536</v>
      </c>
      <c r="P5" s="19" t="s">
        <v>537</v>
      </c>
      <c r="Q5" s="19" t="s">
        <v>538</v>
      </c>
      <c r="R5" s="19" t="s">
        <v>539</v>
      </c>
      <c r="S5" s="19" t="s">
        <v>540</v>
      </c>
      <c r="T5" s="19" t="s">
        <v>541</v>
      </c>
      <c r="U5" s="19" t="s">
        <v>542</v>
      </c>
      <c r="V5" s="19" t="s">
        <v>543</v>
      </c>
    </row>
    <row r="6" customFormat="false" ht="15" hidden="false" customHeight="false" outlineLevel="0" collapsed="false">
      <c r="A6" s="13" t="n">
        <v>1</v>
      </c>
      <c r="B6" s="29" t="n">
        <f aca="false">IFERROR((Settings!$B$10*'History Y-1'!U6*('History Y-1'!$S6&lt;&gt;"Y")+Settings!$B$11*'History Y-2'!U6*('History Y-2'!$S6&lt;&gt;"Y")+Settings!$B$12*'History Y-3'!U6*('History Y-3'!$S6&lt;&gt;"Y"))/(Settings!$B$10*('History Y-1'!$S6&lt;&gt;"Y")+Settings!$B$11*('History Y-2'!$S6&lt;&gt;"Y")+Settings!$B$12*('History Y-3'!$S6&lt;&gt;"Y")),'History Y-1'!U6)</f>
        <v>0.0212658125863818</v>
      </c>
      <c r="C6" s="23" t="n">
        <f aca="false">IFERROR((Settings!$B$10*'History Y-1'!V6*('History Y-1'!$S6&lt;&gt;"Y")+Settings!$B$11*'History Y-2'!V6*('History Y-2'!$S6&lt;&gt;"Y")+Settings!$B$12*'History Y-3'!V6*('History Y-3'!$S6&lt;&gt;"Y"))/(Settings!$B$10*('History Y-1'!$S6&lt;&gt;"Y")+Settings!$B$11*('History Y-2'!$S6&lt;&gt;"Y")+Settings!$B$12*('History Y-3'!$S6&lt;&gt;"Y")),'History Y-1'!V6)</f>
        <v>75.3610655493935</v>
      </c>
      <c r="D6" s="36" t="n">
        <f aca="false">IFERROR((Settings!$B$10*'History Y-1'!W6*('History Y-1'!$S6&lt;&gt;"Y")+Settings!$B$11*'History Y-2'!W6*('History Y-2'!$S6&lt;&gt;"Y")+Settings!$B$12*'History Y-3'!W6*('History Y-3'!$S6&lt;&gt;"Y"))/(Settings!$B$10*('History Y-1'!$S6&lt;&gt;"Y")+Settings!$B$11*('History Y-2'!$S6&lt;&gt;"Y")+Settings!$B$12*('History Y-3'!$S6&lt;&gt;"Y")),'History Y-1'!W6)</f>
        <v>1.91172896947662</v>
      </c>
      <c r="E6" s="31" t="n">
        <f aca="false">IFERROR((Settings!$B$10*'History Y-1'!X6*('History Y-1'!$S6&lt;&gt;"Y")+Settings!$B$11*'History Y-2'!X6*('History Y-2'!$S6&lt;&gt;"Y")+Settings!$B$12*'History Y-3'!X6*('History Y-3'!$S6&lt;&gt;"Y"))/(Settings!$B$10*('History Y-1'!$S6&lt;&gt;"Y")+Settings!$B$11*('History Y-2'!$S6&lt;&gt;"Y")+Settings!$B$12*('History Y-3'!$S6&lt;&gt;"Y")),'History Y-1'!X6)</f>
        <v>0.077110324454184</v>
      </c>
      <c r="F6" s="31" t="n">
        <f aca="false">IFERROR((Settings!$B$10*'History Y-1'!Y6*('History Y-1'!$S6&lt;&gt;"Y")+Settings!$B$11*'History Y-2'!Y6*('History Y-2'!$S6&lt;&gt;"Y")+Settings!$B$12*'History Y-3'!Y6*('History Y-3'!$S6&lt;&gt;"Y"))/(Settings!$B$10*('History Y-1'!$S6&lt;&gt;"Y")+Settings!$B$11*('History Y-2'!$S6&lt;&gt;"Y")+Settings!$B$12*('History Y-3'!$S6&lt;&gt;"Y")),'History Y-1'!Y6)</f>
        <v>0.254153851431718</v>
      </c>
      <c r="G6" s="31" t="n">
        <f aca="false">IFERROR((Settings!$B$10*'History Y-1'!Z6*('History Y-1'!$S6&lt;&gt;"Y")+Settings!$B$11*'History Y-2'!Z6*('History Y-2'!$S6&lt;&gt;"Y")+Settings!$B$12*'History Y-3'!Z6*('History Y-3'!$S6&lt;&gt;"Y"))/(Settings!$B$10*('History Y-1'!$S6&lt;&gt;"Y")+Settings!$B$11*('History Y-2'!$S6&lt;&gt;"Y")+Settings!$B$12*('History Y-3'!$S6&lt;&gt;"Y")),'History Y-1'!Z6)</f>
        <v>0.356973475311333</v>
      </c>
      <c r="H6" s="23" t="n">
        <f aca="false">IFERROR((Settings!$B$10*'History Y-1'!AA6*('History Y-1'!$S6&lt;&gt;"Y")+Settings!$B$11*'History Y-2'!AA6*('History Y-2'!$S6&lt;&gt;"Y")+Settings!$B$12*'History Y-3'!AA6*('History Y-3'!$S6&lt;&gt;"Y"))/(Settings!$B$10*('History Y-1'!$S6&lt;&gt;"Y")+Settings!$B$11*('History Y-2'!$S6&lt;&gt;"Y")+Settings!$B$12*('History Y-3'!$S6&lt;&gt;"Y")),'History Y-1'!AA6)</f>
        <v>0.453587500879021</v>
      </c>
      <c r="I6" s="23" t="n">
        <f aca="false">IFERROR((Settings!$B$10*'History Y-1'!AB6*('History Y-1'!$S6&lt;&gt;"Y")+Settings!$B$11*'History Y-2'!AB6*('History Y-2'!$S6&lt;&gt;"Y")+Settings!$B$12*'History Y-3'!AB6*('History Y-3'!$S6&lt;&gt;"Y"))/(Settings!$B$10*('History Y-1'!$S6&lt;&gt;"Y")+Settings!$B$11*('History Y-2'!$S6&lt;&gt;"Y")+Settings!$B$12*('History Y-3'!$S6&lt;&gt;"Y")),'History Y-1'!AB6)</f>
        <v>0.333834324797072</v>
      </c>
      <c r="J6" s="23" t="n">
        <f aca="false">IFERROR((Settings!$B$10*'History Y-1'!AC6*('History Y-1'!$S6&lt;&gt;"Y")+Settings!$B$11*'History Y-2'!AC6*('History Y-2'!$S6&lt;&gt;"Y")+Settings!$B$12*'History Y-3'!AC6*('History Y-3'!$S6&lt;&gt;"Y"))/(Settings!$B$10*('History Y-1'!$S6&lt;&gt;"Y")+Settings!$B$11*('History Y-2'!$S6&lt;&gt;"Y")+Settings!$B$12*('History Y-3'!$S6&lt;&gt;"Y")),'History Y-1'!AC6)</f>
        <v>0.2079033950283</v>
      </c>
      <c r="K6" s="29" t="n">
        <f aca="false">IFERROR((Settings!$B$10*'History Y-1'!AD6*('History Y-1'!$S6&lt;&gt;"Y")+Settings!$B$11*'History Y-2'!AD6*('History Y-2'!$S6&lt;&gt;"Y")+Settings!$B$12*'History Y-3'!AD6*('History Y-3'!$S6&lt;&gt;"Y"))/(Settings!$B$10*('History Y-1'!$S6&lt;&gt;"Y")+Settings!$B$11*('History Y-2'!$S6&lt;&gt;"Y")+Settings!$B$12*('History Y-3'!$S6&lt;&gt;"Y")),'History Y-1'!AD6)</f>
        <v>0.0159606331404618</v>
      </c>
      <c r="L6" s="29" t="n">
        <f aca="false">IFERROR((Settings!$B$10*'History Y-1'!AE6*('History Y-1'!$S6&lt;&gt;"Y")+Settings!$B$11*'History Y-2'!AE6*('History Y-2'!$S6&lt;&gt;"Y")+Settings!$B$12*'History Y-3'!AE6*('History Y-3'!$S6&lt;&gt;"Y"))/(Settings!$B$10*('History Y-1'!$S6&lt;&gt;"Y")+Settings!$B$11*('History Y-2'!$S6&lt;&gt;"Y")+Settings!$B$12*('History Y-3'!$S6&lt;&gt;"Y")),'History Y-1'!AE6)</f>
        <v>0.0149502100396324</v>
      </c>
      <c r="M6" s="29" t="n">
        <f aca="false">IFERROR((Settings!$B$10*'History Y-1'!AF6*('History Y-1'!$S6&lt;&gt;"Y")+Settings!$B$11*'History Y-2'!AF6*('History Y-2'!$S6&lt;&gt;"Y")+Settings!$B$12*'History Y-3'!AF6*('History Y-3'!$S6&lt;&gt;"Y"))/(Settings!$B$10*('History Y-1'!$S6&lt;&gt;"Y")+Settings!$B$11*('History Y-2'!$S6&lt;&gt;"Y")+Settings!$B$12*('History Y-3'!$S6&lt;&gt;"Y")),'History Y-1'!AF6)</f>
        <v>0.0151555144150409</v>
      </c>
      <c r="N6" s="29" t="n">
        <f aca="false">IFERROR((Settings!$B$10*'History Y-1'!AG6*('History Y-1'!$S6&lt;&gt;"Y")+Settings!$B$11*'History Y-2'!AG6*('History Y-2'!$S6&lt;&gt;"Y")+Settings!$B$12*'History Y-3'!AG6*('History Y-3'!$S6&lt;&gt;"Y"))/(Settings!$B$10*('History Y-1'!$S6&lt;&gt;"Y")+Settings!$B$11*('History Y-2'!$S6&lt;&gt;"Y")+Settings!$B$12*('History Y-3'!$S6&lt;&gt;"Y")),'History Y-1'!AG6)</f>
        <v>0.0156629574356052</v>
      </c>
      <c r="O6" s="29" t="n">
        <f aca="false">IFERROR((Settings!$B$10*'History Y-1'!AH6*('History Y-1'!$S6&lt;&gt;"Y")+Settings!$B$11*'History Y-2'!AH6*('History Y-2'!$S6&lt;&gt;"Y")+Settings!$B$12*'History Y-3'!AH6*('History Y-3'!$S6&lt;&gt;"Y"))/(Settings!$B$10*('History Y-1'!$S6&lt;&gt;"Y")+Settings!$B$11*('History Y-2'!$S6&lt;&gt;"Y")+Settings!$B$12*('History Y-3'!$S6&lt;&gt;"Y")),'History Y-1'!AH6)</f>
        <v>0.0148871942345914</v>
      </c>
      <c r="P6" s="29" t="n">
        <f aca="false">IFERROR((Settings!$B$10*'History Y-1'!AI6*('History Y-1'!$S6&lt;&gt;"Y")+Settings!$B$11*'History Y-2'!AI6*('History Y-2'!$S6&lt;&gt;"Y")+Settings!$B$12*'History Y-3'!AI6*('History Y-3'!$S6&lt;&gt;"Y"))/(Settings!$B$10*('History Y-1'!$S6&lt;&gt;"Y")+Settings!$B$11*('History Y-2'!$S6&lt;&gt;"Y")+Settings!$B$12*('History Y-3'!$S6&lt;&gt;"Y")),'History Y-1'!AI6)</f>
        <v>0.0162622074507978</v>
      </c>
      <c r="Q6" s="57" t="n">
        <f aca="false">IFERROR(K6/SUM(K$6:K$57),0)</f>
        <v>0.0159692260161947</v>
      </c>
      <c r="R6" s="57" t="n">
        <f aca="false">IFERROR(L6/SUM(L$6:L$57),0)</f>
        <v>0.0149630376965754</v>
      </c>
      <c r="S6" s="57" t="n">
        <f aca="false">IFERROR(M6/SUM(M$6:M$57),0)</f>
        <v>0.0151775958229566</v>
      </c>
      <c r="T6" s="57" t="n">
        <f aca="false">IFERROR(N6/SUM(N$6:N$57),0)</f>
        <v>0.0157073529545772</v>
      </c>
      <c r="U6" s="57" t="n">
        <f aca="false">IFERROR(O6/SUM(O$6:O$57),0)</f>
        <v>0.0149041116327743</v>
      </c>
      <c r="V6" s="57" t="n">
        <f aca="false">IFERROR(P6/SUM(P$6:P$57),0)</f>
        <v>0.0163054636878174</v>
      </c>
    </row>
    <row r="7" customFormat="false" ht="15" hidden="false" customHeight="false" outlineLevel="0" collapsed="false">
      <c r="A7" s="13" t="n">
        <v>2</v>
      </c>
      <c r="B7" s="29" t="n">
        <f aca="false">IFERROR((Settings!$B$10*'History Y-1'!U7*('History Y-1'!$S7&lt;&gt;"Y")+Settings!$B$11*'History Y-2'!U7*('History Y-2'!$S7&lt;&gt;"Y")+Settings!$B$12*'History Y-3'!U7*('History Y-3'!$S7&lt;&gt;"Y"))/(Settings!$B$10*('History Y-1'!$S7&lt;&gt;"Y")+Settings!$B$11*('History Y-2'!$S7&lt;&gt;"Y")+Settings!$B$12*('History Y-3'!$S7&lt;&gt;"Y")),'History Y-1'!U7)</f>
        <v>0.021601116421813</v>
      </c>
      <c r="C7" s="23" t="n">
        <f aca="false">IFERROR((Settings!$B$10*'History Y-1'!V7*('History Y-1'!$S7&lt;&gt;"Y")+Settings!$B$11*'History Y-2'!V7*('History Y-2'!$S7&lt;&gt;"Y")+Settings!$B$12*'History Y-3'!V7*('History Y-3'!$S7&lt;&gt;"Y"))/(Settings!$B$10*('History Y-1'!$S7&lt;&gt;"Y")+Settings!$B$11*('History Y-2'!$S7&lt;&gt;"Y")+Settings!$B$12*('History Y-3'!$S7&lt;&gt;"Y")),'History Y-1'!V7)</f>
        <v>75.2277241071626</v>
      </c>
      <c r="D7" s="36" t="n">
        <f aca="false">IFERROR((Settings!$B$10*'History Y-1'!W7*('History Y-1'!$S7&lt;&gt;"Y")+Settings!$B$11*'History Y-2'!W7*('History Y-2'!$S7&lt;&gt;"Y")+Settings!$B$12*'History Y-3'!W7*('History Y-3'!$S7&lt;&gt;"Y"))/(Settings!$B$10*('History Y-1'!$S7&lt;&gt;"Y")+Settings!$B$11*('History Y-2'!$S7&lt;&gt;"Y")+Settings!$B$12*('History Y-3'!$S7&lt;&gt;"Y")),'History Y-1'!W7)</f>
        <v>1.93254704659517</v>
      </c>
      <c r="E7" s="31" t="n">
        <f aca="false">IFERROR((Settings!$B$10*'History Y-1'!X7*('History Y-1'!$S7&lt;&gt;"Y")+Settings!$B$11*'History Y-2'!X7*('History Y-2'!$S7&lt;&gt;"Y")+Settings!$B$12*'History Y-3'!X7*('History Y-3'!$S7&lt;&gt;"Y"))/(Settings!$B$10*('History Y-1'!$S7&lt;&gt;"Y")+Settings!$B$11*('History Y-2'!$S7&lt;&gt;"Y")+Settings!$B$12*('History Y-3'!$S7&lt;&gt;"Y")),'History Y-1'!X7)</f>
        <v>0.0763282292155085</v>
      </c>
      <c r="F7" s="31" t="n">
        <f aca="false">IFERROR((Settings!$B$10*'History Y-1'!Y7*('History Y-1'!$S7&lt;&gt;"Y")+Settings!$B$11*'History Y-2'!Y7*('History Y-2'!$S7&lt;&gt;"Y")+Settings!$B$12*'History Y-3'!Y7*('History Y-3'!$S7&lt;&gt;"Y"))/(Settings!$B$10*('History Y-1'!$S7&lt;&gt;"Y")+Settings!$B$11*('History Y-2'!$S7&lt;&gt;"Y")+Settings!$B$12*('History Y-3'!$S7&lt;&gt;"Y")),'History Y-1'!Y7)</f>
        <v>0.260498513514979</v>
      </c>
      <c r="G7" s="31" t="n">
        <f aca="false">IFERROR((Settings!$B$10*'History Y-1'!Z7*('History Y-1'!$S7&lt;&gt;"Y")+Settings!$B$11*'History Y-2'!Z7*('History Y-2'!$S7&lt;&gt;"Y")+Settings!$B$12*'History Y-3'!Z7*('History Y-3'!$S7&lt;&gt;"Y"))/(Settings!$B$10*('History Y-1'!$S7&lt;&gt;"Y")+Settings!$B$11*('History Y-2'!$S7&lt;&gt;"Y")+Settings!$B$12*('History Y-3'!$S7&lt;&gt;"Y")),'History Y-1'!Z7)</f>
        <v>0.360330774623894</v>
      </c>
      <c r="H7" s="23" t="n">
        <f aca="false">IFERROR((Settings!$B$10*'History Y-1'!AA7*('History Y-1'!$S7&lt;&gt;"Y")+Settings!$B$11*'History Y-2'!AA7*('History Y-2'!$S7&lt;&gt;"Y")+Settings!$B$12*'History Y-3'!AA7*('History Y-3'!$S7&lt;&gt;"Y"))/(Settings!$B$10*('History Y-1'!$S7&lt;&gt;"Y")+Settings!$B$11*('History Y-2'!$S7&lt;&gt;"Y")+Settings!$B$12*('History Y-3'!$S7&lt;&gt;"Y")),'History Y-1'!AA7)</f>
        <v>0.4565408573937</v>
      </c>
      <c r="I7" s="23" t="n">
        <f aca="false">IFERROR((Settings!$B$10*'History Y-1'!AB7*('History Y-1'!$S7&lt;&gt;"Y")+Settings!$B$11*'History Y-2'!AB7*('History Y-2'!$S7&lt;&gt;"Y")+Settings!$B$12*'History Y-3'!AB7*('History Y-3'!$S7&lt;&gt;"Y"))/(Settings!$B$10*('History Y-1'!$S7&lt;&gt;"Y")+Settings!$B$11*('History Y-2'!$S7&lt;&gt;"Y")+Settings!$B$12*('History Y-3'!$S7&lt;&gt;"Y")),'History Y-1'!AB7)</f>
        <v>0.343161730048462</v>
      </c>
      <c r="J7" s="23" t="n">
        <f aca="false">IFERROR((Settings!$B$10*'History Y-1'!AC7*('History Y-1'!$S7&lt;&gt;"Y")+Settings!$B$11*'History Y-2'!AC7*('History Y-2'!$S7&lt;&gt;"Y")+Settings!$B$12*'History Y-3'!AC7*('History Y-3'!$S7&lt;&gt;"Y"))/(Settings!$B$10*('History Y-1'!$S7&lt;&gt;"Y")+Settings!$B$11*('History Y-2'!$S7&lt;&gt;"Y")+Settings!$B$12*('History Y-3'!$S7&lt;&gt;"Y")),'History Y-1'!AC7)</f>
        <v>0.206564294261247</v>
      </c>
      <c r="K7" s="29" t="n">
        <f aca="false">IFERROR((Settings!$B$10*'History Y-1'!AD7*('History Y-1'!$S7&lt;&gt;"Y")+Settings!$B$11*'History Y-2'!AD7*('History Y-2'!$S7&lt;&gt;"Y")+Settings!$B$12*'History Y-3'!AD7*('History Y-3'!$S7&lt;&gt;"Y"))/(Settings!$B$10*('History Y-1'!$S7&lt;&gt;"Y")+Settings!$B$11*('History Y-2'!$S7&lt;&gt;"Y")+Settings!$B$12*('History Y-3'!$S7&lt;&gt;"Y")),'History Y-1'!AD7)</f>
        <v>0.0166544779662054</v>
      </c>
      <c r="L7" s="29" t="n">
        <f aca="false">IFERROR((Settings!$B$10*'History Y-1'!AE7*('History Y-1'!$S7&lt;&gt;"Y")+Settings!$B$11*'History Y-2'!AE7*('History Y-2'!$S7&lt;&gt;"Y")+Settings!$B$12*'History Y-3'!AE7*('History Y-3'!$S7&lt;&gt;"Y"))/(Settings!$B$10*('History Y-1'!$S7&lt;&gt;"Y")+Settings!$B$11*('History Y-2'!$S7&lt;&gt;"Y")+Settings!$B$12*('History Y-3'!$S7&lt;&gt;"Y")),'History Y-1'!AE7)</f>
        <v>0.0144057876219692</v>
      </c>
      <c r="M7" s="29" t="n">
        <f aca="false">IFERROR((Settings!$B$10*'History Y-1'!AF7*('History Y-1'!$S7&lt;&gt;"Y")+Settings!$B$11*'History Y-2'!AF7*('History Y-2'!$S7&lt;&gt;"Y")+Settings!$B$12*'History Y-3'!AF7*('History Y-3'!$S7&lt;&gt;"Y"))/(Settings!$B$10*('History Y-1'!$S7&lt;&gt;"Y")+Settings!$B$11*('History Y-2'!$S7&lt;&gt;"Y")+Settings!$B$12*('History Y-3'!$S7&lt;&gt;"Y")),'History Y-1'!AF7)</f>
        <v>0.0165717024809576</v>
      </c>
      <c r="N7" s="29" t="n">
        <f aca="false">IFERROR((Settings!$B$10*'History Y-1'!AG7*('History Y-1'!$S7&lt;&gt;"Y")+Settings!$B$11*'History Y-2'!AG7*('History Y-2'!$S7&lt;&gt;"Y")+Settings!$B$12*'History Y-3'!AG7*('History Y-3'!$S7&lt;&gt;"Y"))/(Settings!$B$10*('History Y-1'!$S7&lt;&gt;"Y")+Settings!$B$11*('History Y-2'!$S7&lt;&gt;"Y")+Settings!$B$12*('History Y-3'!$S7&lt;&gt;"Y")),'History Y-1'!AG7)</f>
        <v>0.0166198950751198</v>
      </c>
      <c r="O7" s="29" t="n">
        <f aca="false">IFERROR((Settings!$B$10*'History Y-1'!AH7*('History Y-1'!$S7&lt;&gt;"Y")+Settings!$B$11*'History Y-2'!AH7*('History Y-2'!$S7&lt;&gt;"Y")+Settings!$B$12*'History Y-3'!AH7*('History Y-3'!$S7&lt;&gt;"Y"))/(Settings!$B$10*('History Y-1'!$S7&lt;&gt;"Y")+Settings!$B$11*('History Y-2'!$S7&lt;&gt;"Y")+Settings!$B$12*('History Y-3'!$S7&lt;&gt;"Y")),'History Y-1'!AH7)</f>
        <v>0.0164249574395337</v>
      </c>
      <c r="P7" s="29" t="n">
        <f aca="false">IFERROR((Settings!$B$10*'History Y-1'!AI7*('History Y-1'!$S7&lt;&gt;"Y")+Settings!$B$11*'History Y-2'!AI7*('History Y-2'!$S7&lt;&gt;"Y")+Settings!$B$12*'History Y-3'!AI7*('History Y-3'!$S7&lt;&gt;"Y"))/(Settings!$B$10*('History Y-1'!$S7&lt;&gt;"Y")+Settings!$B$11*('History Y-2'!$S7&lt;&gt;"Y")+Settings!$B$12*('History Y-3'!$S7&lt;&gt;"Y")),'History Y-1'!AI7)</f>
        <v>0.0164103282044099</v>
      </c>
      <c r="Q7" s="57" t="n">
        <f aca="false">IFERROR(K7/SUM(K$6:K$57),0)</f>
        <v>0.0166634443936837</v>
      </c>
      <c r="R7" s="57" t="n">
        <f aca="false">IFERROR(L7/SUM(L$6:L$57),0)</f>
        <v>0.014418148150759</v>
      </c>
      <c r="S7" s="57" t="n">
        <f aca="false">IFERROR(M7/SUM(M$6:M$57),0)</f>
        <v>0.0165958472583845</v>
      </c>
      <c r="T7" s="57" t="n">
        <f aca="false">IFERROR(N7/SUM(N$6:N$57),0)</f>
        <v>0.016667002964556</v>
      </c>
      <c r="U7" s="57" t="n">
        <f aca="false">IFERROR(O7/SUM(O$6:O$57),0)</f>
        <v>0.0164436223095396</v>
      </c>
      <c r="V7" s="57" t="n">
        <f aca="false">IFERROR(P7/SUM(P$6:P$57),0)</f>
        <v>0.0164539784313872</v>
      </c>
    </row>
    <row r="8" customFormat="false" ht="15" hidden="false" customHeight="false" outlineLevel="0" collapsed="false">
      <c r="A8" s="13" t="n">
        <v>3</v>
      </c>
      <c r="B8" s="29" t="n">
        <f aca="false">IFERROR((Settings!$B$10*'History Y-1'!U8*('History Y-1'!$S8&lt;&gt;"Y")+Settings!$B$11*'History Y-2'!U8*('History Y-2'!$S8&lt;&gt;"Y")+Settings!$B$12*'History Y-3'!U8*('History Y-3'!$S8&lt;&gt;"Y"))/(Settings!$B$10*('History Y-1'!$S8&lt;&gt;"Y")+Settings!$B$11*('History Y-2'!$S8&lt;&gt;"Y")+Settings!$B$12*('History Y-3'!$S8&lt;&gt;"Y")),'History Y-1'!U8)</f>
        <v>0.0218344557386314</v>
      </c>
      <c r="C8" s="23" t="n">
        <f aca="false">IFERROR((Settings!$B$10*'History Y-1'!V8*('History Y-1'!$S8&lt;&gt;"Y")+Settings!$B$11*'History Y-2'!V8*('History Y-2'!$S8&lt;&gt;"Y")+Settings!$B$12*'History Y-3'!V8*('History Y-3'!$S8&lt;&gt;"Y"))/(Settings!$B$10*('History Y-1'!$S8&lt;&gt;"Y")+Settings!$B$11*('History Y-2'!$S8&lt;&gt;"Y")+Settings!$B$12*('History Y-3'!$S8&lt;&gt;"Y")),'History Y-1'!V8)</f>
        <v>76.3526627002979</v>
      </c>
      <c r="D8" s="36" t="n">
        <f aca="false">IFERROR((Settings!$B$10*'History Y-1'!W8*('History Y-1'!$S8&lt;&gt;"Y")+Settings!$B$11*'History Y-2'!W8*('History Y-2'!$S8&lt;&gt;"Y")+Settings!$B$12*'History Y-3'!W8*('History Y-3'!$S8&lt;&gt;"Y"))/(Settings!$B$10*('History Y-1'!$S8&lt;&gt;"Y")+Settings!$B$11*('History Y-2'!$S8&lt;&gt;"Y")+Settings!$B$12*('History Y-3'!$S8&lt;&gt;"Y")),'History Y-1'!W8)</f>
        <v>1.89150682260828</v>
      </c>
      <c r="E8" s="31" t="n">
        <f aca="false">IFERROR((Settings!$B$10*'History Y-1'!X8*('History Y-1'!$S8&lt;&gt;"Y")+Settings!$B$11*'History Y-2'!X8*('History Y-2'!$S8&lt;&gt;"Y")+Settings!$B$12*'History Y-3'!X8*('History Y-3'!$S8&lt;&gt;"Y"))/(Settings!$B$10*('History Y-1'!$S8&lt;&gt;"Y")+Settings!$B$11*('History Y-2'!$S8&lt;&gt;"Y")+Settings!$B$12*('History Y-3'!$S8&lt;&gt;"Y")),'History Y-1'!X8)</f>
        <v>0.0825000239061912</v>
      </c>
      <c r="F8" s="31" t="n">
        <f aca="false">IFERROR((Settings!$B$10*'History Y-1'!Y8*('History Y-1'!$S8&lt;&gt;"Y")+Settings!$B$11*'History Y-2'!Y8*('History Y-2'!$S8&lt;&gt;"Y")+Settings!$B$12*'History Y-3'!Y8*('History Y-3'!$S8&lt;&gt;"Y"))/(Settings!$B$10*('History Y-1'!$S8&lt;&gt;"Y")+Settings!$B$11*('History Y-2'!$S8&lt;&gt;"Y")+Settings!$B$12*('History Y-3'!$S8&lt;&gt;"Y")),'History Y-1'!Y8)</f>
        <v>0.253393127812901</v>
      </c>
      <c r="G8" s="31" t="n">
        <f aca="false">IFERROR((Settings!$B$10*'History Y-1'!Z8*('History Y-1'!$S8&lt;&gt;"Y")+Settings!$B$11*'History Y-2'!Z8*('History Y-2'!$S8&lt;&gt;"Y")+Settings!$B$12*'History Y-3'!Z8*('History Y-3'!$S8&lt;&gt;"Y"))/(Settings!$B$10*('History Y-1'!$S8&lt;&gt;"Y")+Settings!$B$11*('History Y-2'!$S8&lt;&gt;"Y")+Settings!$B$12*('History Y-3'!$S8&lt;&gt;"Y")),'History Y-1'!Z8)</f>
        <v>0.359892689935143</v>
      </c>
      <c r="H8" s="23" t="n">
        <f aca="false">IFERROR((Settings!$B$10*'History Y-1'!AA8*('History Y-1'!$S8&lt;&gt;"Y")+Settings!$B$11*'History Y-2'!AA8*('History Y-2'!$S8&lt;&gt;"Y")+Settings!$B$12*'History Y-3'!AA8*('History Y-3'!$S8&lt;&gt;"Y"))/(Settings!$B$10*('History Y-1'!$S8&lt;&gt;"Y")+Settings!$B$11*('History Y-2'!$S8&lt;&gt;"Y")+Settings!$B$12*('History Y-3'!$S8&lt;&gt;"Y")),'History Y-1'!AA8)</f>
        <v>0.460312488664698</v>
      </c>
      <c r="I8" s="23" t="n">
        <f aca="false">IFERROR((Settings!$B$10*'History Y-1'!AB8*('History Y-1'!$S8&lt;&gt;"Y")+Settings!$B$11*'History Y-2'!AB8*('History Y-2'!$S8&lt;&gt;"Y")+Settings!$B$12*'History Y-3'!AB8*('History Y-3'!$S8&lt;&gt;"Y"))/(Settings!$B$10*('History Y-1'!$S8&lt;&gt;"Y")+Settings!$B$11*('History Y-2'!$S8&lt;&gt;"Y")+Settings!$B$12*('History Y-3'!$S8&lt;&gt;"Y")),'History Y-1'!AB8)</f>
        <v>0.344650849834832</v>
      </c>
      <c r="J8" s="23" t="n">
        <f aca="false">IFERROR((Settings!$B$10*'History Y-1'!AC8*('History Y-1'!$S8&lt;&gt;"Y")+Settings!$B$11*'History Y-2'!AC8*('History Y-2'!$S8&lt;&gt;"Y")+Settings!$B$12*'History Y-3'!AC8*('History Y-3'!$S8&lt;&gt;"Y"))/(Settings!$B$10*('History Y-1'!$S8&lt;&gt;"Y")+Settings!$B$11*('History Y-2'!$S8&lt;&gt;"Y")+Settings!$B$12*('History Y-3'!$S8&lt;&gt;"Y")),'History Y-1'!AC8)</f>
        <v>0.205007065260901</v>
      </c>
      <c r="K8" s="29" t="n">
        <f aca="false">IFERROR((Settings!$B$10*'History Y-1'!AD8*('History Y-1'!$S8&lt;&gt;"Y")+Settings!$B$11*'History Y-2'!AD8*('History Y-2'!$S8&lt;&gt;"Y")+Settings!$B$12*'History Y-3'!AD8*('History Y-3'!$S8&lt;&gt;"Y"))/(Settings!$B$10*('History Y-1'!$S8&lt;&gt;"Y")+Settings!$B$11*('History Y-2'!$S8&lt;&gt;"Y")+Settings!$B$12*('History Y-3'!$S8&lt;&gt;"Y")),'History Y-1'!AD8)</f>
        <v>0.016632238979202</v>
      </c>
      <c r="L8" s="29" t="n">
        <f aca="false">IFERROR((Settings!$B$10*'History Y-1'!AE8*('History Y-1'!$S8&lt;&gt;"Y")+Settings!$B$11*'History Y-2'!AE8*('History Y-2'!$S8&lt;&gt;"Y")+Settings!$B$12*'History Y-3'!AE8*('History Y-3'!$S8&lt;&gt;"Y"))/(Settings!$B$10*('History Y-1'!$S8&lt;&gt;"Y")+Settings!$B$11*('History Y-2'!$S8&lt;&gt;"Y")+Settings!$B$12*('History Y-3'!$S8&lt;&gt;"Y")),'History Y-1'!AE8)</f>
        <v>0.015252768614938</v>
      </c>
      <c r="M8" s="29" t="n">
        <f aca="false">IFERROR((Settings!$B$10*'History Y-1'!AF8*('History Y-1'!$S8&lt;&gt;"Y")+Settings!$B$11*'History Y-2'!AF8*('History Y-2'!$S8&lt;&gt;"Y")+Settings!$B$12*'History Y-3'!AF8*('History Y-3'!$S8&lt;&gt;"Y"))/(Settings!$B$10*('History Y-1'!$S8&lt;&gt;"Y")+Settings!$B$11*('History Y-2'!$S8&lt;&gt;"Y")+Settings!$B$12*('History Y-3'!$S8&lt;&gt;"Y")),'History Y-1'!AF8)</f>
        <v>0.017156680086546</v>
      </c>
      <c r="N8" s="29" t="n">
        <f aca="false">IFERROR((Settings!$B$10*'History Y-1'!AG8*('History Y-1'!$S8&lt;&gt;"Y")+Settings!$B$11*'History Y-2'!AG8*('History Y-2'!$S8&lt;&gt;"Y")+Settings!$B$12*'History Y-3'!AG8*('History Y-3'!$S8&lt;&gt;"Y"))/(Settings!$B$10*('History Y-1'!$S8&lt;&gt;"Y")+Settings!$B$11*('History Y-2'!$S8&lt;&gt;"Y")+Settings!$B$12*('History Y-3'!$S8&lt;&gt;"Y")),'History Y-1'!AG8)</f>
        <v>0.0169928990241953</v>
      </c>
      <c r="O8" s="29" t="n">
        <f aca="false">IFERROR((Settings!$B$10*'History Y-1'!AH8*('History Y-1'!$S8&lt;&gt;"Y")+Settings!$B$11*'History Y-2'!AH8*('History Y-2'!$S8&lt;&gt;"Y")+Settings!$B$12*'History Y-3'!AH8*('History Y-3'!$S8&lt;&gt;"Y"))/(Settings!$B$10*('History Y-1'!$S8&lt;&gt;"Y")+Settings!$B$11*('History Y-2'!$S8&lt;&gt;"Y")+Settings!$B$12*('History Y-3'!$S8&lt;&gt;"Y")),'History Y-1'!AH8)</f>
        <v>0.0165404537129713</v>
      </c>
      <c r="P8" s="29" t="n">
        <f aca="false">IFERROR((Settings!$B$10*'History Y-1'!AI8*('History Y-1'!$S8&lt;&gt;"Y")+Settings!$B$11*'History Y-2'!AI8*('History Y-2'!$S8&lt;&gt;"Y")+Settings!$B$12*'History Y-3'!AI8*('History Y-3'!$S8&lt;&gt;"Y"))/(Settings!$B$10*('History Y-1'!$S8&lt;&gt;"Y")+Settings!$B$11*('History Y-2'!$S8&lt;&gt;"Y")+Settings!$B$12*('History Y-3'!$S8&lt;&gt;"Y")),'History Y-1'!AI8)</f>
        <v>0.0167496365069403</v>
      </c>
      <c r="Q8" s="57" t="n">
        <f aca="false">IFERROR(K8/SUM(K$6:K$57),0)</f>
        <v>0.0166411934336682</v>
      </c>
      <c r="R8" s="57" t="n">
        <f aca="false">IFERROR(L8/SUM(L$6:L$57),0)</f>
        <v>0.0152658558747627</v>
      </c>
      <c r="S8" s="57" t="n">
        <f aca="false">IFERROR(M8/SUM(M$6:M$57),0)</f>
        <v>0.0171816771695282</v>
      </c>
      <c r="T8" s="57" t="n">
        <f aca="false">IFERROR(N8/SUM(N$6:N$57),0)</f>
        <v>0.0170410641663225</v>
      </c>
      <c r="U8" s="57" t="n">
        <f aca="false">IFERROR(O8/SUM(O$6:O$57),0)</f>
        <v>0.0165592498297666</v>
      </c>
      <c r="V8" s="57" t="n">
        <f aca="false">IFERROR(P8/SUM(P$6:P$57),0)</f>
        <v>0.0167941892682385</v>
      </c>
    </row>
    <row r="9" customFormat="false" ht="15" hidden="false" customHeight="false" outlineLevel="0" collapsed="false">
      <c r="A9" s="13" t="n">
        <v>4</v>
      </c>
      <c r="B9" s="29" t="n">
        <f aca="false">IFERROR((Settings!$B$10*'History Y-1'!U9*('History Y-1'!$S9&lt;&gt;"Y")+Settings!$B$11*'History Y-2'!U9*('History Y-2'!$S9&lt;&gt;"Y")+Settings!$B$12*'History Y-3'!U9*('History Y-3'!$S9&lt;&gt;"Y"))/(Settings!$B$10*('History Y-1'!$S9&lt;&gt;"Y")+Settings!$B$11*('History Y-2'!$S9&lt;&gt;"Y")+Settings!$B$12*('History Y-3'!$S9&lt;&gt;"Y")),'History Y-1'!U9)</f>
        <v>0.0212668465341303</v>
      </c>
      <c r="C9" s="23" t="n">
        <f aca="false">IFERROR((Settings!$B$10*'History Y-1'!V9*('History Y-1'!$S9&lt;&gt;"Y")+Settings!$B$11*'History Y-2'!V9*('History Y-2'!$S9&lt;&gt;"Y")+Settings!$B$12*'History Y-3'!V9*('History Y-3'!$S9&lt;&gt;"Y"))/(Settings!$B$10*('History Y-1'!$S9&lt;&gt;"Y")+Settings!$B$11*('History Y-2'!$S9&lt;&gt;"Y")+Settings!$B$12*('History Y-3'!$S9&lt;&gt;"Y")),'History Y-1'!V9)</f>
        <v>76.4938063394914</v>
      </c>
      <c r="D9" s="36" t="n">
        <f aca="false">IFERROR((Settings!$B$10*'History Y-1'!W9*('History Y-1'!$S9&lt;&gt;"Y")+Settings!$B$11*'History Y-2'!W9*('History Y-2'!$S9&lt;&gt;"Y")+Settings!$B$12*'History Y-3'!W9*('History Y-3'!$S9&lt;&gt;"Y"))/(Settings!$B$10*('History Y-1'!$S9&lt;&gt;"Y")+Settings!$B$11*('History Y-2'!$S9&lt;&gt;"Y")+Settings!$B$12*('History Y-3'!$S9&lt;&gt;"Y")),'History Y-1'!W9)</f>
        <v>1.92381032101868</v>
      </c>
      <c r="E9" s="31" t="n">
        <f aca="false">IFERROR((Settings!$B$10*'History Y-1'!X9*('History Y-1'!$S9&lt;&gt;"Y")+Settings!$B$11*'History Y-2'!X9*('History Y-2'!$S9&lt;&gt;"Y")+Settings!$B$12*'History Y-3'!X9*('History Y-3'!$S9&lt;&gt;"Y"))/(Settings!$B$10*('History Y-1'!$S9&lt;&gt;"Y")+Settings!$B$11*('History Y-2'!$S9&lt;&gt;"Y")+Settings!$B$12*('History Y-3'!$S9&lt;&gt;"Y")),'History Y-1'!X9)</f>
        <v>0.0833619544337161</v>
      </c>
      <c r="F9" s="31" t="n">
        <f aca="false">IFERROR((Settings!$B$10*'History Y-1'!Y9*('History Y-1'!$S9&lt;&gt;"Y")+Settings!$B$11*'History Y-2'!Y9*('History Y-2'!$S9&lt;&gt;"Y")+Settings!$B$12*'History Y-3'!Y9*('History Y-3'!$S9&lt;&gt;"Y"))/(Settings!$B$10*('History Y-1'!$S9&lt;&gt;"Y")+Settings!$B$11*('History Y-2'!$S9&lt;&gt;"Y")+Settings!$B$12*('History Y-3'!$S9&lt;&gt;"Y")),'History Y-1'!Y9)</f>
        <v>0.251372841126127</v>
      </c>
      <c r="G9" s="31" t="n">
        <f aca="false">IFERROR((Settings!$B$10*'History Y-1'!Z9*('History Y-1'!$S9&lt;&gt;"Y")+Settings!$B$11*'History Y-2'!Z9*('History Y-2'!$S9&lt;&gt;"Y")+Settings!$B$12*'History Y-3'!Z9*('History Y-3'!$S9&lt;&gt;"Y"))/(Settings!$B$10*('History Y-1'!$S9&lt;&gt;"Y")+Settings!$B$11*('History Y-2'!$S9&lt;&gt;"Y")+Settings!$B$12*('History Y-3'!$S9&lt;&gt;"Y")),'History Y-1'!Z9)</f>
        <v>0.340969636423987</v>
      </c>
      <c r="H9" s="23" t="n">
        <f aca="false">IFERROR((Settings!$B$10*'History Y-1'!AA9*('History Y-1'!$S9&lt;&gt;"Y")+Settings!$B$11*'History Y-2'!AA9*('History Y-2'!$S9&lt;&gt;"Y")+Settings!$B$12*'History Y-3'!AA9*('History Y-3'!$S9&lt;&gt;"Y"))/(Settings!$B$10*('History Y-1'!$S9&lt;&gt;"Y")+Settings!$B$11*('History Y-2'!$S9&lt;&gt;"Y")+Settings!$B$12*('History Y-3'!$S9&lt;&gt;"Y")),'History Y-1'!AA9)</f>
        <v>0.469304685154158</v>
      </c>
      <c r="I9" s="23" t="n">
        <f aca="false">IFERROR((Settings!$B$10*'History Y-1'!AB9*('History Y-1'!$S9&lt;&gt;"Y")+Settings!$B$11*'History Y-2'!AB9*('History Y-2'!$S9&lt;&gt;"Y")+Settings!$B$12*'History Y-3'!AB9*('History Y-3'!$S9&lt;&gt;"Y"))/(Settings!$B$10*('History Y-1'!$S9&lt;&gt;"Y")+Settings!$B$11*('History Y-2'!$S9&lt;&gt;"Y")+Settings!$B$12*('History Y-3'!$S9&lt;&gt;"Y")),'History Y-1'!AB9)</f>
        <v>0.340071156998482</v>
      </c>
      <c r="J9" s="23" t="n">
        <f aca="false">IFERROR((Settings!$B$10*'History Y-1'!AC9*('History Y-1'!$S9&lt;&gt;"Y")+Settings!$B$11*'History Y-2'!AC9*('History Y-2'!$S9&lt;&gt;"Y")+Settings!$B$12*'History Y-3'!AC9*('History Y-3'!$S9&lt;&gt;"Y"))/(Settings!$B$10*('History Y-1'!$S9&lt;&gt;"Y")+Settings!$B$11*('History Y-2'!$S9&lt;&gt;"Y")+Settings!$B$12*('History Y-3'!$S9&lt;&gt;"Y")),'History Y-1'!AC9)</f>
        <v>0.2083323086166</v>
      </c>
      <c r="K9" s="29" t="n">
        <f aca="false">IFERROR((Settings!$B$10*'History Y-1'!AD9*('History Y-1'!$S9&lt;&gt;"Y")+Settings!$B$11*'History Y-2'!AD9*('History Y-2'!$S9&lt;&gt;"Y")+Settings!$B$12*'History Y-3'!AD9*('History Y-3'!$S9&lt;&gt;"Y"))/(Settings!$B$10*('History Y-1'!$S9&lt;&gt;"Y")+Settings!$B$11*('History Y-2'!$S9&lt;&gt;"Y")+Settings!$B$12*('History Y-3'!$S9&lt;&gt;"Y")),'History Y-1'!AD9)</f>
        <v>0.0157092708031993</v>
      </c>
      <c r="L9" s="29" t="n">
        <f aca="false">IFERROR((Settings!$B$10*'History Y-1'!AE9*('History Y-1'!$S9&lt;&gt;"Y")+Settings!$B$11*'History Y-2'!AE9*('History Y-2'!$S9&lt;&gt;"Y")+Settings!$B$12*'History Y-3'!AE9*('History Y-3'!$S9&lt;&gt;"Y"))/(Settings!$B$10*('History Y-1'!$S9&lt;&gt;"Y")+Settings!$B$11*('History Y-2'!$S9&lt;&gt;"Y")+Settings!$B$12*('History Y-3'!$S9&lt;&gt;"Y")),'History Y-1'!AE9)</f>
        <v>0.0140050358187494</v>
      </c>
      <c r="M9" s="29" t="n">
        <f aca="false">IFERROR((Settings!$B$10*'History Y-1'!AF9*('History Y-1'!$S9&lt;&gt;"Y")+Settings!$B$11*'History Y-2'!AF9*('History Y-2'!$S9&lt;&gt;"Y")+Settings!$B$12*'History Y-3'!AF9*('History Y-3'!$S9&lt;&gt;"Y"))/(Settings!$B$10*('History Y-1'!$S9&lt;&gt;"Y")+Settings!$B$11*('History Y-2'!$S9&lt;&gt;"Y")+Settings!$B$12*('History Y-3'!$S9&lt;&gt;"Y")),'History Y-1'!AF9)</f>
        <v>0.0154314456141264</v>
      </c>
      <c r="N9" s="29" t="n">
        <f aca="false">IFERROR((Settings!$B$10*'History Y-1'!AG9*('History Y-1'!$S9&lt;&gt;"Y")+Settings!$B$11*'History Y-2'!AG9*('History Y-2'!$S9&lt;&gt;"Y")+Settings!$B$12*'History Y-3'!AG9*('History Y-3'!$S9&lt;&gt;"Y"))/(Settings!$B$10*('History Y-1'!$S9&lt;&gt;"Y")+Settings!$B$11*('History Y-2'!$S9&lt;&gt;"Y")+Settings!$B$12*('History Y-3'!$S9&lt;&gt;"Y")),'History Y-1'!AG9)</f>
        <v>0.0155833049657029</v>
      </c>
      <c r="O9" s="29" t="n">
        <f aca="false">IFERROR((Settings!$B$10*'History Y-1'!AH9*('History Y-1'!$S9&lt;&gt;"Y")+Settings!$B$11*'History Y-2'!AH9*('History Y-2'!$S9&lt;&gt;"Y")+Settings!$B$12*'History Y-3'!AH9*('History Y-3'!$S9&lt;&gt;"Y"))/(Settings!$B$10*('History Y-1'!$S9&lt;&gt;"Y")+Settings!$B$11*('History Y-2'!$S9&lt;&gt;"Y")+Settings!$B$12*('History Y-3'!$S9&lt;&gt;"Y")),'History Y-1'!AH9)</f>
        <v>0.0151719432813753</v>
      </c>
      <c r="P9" s="29" t="n">
        <f aca="false">IFERROR((Settings!$B$10*'History Y-1'!AI9*('History Y-1'!$S9&lt;&gt;"Y")+Settings!$B$11*'History Y-2'!AI9*('History Y-2'!$S9&lt;&gt;"Y")+Settings!$B$12*'History Y-3'!AI9*('History Y-3'!$S9&lt;&gt;"Y"))/(Settings!$B$10*('History Y-1'!$S9&lt;&gt;"Y")+Settings!$B$11*('History Y-2'!$S9&lt;&gt;"Y")+Settings!$B$12*('History Y-3'!$S9&lt;&gt;"Y")),'History Y-1'!AI9)</f>
        <v>0.015763367675689</v>
      </c>
      <c r="Q9" s="57" t="n">
        <f aca="false">IFERROR(K9/SUM(K$6:K$57),0)</f>
        <v>0.0157177283506336</v>
      </c>
      <c r="R9" s="57" t="n">
        <f aca="false">IFERROR(L9/SUM(L$6:L$57),0)</f>
        <v>0.0140170524923936</v>
      </c>
      <c r="S9" s="57" t="n">
        <f aca="false">IFERROR(M9/SUM(M$6:M$57),0)</f>
        <v>0.0154539290505841</v>
      </c>
      <c r="T9" s="57" t="n">
        <f aca="false">IFERROR(N9/SUM(N$6:N$57),0)</f>
        <v>0.0156274747155152</v>
      </c>
      <c r="U9" s="57" t="n">
        <f aca="false">IFERROR(O9/SUM(O$6:O$57),0)</f>
        <v>0.0151891842605453</v>
      </c>
      <c r="V9" s="57" t="n">
        <f aca="false">IFERROR(P9/SUM(P$6:P$57),0)</f>
        <v>0.015805297036784</v>
      </c>
    </row>
    <row r="10" customFormat="false" ht="15" hidden="false" customHeight="false" outlineLevel="0" collapsed="false">
      <c r="A10" s="13" t="n">
        <v>5</v>
      </c>
      <c r="B10" s="29" t="n">
        <f aca="false">IFERROR((Settings!$B$10*'History Y-1'!U10*('History Y-1'!$S10&lt;&gt;"Y")+Settings!$B$11*'History Y-2'!U10*('History Y-2'!$S10&lt;&gt;"Y")+Settings!$B$12*'History Y-3'!U10*('History Y-3'!$S10&lt;&gt;"Y"))/(Settings!$B$10*('History Y-1'!$S10&lt;&gt;"Y")+Settings!$B$11*('History Y-2'!$S10&lt;&gt;"Y")+Settings!$B$12*('History Y-3'!$S10&lt;&gt;"Y")),'History Y-1'!U10)</f>
        <v>0.0213085080530256</v>
      </c>
      <c r="C10" s="23" t="n">
        <f aca="false">IFERROR((Settings!$B$10*'History Y-1'!V10*('History Y-1'!$S10&lt;&gt;"Y")+Settings!$B$11*'History Y-2'!V10*('History Y-2'!$S10&lt;&gt;"Y")+Settings!$B$12*'History Y-3'!V10*('History Y-3'!$S10&lt;&gt;"Y"))/(Settings!$B$10*('History Y-1'!$S10&lt;&gt;"Y")+Settings!$B$11*('History Y-2'!$S10&lt;&gt;"Y")+Settings!$B$12*('History Y-3'!$S10&lt;&gt;"Y")),'History Y-1'!V10)</f>
        <v>73.9396659349836</v>
      </c>
      <c r="D10" s="36" t="n">
        <f aca="false">IFERROR((Settings!$B$10*'History Y-1'!W10*('History Y-1'!$S10&lt;&gt;"Y")+Settings!$B$11*'History Y-2'!W10*('History Y-2'!$S10&lt;&gt;"Y")+Settings!$B$12*'History Y-3'!W10*('History Y-3'!$S10&lt;&gt;"Y"))/(Settings!$B$10*('History Y-1'!$S10&lt;&gt;"Y")+Settings!$B$11*('History Y-2'!$S10&lt;&gt;"Y")+Settings!$B$12*('History Y-3'!$S10&lt;&gt;"Y")),'History Y-1'!W10)</f>
        <v>1.88232861217303</v>
      </c>
      <c r="E10" s="31" t="n">
        <f aca="false">IFERROR((Settings!$B$10*'History Y-1'!X10*('History Y-1'!$S10&lt;&gt;"Y")+Settings!$B$11*'History Y-2'!X10*('History Y-2'!$S10&lt;&gt;"Y")+Settings!$B$12*'History Y-3'!X10*('History Y-3'!$S10&lt;&gt;"Y"))/(Settings!$B$10*('History Y-1'!$S10&lt;&gt;"Y")+Settings!$B$11*('History Y-2'!$S10&lt;&gt;"Y")+Settings!$B$12*('History Y-3'!$S10&lt;&gt;"Y")),'History Y-1'!X10)</f>
        <v>0.0829063407147102</v>
      </c>
      <c r="F10" s="31" t="n">
        <f aca="false">IFERROR((Settings!$B$10*'History Y-1'!Y10*('History Y-1'!$S10&lt;&gt;"Y")+Settings!$B$11*'History Y-2'!Y10*('History Y-2'!$S10&lt;&gt;"Y")+Settings!$B$12*'History Y-3'!Y10*('History Y-3'!$S10&lt;&gt;"Y"))/(Settings!$B$10*('History Y-1'!$S10&lt;&gt;"Y")+Settings!$B$11*('History Y-2'!$S10&lt;&gt;"Y")+Settings!$B$12*('History Y-3'!$S10&lt;&gt;"Y")),'History Y-1'!Y10)</f>
        <v>0.262005503131197</v>
      </c>
      <c r="G10" s="31" t="n">
        <f aca="false">IFERROR((Settings!$B$10*'History Y-1'!Z10*('History Y-1'!$S10&lt;&gt;"Y")+Settings!$B$11*'History Y-2'!Z10*('History Y-2'!$S10&lt;&gt;"Y")+Settings!$B$12*'History Y-3'!Z10*('History Y-3'!$S10&lt;&gt;"Y"))/(Settings!$B$10*('History Y-1'!$S10&lt;&gt;"Y")+Settings!$B$11*('History Y-2'!$S10&lt;&gt;"Y")+Settings!$B$12*('History Y-3'!$S10&lt;&gt;"Y")),'History Y-1'!Z10)</f>
        <v>0.356656926219195</v>
      </c>
      <c r="H10" s="23" t="n">
        <f aca="false">IFERROR((Settings!$B$10*'History Y-1'!AA10*('History Y-1'!$S10&lt;&gt;"Y")+Settings!$B$11*'History Y-2'!AA10*('History Y-2'!$S10&lt;&gt;"Y")+Settings!$B$12*'History Y-3'!AA10*('History Y-3'!$S10&lt;&gt;"Y"))/(Settings!$B$10*('History Y-1'!$S10&lt;&gt;"Y")+Settings!$B$11*('History Y-2'!$S10&lt;&gt;"Y")+Settings!$B$12*('History Y-3'!$S10&lt;&gt;"Y")),'History Y-1'!AA10)</f>
        <v>0.443478965322454</v>
      </c>
      <c r="I10" s="23" t="n">
        <f aca="false">IFERROR((Settings!$B$10*'History Y-1'!AB10*('History Y-1'!$S10&lt;&gt;"Y")+Settings!$B$11*'History Y-2'!AB10*('History Y-2'!$S10&lt;&gt;"Y")+Settings!$B$12*'History Y-3'!AB10*('History Y-3'!$S10&lt;&gt;"Y"))/(Settings!$B$10*('History Y-1'!$S10&lt;&gt;"Y")+Settings!$B$11*('History Y-2'!$S10&lt;&gt;"Y")+Settings!$B$12*('History Y-3'!$S10&lt;&gt;"Y")),'History Y-1'!AB10)</f>
        <v>0.342192343318621</v>
      </c>
      <c r="J10" s="23" t="n">
        <f aca="false">IFERROR((Settings!$B$10*'History Y-1'!AC10*('History Y-1'!$S10&lt;&gt;"Y")+Settings!$B$11*'History Y-2'!AC10*('History Y-2'!$S10&lt;&gt;"Y")+Settings!$B$12*'History Y-3'!AC10*('History Y-3'!$S10&lt;&gt;"Y"))/(Settings!$B$10*('History Y-1'!$S10&lt;&gt;"Y")+Settings!$B$11*('History Y-2'!$S10&lt;&gt;"Y")+Settings!$B$12*('History Y-3'!$S10&lt;&gt;"Y")),'History Y-1'!AC10)</f>
        <v>0.209441875856344</v>
      </c>
      <c r="K10" s="29" t="n">
        <f aca="false">IFERROR((Settings!$B$10*'History Y-1'!AD10*('History Y-1'!$S10&lt;&gt;"Y")+Settings!$B$11*'History Y-2'!AD10*('History Y-2'!$S10&lt;&gt;"Y")+Settings!$B$12*'History Y-3'!AD10*('History Y-3'!$S10&lt;&gt;"Y"))/(Settings!$B$10*('History Y-1'!$S10&lt;&gt;"Y")+Settings!$B$11*('History Y-2'!$S10&lt;&gt;"Y")+Settings!$B$12*('History Y-3'!$S10&lt;&gt;"Y")),'History Y-1'!AD10)</f>
        <v>0.0159244770264627</v>
      </c>
      <c r="L10" s="29" t="n">
        <f aca="false">IFERROR((Settings!$B$10*'History Y-1'!AE10*('History Y-1'!$S10&lt;&gt;"Y")+Settings!$B$11*'History Y-2'!AE10*('History Y-2'!$S10&lt;&gt;"Y")+Settings!$B$12*'History Y-3'!AE10*('History Y-3'!$S10&lt;&gt;"Y"))/(Settings!$B$10*('History Y-1'!$S10&lt;&gt;"Y")+Settings!$B$11*('History Y-2'!$S10&lt;&gt;"Y")+Settings!$B$12*('History Y-3'!$S10&lt;&gt;"Y")),'History Y-1'!AE10)</f>
        <v>0.0140460306718794</v>
      </c>
      <c r="M10" s="29" t="n">
        <f aca="false">IFERROR((Settings!$B$10*'History Y-1'!AF10*('History Y-1'!$S10&lt;&gt;"Y")+Settings!$B$11*'History Y-2'!AF10*('History Y-2'!$S10&lt;&gt;"Y")+Settings!$B$12*'History Y-3'!AF10*('History Y-3'!$S10&lt;&gt;"Y"))/(Settings!$B$10*('History Y-1'!$S10&lt;&gt;"Y")+Settings!$B$11*('History Y-2'!$S10&lt;&gt;"Y")+Settings!$B$12*('History Y-3'!$S10&lt;&gt;"Y")),'History Y-1'!AF10)</f>
        <v>0.0160768449705115</v>
      </c>
      <c r="N10" s="29" t="n">
        <f aca="false">IFERROR((Settings!$B$10*'History Y-1'!AG10*('History Y-1'!$S10&lt;&gt;"Y")+Settings!$B$11*'History Y-2'!AG10*('History Y-2'!$S10&lt;&gt;"Y")+Settings!$B$12*'History Y-3'!AG10*('History Y-3'!$S10&lt;&gt;"Y"))/(Settings!$B$10*('History Y-1'!$S10&lt;&gt;"Y")+Settings!$B$11*('History Y-2'!$S10&lt;&gt;"Y")+Settings!$B$12*('History Y-3'!$S10&lt;&gt;"Y")),'History Y-1'!AG10)</f>
        <v>0.0160383173486889</v>
      </c>
      <c r="O10" s="29" t="n">
        <f aca="false">IFERROR((Settings!$B$10*'History Y-1'!AH10*('History Y-1'!$S10&lt;&gt;"Y")+Settings!$B$11*'History Y-2'!AH10*('History Y-2'!$S10&lt;&gt;"Y")+Settings!$B$12*'History Y-3'!AH10*('History Y-3'!$S10&lt;&gt;"Y"))/(Settings!$B$10*('History Y-1'!$S10&lt;&gt;"Y")+Settings!$B$11*('History Y-2'!$S10&lt;&gt;"Y")+Settings!$B$12*('History Y-3'!$S10&lt;&gt;"Y")),'History Y-1'!AH10)</f>
        <v>0.0161145572073439</v>
      </c>
      <c r="P10" s="29" t="n">
        <f aca="false">IFERROR((Settings!$B$10*'History Y-1'!AI10*('History Y-1'!$S10&lt;&gt;"Y")+Settings!$B$11*'History Y-2'!AI10*('History Y-2'!$S10&lt;&gt;"Y")+Settings!$B$12*'History Y-3'!AI10*('History Y-3'!$S10&lt;&gt;"Y"))/(Settings!$B$10*('History Y-1'!$S10&lt;&gt;"Y")+Settings!$B$11*('History Y-2'!$S10&lt;&gt;"Y")+Settings!$B$12*('History Y-3'!$S10&lt;&gt;"Y")),'History Y-1'!AI10)</f>
        <v>0.0167118976165134</v>
      </c>
      <c r="Q10" s="57" t="n">
        <f aca="false">IFERROR(K10/SUM(K$6:K$57),0)</f>
        <v>0.0159330504364895</v>
      </c>
      <c r="R10" s="57" t="n">
        <f aca="false">IFERROR(L10/SUM(L$6:L$57),0)</f>
        <v>0.0140580825201405</v>
      </c>
      <c r="S10" s="57" t="n">
        <f aca="false">IFERROR(M10/SUM(M$6:M$57),0)</f>
        <v>0.0161002687463115</v>
      </c>
      <c r="T10" s="57" t="n">
        <f aca="false">IFERROR(N10/SUM(N$6:N$57),0)</f>
        <v>0.0160837767981613</v>
      </c>
      <c r="U10" s="57" t="n">
        <f aca="false">IFERROR(O10/SUM(O$6:O$57),0)</f>
        <v>0.0161328693470609</v>
      </c>
      <c r="V10" s="57" t="n">
        <f aca="false">IFERROR(P10/SUM(P$6:P$57),0)</f>
        <v>0.0167563499952285</v>
      </c>
    </row>
    <row r="11" customFormat="false" ht="15" hidden="false" customHeight="false" outlineLevel="0" collapsed="false">
      <c r="A11" s="13" t="n">
        <v>6</v>
      </c>
      <c r="B11" s="29" t="n">
        <f aca="false">IFERROR((Settings!$B$10*'History Y-1'!U11*('History Y-1'!$S11&lt;&gt;"Y")+Settings!$B$11*'History Y-2'!U11*('History Y-2'!$S11&lt;&gt;"Y")+Settings!$B$12*'History Y-3'!U11*('History Y-3'!$S11&lt;&gt;"Y"))/(Settings!$B$10*('History Y-1'!$S11&lt;&gt;"Y")+Settings!$B$11*('History Y-2'!$S11&lt;&gt;"Y")+Settings!$B$12*('History Y-3'!$S11&lt;&gt;"Y")),'History Y-1'!U11)</f>
        <v>0.0221930629813017</v>
      </c>
      <c r="C11" s="23" t="n">
        <f aca="false">IFERROR((Settings!$B$10*'History Y-1'!V11*('History Y-1'!$S11&lt;&gt;"Y")+Settings!$B$11*'History Y-2'!V11*('History Y-2'!$S11&lt;&gt;"Y")+Settings!$B$12*'History Y-3'!V11*('History Y-3'!$S11&lt;&gt;"Y"))/(Settings!$B$10*('History Y-1'!$S11&lt;&gt;"Y")+Settings!$B$11*('History Y-2'!$S11&lt;&gt;"Y")+Settings!$B$12*('History Y-3'!$S11&lt;&gt;"Y")),'History Y-1'!V11)</f>
        <v>75.9631421100623</v>
      </c>
      <c r="D11" s="36" t="n">
        <f aca="false">IFERROR((Settings!$B$10*'History Y-1'!W11*('History Y-1'!$S11&lt;&gt;"Y")+Settings!$B$11*'History Y-2'!W11*('History Y-2'!$S11&lt;&gt;"Y")+Settings!$B$12*'History Y-3'!W11*('History Y-3'!$S11&lt;&gt;"Y"))/(Settings!$B$10*('History Y-1'!$S11&lt;&gt;"Y")+Settings!$B$11*('History Y-2'!$S11&lt;&gt;"Y")+Settings!$B$12*('History Y-3'!$S11&lt;&gt;"Y")),'History Y-1'!W11)</f>
        <v>1.93859769040666</v>
      </c>
      <c r="E11" s="31" t="n">
        <f aca="false">IFERROR((Settings!$B$10*'History Y-1'!X11*('History Y-1'!$S11&lt;&gt;"Y")+Settings!$B$11*'History Y-2'!X11*('History Y-2'!$S11&lt;&gt;"Y")+Settings!$B$12*'History Y-3'!X11*('History Y-3'!$S11&lt;&gt;"Y"))/(Settings!$B$10*('History Y-1'!$S11&lt;&gt;"Y")+Settings!$B$11*('History Y-2'!$S11&lt;&gt;"Y")+Settings!$B$12*('History Y-3'!$S11&lt;&gt;"Y")),'History Y-1'!X11)</f>
        <v>0.0782325313472703</v>
      </c>
      <c r="F11" s="31" t="n">
        <f aca="false">IFERROR((Settings!$B$10*'History Y-1'!Y11*('History Y-1'!$S11&lt;&gt;"Y")+Settings!$B$11*'History Y-2'!Y11*('History Y-2'!$S11&lt;&gt;"Y")+Settings!$B$12*'History Y-3'!Y11*('History Y-3'!$S11&lt;&gt;"Y"))/(Settings!$B$10*('History Y-1'!$S11&lt;&gt;"Y")+Settings!$B$11*('History Y-2'!$S11&lt;&gt;"Y")+Settings!$B$12*('History Y-3'!$S11&lt;&gt;"Y")),'History Y-1'!Y11)</f>
        <v>0.257710082310918</v>
      </c>
      <c r="G11" s="31" t="n">
        <f aca="false">IFERROR((Settings!$B$10*'History Y-1'!Z11*('History Y-1'!$S11&lt;&gt;"Y")+Settings!$B$11*'History Y-2'!Z11*('History Y-2'!$S11&lt;&gt;"Y")+Settings!$B$12*'History Y-3'!Z11*('History Y-3'!$S11&lt;&gt;"Y"))/(Settings!$B$10*('History Y-1'!$S11&lt;&gt;"Y")+Settings!$B$11*('History Y-2'!$S11&lt;&gt;"Y")+Settings!$B$12*('History Y-3'!$S11&lt;&gt;"Y")),'History Y-1'!Z11)</f>
        <v>0.346505384947476</v>
      </c>
      <c r="H11" s="23" t="n">
        <f aca="false">IFERROR((Settings!$B$10*'History Y-1'!AA11*('History Y-1'!$S11&lt;&gt;"Y")+Settings!$B$11*'History Y-2'!AA11*('History Y-2'!$S11&lt;&gt;"Y")+Settings!$B$12*'History Y-3'!AA11*('History Y-3'!$S11&lt;&gt;"Y"))/(Settings!$B$10*('History Y-1'!$S11&lt;&gt;"Y")+Settings!$B$11*('History Y-2'!$S11&lt;&gt;"Y")+Settings!$B$12*('History Y-3'!$S11&lt;&gt;"Y")),'History Y-1'!AA11)</f>
        <v>0.457130575434439</v>
      </c>
      <c r="I11" s="23" t="n">
        <f aca="false">IFERROR((Settings!$B$10*'History Y-1'!AB11*('History Y-1'!$S11&lt;&gt;"Y")+Settings!$B$11*'History Y-2'!AB11*('History Y-2'!$S11&lt;&gt;"Y")+Settings!$B$12*'History Y-3'!AB11*('History Y-3'!$S11&lt;&gt;"Y"))/(Settings!$B$10*('History Y-1'!$S11&lt;&gt;"Y")+Settings!$B$11*('History Y-2'!$S11&lt;&gt;"Y")+Settings!$B$12*('History Y-3'!$S11&lt;&gt;"Y")),'History Y-1'!AB11)</f>
        <v>0.339268041682208</v>
      </c>
      <c r="J11" s="23" t="n">
        <f aca="false">IFERROR((Settings!$B$10*'History Y-1'!AC11*('History Y-1'!$S11&lt;&gt;"Y")+Settings!$B$11*'History Y-2'!AC11*('History Y-2'!$S11&lt;&gt;"Y")+Settings!$B$12*'History Y-3'!AC11*('History Y-3'!$S11&lt;&gt;"Y"))/(Settings!$B$10*('History Y-1'!$S11&lt;&gt;"Y")+Settings!$B$11*('History Y-2'!$S11&lt;&gt;"Y")+Settings!$B$12*('History Y-3'!$S11&lt;&gt;"Y")),'History Y-1'!AC11)</f>
        <v>0.205493698781424</v>
      </c>
      <c r="K11" s="29" t="n">
        <f aca="false">IFERROR((Settings!$B$10*'History Y-1'!AD11*('History Y-1'!$S11&lt;&gt;"Y")+Settings!$B$11*'History Y-2'!AD11*('History Y-2'!$S11&lt;&gt;"Y")+Settings!$B$12*'History Y-3'!AD11*('History Y-3'!$S11&lt;&gt;"Y"))/(Settings!$B$10*('History Y-1'!$S11&lt;&gt;"Y")+Settings!$B$11*('History Y-2'!$S11&lt;&gt;"Y")+Settings!$B$12*('History Y-3'!$S11&lt;&gt;"Y")),'History Y-1'!AD11)</f>
        <v>0.0162502523608309</v>
      </c>
      <c r="L11" s="29" t="n">
        <f aca="false">IFERROR((Settings!$B$10*'History Y-1'!AE11*('History Y-1'!$S11&lt;&gt;"Y")+Settings!$B$11*'History Y-2'!AE11*('History Y-2'!$S11&lt;&gt;"Y")+Settings!$B$12*'History Y-3'!AE11*('History Y-3'!$S11&lt;&gt;"Y"))/(Settings!$B$10*('History Y-1'!$S11&lt;&gt;"Y")+Settings!$B$11*('History Y-2'!$S11&lt;&gt;"Y")+Settings!$B$12*('History Y-3'!$S11&lt;&gt;"Y")),'History Y-1'!AE11)</f>
        <v>0.0143818140311289</v>
      </c>
      <c r="M11" s="29" t="n">
        <f aca="false">IFERROR((Settings!$B$10*'History Y-1'!AF11*('History Y-1'!$S11&lt;&gt;"Y")+Settings!$B$11*'History Y-2'!AF11*('History Y-2'!$S11&lt;&gt;"Y")+Settings!$B$12*'History Y-3'!AF11*('History Y-3'!$S11&lt;&gt;"Y"))/(Settings!$B$10*('History Y-1'!$S11&lt;&gt;"Y")+Settings!$B$11*('History Y-2'!$S11&lt;&gt;"Y")+Settings!$B$12*('History Y-3'!$S11&lt;&gt;"Y")),'History Y-1'!AF11)</f>
        <v>0.0164596688208403</v>
      </c>
      <c r="N11" s="29" t="n">
        <f aca="false">IFERROR((Settings!$B$10*'History Y-1'!AG11*('History Y-1'!$S11&lt;&gt;"Y")+Settings!$B$11*'History Y-2'!AG11*('History Y-2'!$S11&lt;&gt;"Y")+Settings!$B$12*'History Y-3'!AG11*('History Y-3'!$S11&lt;&gt;"Y"))/(Settings!$B$10*('History Y-1'!$S11&lt;&gt;"Y")+Settings!$B$11*('History Y-2'!$S11&lt;&gt;"Y")+Settings!$B$12*('History Y-3'!$S11&lt;&gt;"Y")),'History Y-1'!AG11)</f>
        <v>0.0163347815334685</v>
      </c>
      <c r="O11" s="29" t="n">
        <f aca="false">IFERROR((Settings!$B$10*'History Y-1'!AH11*('History Y-1'!$S11&lt;&gt;"Y")+Settings!$B$11*'History Y-2'!AH11*('History Y-2'!$S11&lt;&gt;"Y")+Settings!$B$12*'History Y-3'!AH11*('History Y-3'!$S11&lt;&gt;"Y"))/(Settings!$B$10*('History Y-1'!$S11&lt;&gt;"Y")+Settings!$B$11*('History Y-2'!$S11&lt;&gt;"Y")+Settings!$B$12*('History Y-3'!$S11&lt;&gt;"Y")),'History Y-1'!AH11)</f>
        <v>0.0158763277017372</v>
      </c>
      <c r="P11" s="29" t="n">
        <f aca="false">IFERROR((Settings!$B$10*'History Y-1'!AI11*('History Y-1'!$S11&lt;&gt;"Y")+Settings!$B$11*'History Y-2'!AI11*('History Y-2'!$S11&lt;&gt;"Y")+Settings!$B$12*'History Y-3'!AI11*('History Y-3'!$S11&lt;&gt;"Y"))/(Settings!$B$10*('History Y-1'!$S11&lt;&gt;"Y")+Settings!$B$11*('History Y-2'!$S11&lt;&gt;"Y")+Settings!$B$12*('History Y-3'!$S11&lt;&gt;"Y")),'History Y-1'!AI11)</f>
        <v>0.0158870238813219</v>
      </c>
      <c r="Q11" s="57" t="n">
        <f aca="false">IFERROR(K11/SUM(K$6:K$57),0)</f>
        <v>0.0162590011615793</v>
      </c>
      <c r="R11" s="57" t="n">
        <f aca="false">IFERROR(L11/SUM(L$6:L$57),0)</f>
        <v>0.0143941539899736</v>
      </c>
      <c r="S11" s="57" t="n">
        <f aca="false">IFERROR(M11/SUM(M$6:M$57),0)</f>
        <v>0.0164836503665297</v>
      </c>
      <c r="T11" s="57" t="n">
        <f aca="false">IFERROR(N11/SUM(N$6:N$57),0)</f>
        <v>0.0163810812892109</v>
      </c>
      <c r="U11" s="57" t="n">
        <f aca="false">IFERROR(O11/SUM(O$6:O$57),0)</f>
        <v>0.0158943691239944</v>
      </c>
      <c r="V11" s="57" t="n">
        <f aca="false">IFERROR(P11/SUM(P$6:P$57),0)</f>
        <v>0.0159292821585346</v>
      </c>
    </row>
    <row r="12" customFormat="false" ht="15" hidden="false" customHeight="false" outlineLevel="0" collapsed="false">
      <c r="A12" s="13" t="n">
        <v>7</v>
      </c>
      <c r="B12" s="29" t="n">
        <f aca="false">IFERROR((Settings!$B$10*'History Y-1'!U12*('History Y-1'!$S12&lt;&gt;"Y")+Settings!$B$11*'History Y-2'!U12*('History Y-2'!$S12&lt;&gt;"Y")+Settings!$B$12*'History Y-3'!U12*('History Y-3'!$S12&lt;&gt;"Y"))/(Settings!$B$10*('History Y-1'!$S12&lt;&gt;"Y")+Settings!$B$11*('History Y-2'!$S12&lt;&gt;"Y")+Settings!$B$12*('History Y-3'!$S12&lt;&gt;"Y")),'History Y-1'!U12)</f>
        <v>0.021431304562167</v>
      </c>
      <c r="C12" s="23" t="n">
        <f aca="false">IFERROR((Settings!$B$10*'History Y-1'!V12*('History Y-1'!$S12&lt;&gt;"Y")+Settings!$B$11*'History Y-2'!V12*('History Y-2'!$S12&lt;&gt;"Y")+Settings!$B$12*'History Y-3'!V12*('History Y-3'!$S12&lt;&gt;"Y"))/(Settings!$B$10*('History Y-1'!$S12&lt;&gt;"Y")+Settings!$B$11*('History Y-2'!$S12&lt;&gt;"Y")+Settings!$B$12*('History Y-3'!$S12&lt;&gt;"Y")),'History Y-1'!V12)</f>
        <v>74.5664704372176</v>
      </c>
      <c r="D12" s="36" t="n">
        <f aca="false">IFERROR((Settings!$B$10*'History Y-1'!W12*('History Y-1'!$S12&lt;&gt;"Y")+Settings!$B$11*'History Y-2'!W12*('History Y-2'!$S12&lt;&gt;"Y")+Settings!$B$12*'History Y-3'!W12*('History Y-3'!$S12&lt;&gt;"Y"))/(Settings!$B$10*('History Y-1'!$S12&lt;&gt;"Y")+Settings!$B$11*('History Y-2'!$S12&lt;&gt;"Y")+Settings!$B$12*('History Y-3'!$S12&lt;&gt;"Y")),'History Y-1'!W12)</f>
        <v>1.90789411919549</v>
      </c>
      <c r="E12" s="31" t="n">
        <f aca="false">IFERROR((Settings!$B$10*'History Y-1'!X12*('History Y-1'!$S12&lt;&gt;"Y")+Settings!$B$11*'History Y-2'!X12*('History Y-2'!$S12&lt;&gt;"Y")+Settings!$B$12*'History Y-3'!X12*('History Y-3'!$S12&lt;&gt;"Y"))/(Settings!$B$10*('History Y-1'!$S12&lt;&gt;"Y")+Settings!$B$11*('History Y-2'!$S12&lt;&gt;"Y")+Settings!$B$12*('History Y-3'!$S12&lt;&gt;"Y")),'History Y-1'!X12)</f>
        <v>0.0796188438534106</v>
      </c>
      <c r="F12" s="31" t="n">
        <f aca="false">IFERROR((Settings!$B$10*'History Y-1'!Y12*('History Y-1'!$S12&lt;&gt;"Y")+Settings!$B$11*'History Y-2'!Y12*('History Y-2'!$S12&lt;&gt;"Y")+Settings!$B$12*'History Y-3'!Y12*('History Y-3'!$S12&lt;&gt;"Y"))/(Settings!$B$10*('History Y-1'!$S12&lt;&gt;"Y")+Settings!$B$11*('History Y-2'!$S12&lt;&gt;"Y")+Settings!$B$12*('History Y-3'!$S12&lt;&gt;"Y")),'History Y-1'!Y12)</f>
        <v>0.259534122550686</v>
      </c>
      <c r="G12" s="31" t="n">
        <f aca="false">IFERROR((Settings!$B$10*'History Y-1'!Z12*('History Y-1'!$S12&lt;&gt;"Y")+Settings!$B$11*'History Y-2'!Z12*('History Y-2'!$S12&lt;&gt;"Y")+Settings!$B$12*'History Y-3'!Z12*('History Y-3'!$S12&lt;&gt;"Y"))/(Settings!$B$10*('History Y-1'!$S12&lt;&gt;"Y")+Settings!$B$11*('History Y-2'!$S12&lt;&gt;"Y")+Settings!$B$12*('History Y-3'!$S12&lt;&gt;"Y")),'History Y-1'!Z12)</f>
        <v>0.34463222045002</v>
      </c>
      <c r="H12" s="23" t="n">
        <f aca="false">IFERROR((Settings!$B$10*'History Y-1'!AA12*('History Y-1'!$S12&lt;&gt;"Y")+Settings!$B$11*'History Y-2'!AA12*('History Y-2'!$S12&lt;&gt;"Y")+Settings!$B$12*'History Y-3'!AA12*('History Y-3'!$S12&lt;&gt;"Y"))/(Settings!$B$10*('History Y-1'!$S12&lt;&gt;"Y")+Settings!$B$11*('History Y-2'!$S12&lt;&gt;"Y")+Settings!$B$12*('History Y-3'!$S12&lt;&gt;"Y")),'History Y-1'!AA12)</f>
        <v>0.450393691430711</v>
      </c>
      <c r="I12" s="23" t="n">
        <f aca="false">IFERROR((Settings!$B$10*'History Y-1'!AB12*('History Y-1'!$S12&lt;&gt;"Y")+Settings!$B$11*'History Y-2'!AB12*('History Y-2'!$S12&lt;&gt;"Y")+Settings!$B$12*'History Y-3'!AB12*('History Y-3'!$S12&lt;&gt;"Y"))/(Settings!$B$10*('History Y-1'!$S12&lt;&gt;"Y")+Settings!$B$11*('History Y-2'!$S12&lt;&gt;"Y")+Settings!$B$12*('History Y-3'!$S12&lt;&gt;"Y")),'History Y-1'!AB12)</f>
        <v>0.349124397544839</v>
      </c>
      <c r="J12" s="23" t="n">
        <f aca="false">IFERROR((Settings!$B$10*'History Y-1'!AC12*('History Y-1'!$S12&lt;&gt;"Y")+Settings!$B$11*'History Y-2'!AC12*('History Y-2'!$S12&lt;&gt;"Y")+Settings!$B$12*'History Y-3'!AC12*('History Y-3'!$S12&lt;&gt;"Y"))/(Settings!$B$10*('History Y-1'!$S12&lt;&gt;"Y")+Settings!$B$11*('History Y-2'!$S12&lt;&gt;"Y")+Settings!$B$12*('History Y-3'!$S12&lt;&gt;"Y")),'History Y-1'!AC12)</f>
        <v>0.197230927409336</v>
      </c>
      <c r="K12" s="29" t="n">
        <f aca="false">IFERROR((Settings!$B$10*'History Y-1'!AD12*('History Y-1'!$S12&lt;&gt;"Y")+Settings!$B$11*'History Y-2'!AD12*('History Y-2'!$S12&lt;&gt;"Y")+Settings!$B$12*'History Y-3'!AD12*('History Y-3'!$S12&lt;&gt;"Y"))/(Settings!$B$10*('History Y-1'!$S12&lt;&gt;"Y")+Settings!$B$11*('History Y-2'!$S12&lt;&gt;"Y")+Settings!$B$12*('History Y-3'!$S12&lt;&gt;"Y")),'History Y-1'!AD12)</f>
        <v>0.0167212842136311</v>
      </c>
      <c r="L12" s="29" t="n">
        <f aca="false">IFERROR((Settings!$B$10*'History Y-1'!AE12*('History Y-1'!$S12&lt;&gt;"Y")+Settings!$B$11*'History Y-2'!AE12*('History Y-2'!$S12&lt;&gt;"Y")+Settings!$B$12*'History Y-3'!AE12*('History Y-3'!$S12&lt;&gt;"Y"))/(Settings!$B$10*('History Y-1'!$S12&lt;&gt;"Y")+Settings!$B$11*('History Y-2'!$S12&lt;&gt;"Y")+Settings!$B$12*('History Y-3'!$S12&lt;&gt;"Y")),'History Y-1'!AE12)</f>
        <v>0.0143819727204348</v>
      </c>
      <c r="M12" s="29" t="n">
        <f aca="false">IFERROR((Settings!$B$10*'History Y-1'!AF12*('History Y-1'!$S12&lt;&gt;"Y")+Settings!$B$11*'History Y-2'!AF12*('History Y-2'!$S12&lt;&gt;"Y")+Settings!$B$12*'History Y-3'!AF12*('History Y-3'!$S12&lt;&gt;"Y"))/(Settings!$B$10*('History Y-1'!$S12&lt;&gt;"Y")+Settings!$B$11*('History Y-2'!$S12&lt;&gt;"Y")+Settings!$B$12*('History Y-3'!$S12&lt;&gt;"Y")),'History Y-1'!AF12)</f>
        <v>0.016412068432868</v>
      </c>
      <c r="N12" s="29" t="n">
        <f aca="false">IFERROR((Settings!$B$10*'History Y-1'!AG12*('History Y-1'!$S12&lt;&gt;"Y")+Settings!$B$11*'History Y-2'!AG12*('History Y-2'!$S12&lt;&gt;"Y")+Settings!$B$12*'History Y-3'!AG12*('History Y-3'!$S12&lt;&gt;"Y"))/(Settings!$B$10*('History Y-1'!$S12&lt;&gt;"Y")+Settings!$B$11*('History Y-2'!$S12&lt;&gt;"Y")+Settings!$B$12*('History Y-3'!$S12&lt;&gt;"Y")),'History Y-1'!AG12)</f>
        <v>0.015634998947677</v>
      </c>
      <c r="O12" s="29" t="n">
        <f aca="false">IFERROR((Settings!$B$10*'History Y-1'!AH12*('History Y-1'!$S12&lt;&gt;"Y")+Settings!$B$11*'History Y-2'!AH12*('History Y-2'!$S12&lt;&gt;"Y")+Settings!$B$12*'History Y-3'!AH12*('History Y-3'!$S12&lt;&gt;"Y"))/(Settings!$B$10*('History Y-1'!$S12&lt;&gt;"Y")+Settings!$B$11*('History Y-2'!$S12&lt;&gt;"Y")+Settings!$B$12*('History Y-3'!$S12&lt;&gt;"Y")),'History Y-1'!AH12)</f>
        <v>0.0165634105835419</v>
      </c>
      <c r="P12" s="29" t="n">
        <f aca="false">IFERROR((Settings!$B$10*'History Y-1'!AI12*('History Y-1'!$S12&lt;&gt;"Y")+Settings!$B$11*'History Y-2'!AI12*('History Y-2'!$S12&lt;&gt;"Y")+Settings!$B$12*'History Y-3'!AI12*('History Y-3'!$S12&lt;&gt;"Y"))/(Settings!$B$10*('History Y-1'!$S12&lt;&gt;"Y")+Settings!$B$11*('History Y-2'!$S12&lt;&gt;"Y")+Settings!$B$12*('History Y-3'!$S12&lt;&gt;"Y")),'History Y-1'!AI12)</f>
        <v>0.0159037728835061</v>
      </c>
      <c r="Q12" s="57" t="n">
        <f aca="false">IFERROR(K12/SUM(K$6:K$57),0)</f>
        <v>0.0167302866082153</v>
      </c>
      <c r="R12" s="57" t="n">
        <f aca="false">IFERROR(L12/SUM(L$6:L$57),0)</f>
        <v>0.014394312815439</v>
      </c>
      <c r="S12" s="57" t="n">
        <f aca="false">IFERROR(M12/SUM(M$6:M$57),0)</f>
        <v>0.0164359806253468</v>
      </c>
      <c r="T12" s="57" t="n">
        <f aca="false">IFERROR(N12/SUM(N$6:N$57),0)</f>
        <v>0.0156793152203389</v>
      </c>
      <c r="U12" s="57" t="n">
        <f aca="false">IFERROR(O12/SUM(O$6:O$57),0)</f>
        <v>0.0165822327878937</v>
      </c>
      <c r="V12" s="57" t="n">
        <f aca="false">IFERROR(P12/SUM(P$6:P$57),0)</f>
        <v>0.0159460757117928</v>
      </c>
    </row>
    <row r="13" customFormat="false" ht="15" hidden="false" customHeight="false" outlineLevel="0" collapsed="false">
      <c r="A13" s="13" t="n">
        <v>8</v>
      </c>
      <c r="B13" s="29" t="n">
        <f aca="false">IFERROR((Settings!$B$10*'History Y-1'!U13*('History Y-1'!$S13&lt;&gt;"Y")+Settings!$B$11*'History Y-2'!U13*('History Y-2'!$S13&lt;&gt;"Y")+Settings!$B$12*'History Y-3'!U13*('History Y-3'!$S13&lt;&gt;"Y"))/(Settings!$B$10*('History Y-1'!$S13&lt;&gt;"Y")+Settings!$B$11*('History Y-2'!$S13&lt;&gt;"Y")+Settings!$B$12*('History Y-3'!$S13&lt;&gt;"Y")),'History Y-1'!U13)</f>
        <v>0.0215497916626946</v>
      </c>
      <c r="C13" s="23" t="n">
        <f aca="false">IFERROR((Settings!$B$10*'History Y-1'!V13*('History Y-1'!$S13&lt;&gt;"Y")+Settings!$B$11*'History Y-2'!V13*('History Y-2'!$S13&lt;&gt;"Y")+Settings!$B$12*'History Y-3'!V13*('History Y-3'!$S13&lt;&gt;"Y"))/(Settings!$B$10*('History Y-1'!$S13&lt;&gt;"Y")+Settings!$B$11*('History Y-2'!$S13&lt;&gt;"Y")+Settings!$B$12*('History Y-3'!$S13&lt;&gt;"Y")),'History Y-1'!V13)</f>
        <v>75.6302467446733</v>
      </c>
      <c r="D13" s="36" t="n">
        <f aca="false">IFERROR((Settings!$B$10*'History Y-1'!W13*('History Y-1'!$S13&lt;&gt;"Y")+Settings!$B$11*'History Y-2'!W13*('History Y-2'!$S13&lt;&gt;"Y")+Settings!$B$12*'History Y-3'!W13*('History Y-3'!$S13&lt;&gt;"Y"))/(Settings!$B$10*('History Y-1'!$S13&lt;&gt;"Y")+Settings!$B$11*('History Y-2'!$S13&lt;&gt;"Y")+Settings!$B$12*('History Y-3'!$S13&lt;&gt;"Y")),'History Y-1'!W13)</f>
        <v>1.86169268292906</v>
      </c>
      <c r="E13" s="31" t="n">
        <f aca="false">IFERROR((Settings!$B$10*'History Y-1'!X13*('History Y-1'!$S13&lt;&gt;"Y")+Settings!$B$11*'History Y-2'!X13*('History Y-2'!$S13&lt;&gt;"Y")+Settings!$B$12*'History Y-3'!X13*('History Y-3'!$S13&lt;&gt;"Y"))/(Settings!$B$10*('History Y-1'!$S13&lt;&gt;"Y")+Settings!$B$11*('History Y-2'!$S13&lt;&gt;"Y")+Settings!$B$12*('History Y-3'!$S13&lt;&gt;"Y")),'History Y-1'!X13)</f>
        <v>0.0794971979963994</v>
      </c>
      <c r="F13" s="31" t="n">
        <f aca="false">IFERROR((Settings!$B$10*'History Y-1'!Y13*('History Y-1'!$S13&lt;&gt;"Y")+Settings!$B$11*'History Y-2'!Y13*('History Y-2'!$S13&lt;&gt;"Y")+Settings!$B$12*'History Y-3'!Y13*('History Y-3'!$S13&lt;&gt;"Y"))/(Settings!$B$10*('History Y-1'!$S13&lt;&gt;"Y")+Settings!$B$11*('History Y-2'!$S13&lt;&gt;"Y")+Settings!$B$12*('History Y-3'!$S13&lt;&gt;"Y")),'History Y-1'!Y13)</f>
        <v>0.254978271906444</v>
      </c>
      <c r="G13" s="31" t="n">
        <f aca="false">IFERROR((Settings!$B$10*'History Y-1'!Z13*('History Y-1'!$S13&lt;&gt;"Y")+Settings!$B$11*'History Y-2'!Z13*('History Y-2'!$S13&lt;&gt;"Y")+Settings!$B$12*'History Y-3'!Z13*('History Y-3'!$S13&lt;&gt;"Y"))/(Settings!$B$10*('History Y-1'!$S13&lt;&gt;"Y")+Settings!$B$11*('History Y-2'!$S13&lt;&gt;"Y")+Settings!$B$12*('History Y-3'!$S13&lt;&gt;"Y")),'History Y-1'!Z13)</f>
        <v>0.362619036477588</v>
      </c>
      <c r="H13" s="23" t="n">
        <f aca="false">IFERROR((Settings!$B$10*'History Y-1'!AA13*('History Y-1'!$S13&lt;&gt;"Y")+Settings!$B$11*'History Y-2'!AA13*('History Y-2'!$S13&lt;&gt;"Y")+Settings!$B$12*'History Y-3'!AA13*('History Y-3'!$S13&lt;&gt;"Y"))/(Settings!$B$10*('History Y-1'!$S13&lt;&gt;"Y")+Settings!$B$11*('History Y-2'!$S13&lt;&gt;"Y")+Settings!$B$12*('History Y-3'!$S13&lt;&gt;"Y")),'History Y-1'!AA13)</f>
        <v>0.447817797394128</v>
      </c>
      <c r="I13" s="23" t="n">
        <f aca="false">IFERROR((Settings!$B$10*'History Y-1'!AB13*('History Y-1'!$S13&lt;&gt;"Y")+Settings!$B$11*'History Y-2'!AB13*('History Y-2'!$S13&lt;&gt;"Y")+Settings!$B$12*'History Y-3'!AB13*('History Y-3'!$S13&lt;&gt;"Y"))/(Settings!$B$10*('History Y-1'!$S13&lt;&gt;"Y")+Settings!$B$11*('History Y-2'!$S13&lt;&gt;"Y")+Settings!$B$12*('History Y-3'!$S13&lt;&gt;"Y")),'History Y-1'!AB13)</f>
        <v>0.33494758570394</v>
      </c>
      <c r="J13" s="23" t="n">
        <f aca="false">IFERROR((Settings!$B$10*'History Y-1'!AC13*('History Y-1'!$S13&lt;&gt;"Y")+Settings!$B$11*'History Y-2'!AC13*('History Y-2'!$S13&lt;&gt;"Y")+Settings!$B$12*'History Y-3'!AC13*('History Y-3'!$S13&lt;&gt;"Y"))/(Settings!$B$10*('History Y-1'!$S13&lt;&gt;"Y")+Settings!$B$11*('History Y-2'!$S13&lt;&gt;"Y")+Settings!$B$12*('History Y-3'!$S13&lt;&gt;"Y")),'History Y-1'!AC13)</f>
        <v>0.206618332875692</v>
      </c>
      <c r="K13" s="29" t="n">
        <f aca="false">IFERROR((Settings!$B$10*'History Y-1'!AD13*('History Y-1'!$S13&lt;&gt;"Y")+Settings!$B$11*'History Y-2'!AD13*('History Y-2'!$S13&lt;&gt;"Y")+Settings!$B$12*'History Y-3'!AD13*('History Y-3'!$S13&lt;&gt;"Y"))/(Settings!$B$10*('History Y-1'!$S13&lt;&gt;"Y")+Settings!$B$11*('History Y-2'!$S13&lt;&gt;"Y")+Settings!$B$12*('History Y-3'!$S13&lt;&gt;"Y")),'History Y-1'!AD13)</f>
        <v>0.0155773472143244</v>
      </c>
      <c r="L13" s="29" t="n">
        <f aca="false">IFERROR((Settings!$B$10*'History Y-1'!AE13*('History Y-1'!$S13&lt;&gt;"Y")+Settings!$B$11*'History Y-2'!AE13*('History Y-2'!$S13&lt;&gt;"Y")+Settings!$B$12*'History Y-3'!AE13*('History Y-3'!$S13&lt;&gt;"Y"))/(Settings!$B$10*('History Y-1'!$S13&lt;&gt;"Y")+Settings!$B$11*('History Y-2'!$S13&lt;&gt;"Y")+Settings!$B$12*('History Y-3'!$S13&lt;&gt;"Y")),'History Y-1'!AE13)</f>
        <v>0.0145502926149875</v>
      </c>
      <c r="M13" s="29" t="n">
        <f aca="false">IFERROR((Settings!$B$10*'History Y-1'!AF13*('History Y-1'!$S13&lt;&gt;"Y")+Settings!$B$11*'History Y-2'!AF13*('History Y-2'!$S13&lt;&gt;"Y")+Settings!$B$12*'History Y-3'!AF13*('History Y-3'!$S13&lt;&gt;"Y"))/(Settings!$B$10*('History Y-1'!$S13&lt;&gt;"Y")+Settings!$B$11*('History Y-2'!$S13&lt;&gt;"Y")+Settings!$B$12*('History Y-3'!$S13&lt;&gt;"Y")),'History Y-1'!AF13)</f>
        <v>0.0162411078194362</v>
      </c>
      <c r="N13" s="29" t="n">
        <f aca="false">IFERROR((Settings!$B$10*'History Y-1'!AG13*('History Y-1'!$S13&lt;&gt;"Y")+Settings!$B$11*'History Y-2'!AG13*('History Y-2'!$S13&lt;&gt;"Y")+Settings!$B$12*'History Y-3'!AG13*('History Y-3'!$S13&lt;&gt;"Y"))/(Settings!$B$10*('History Y-1'!$S13&lt;&gt;"Y")+Settings!$B$11*('History Y-2'!$S13&lt;&gt;"Y")+Settings!$B$12*('History Y-3'!$S13&lt;&gt;"Y")),'History Y-1'!AG13)</f>
        <v>0.0152931474977209</v>
      </c>
      <c r="O13" s="29" t="n">
        <f aca="false">IFERROR((Settings!$B$10*'History Y-1'!AH13*('History Y-1'!$S13&lt;&gt;"Y")+Settings!$B$11*'History Y-2'!AH13*('History Y-2'!$S13&lt;&gt;"Y")+Settings!$B$12*'History Y-3'!AH13*('History Y-3'!$S13&lt;&gt;"Y"))/(Settings!$B$10*('History Y-1'!$S13&lt;&gt;"Y")+Settings!$B$11*('History Y-2'!$S13&lt;&gt;"Y")+Settings!$B$12*('History Y-3'!$S13&lt;&gt;"Y")),'History Y-1'!AH13)</f>
        <v>0.0158446971930175</v>
      </c>
      <c r="P13" s="29" t="n">
        <f aca="false">IFERROR((Settings!$B$10*'History Y-1'!AI13*('History Y-1'!$S13&lt;&gt;"Y")+Settings!$B$11*'History Y-2'!AI13*('History Y-2'!$S13&lt;&gt;"Y")+Settings!$B$12*'History Y-3'!AI13*('History Y-3'!$S13&lt;&gt;"Y"))/(Settings!$B$10*('History Y-1'!$S13&lt;&gt;"Y")+Settings!$B$11*('History Y-2'!$S13&lt;&gt;"Y")+Settings!$B$12*('History Y-3'!$S13&lt;&gt;"Y")),'History Y-1'!AI13)</f>
        <v>0.0163825114381869</v>
      </c>
      <c r="Q13" s="57" t="n">
        <f aca="false">IFERROR(K13/SUM(K$6:K$57),0)</f>
        <v>0.015585733736819</v>
      </c>
      <c r="R13" s="57" t="n">
        <f aca="false">IFERROR(L13/SUM(L$6:L$57),0)</f>
        <v>0.0145627771327027</v>
      </c>
      <c r="S13" s="57" t="n">
        <f aca="false">IFERROR(M13/SUM(M$6:M$57),0)</f>
        <v>0.0162647709242932</v>
      </c>
      <c r="T13" s="57" t="n">
        <f aca="false">IFERROR(N13/SUM(N$6:N$57),0)</f>
        <v>0.0153364948171954</v>
      </c>
      <c r="U13" s="57" t="n">
        <f aca="false">IFERROR(O13/SUM(O$6:O$57),0)</f>
        <v>0.0158627026712344</v>
      </c>
      <c r="V13" s="57" t="n">
        <f aca="false">IFERROR(P13/SUM(P$6:P$57),0)</f>
        <v>0.0164260876746782</v>
      </c>
    </row>
    <row r="14" customFormat="false" ht="15" hidden="false" customHeight="false" outlineLevel="0" collapsed="false">
      <c r="A14" s="13" t="n">
        <v>9</v>
      </c>
      <c r="B14" s="29" t="n">
        <f aca="false">IFERROR((Settings!$B$10*'History Y-1'!U14*('History Y-1'!$S14&lt;&gt;"Y")+Settings!$B$11*'History Y-2'!U14*('History Y-2'!$S14&lt;&gt;"Y")+Settings!$B$12*'History Y-3'!U14*('History Y-3'!$S14&lt;&gt;"Y"))/(Settings!$B$10*('History Y-1'!$S14&lt;&gt;"Y")+Settings!$B$11*('History Y-2'!$S14&lt;&gt;"Y")+Settings!$B$12*('History Y-3'!$S14&lt;&gt;"Y")),'History Y-1'!U14)</f>
        <v>0.0216490887275402</v>
      </c>
      <c r="C14" s="23" t="n">
        <f aca="false">IFERROR((Settings!$B$10*'History Y-1'!V14*('History Y-1'!$S14&lt;&gt;"Y")+Settings!$B$11*'History Y-2'!V14*('History Y-2'!$S14&lt;&gt;"Y")+Settings!$B$12*'History Y-3'!V14*('History Y-3'!$S14&lt;&gt;"Y"))/(Settings!$B$10*('History Y-1'!$S14&lt;&gt;"Y")+Settings!$B$11*('History Y-2'!$S14&lt;&gt;"Y")+Settings!$B$12*('History Y-3'!$S14&lt;&gt;"Y")),'History Y-1'!V14)</f>
        <v>74.7994475392031</v>
      </c>
      <c r="D14" s="36" t="n">
        <f aca="false">IFERROR((Settings!$B$10*'History Y-1'!W14*('History Y-1'!$S14&lt;&gt;"Y")+Settings!$B$11*'History Y-2'!W14*('History Y-2'!$S14&lt;&gt;"Y")+Settings!$B$12*'History Y-3'!W14*('History Y-3'!$S14&lt;&gt;"Y"))/(Settings!$B$10*('History Y-1'!$S14&lt;&gt;"Y")+Settings!$B$11*('History Y-2'!$S14&lt;&gt;"Y")+Settings!$B$12*('History Y-3'!$S14&lt;&gt;"Y")),'History Y-1'!W14)</f>
        <v>1.91288270646095</v>
      </c>
      <c r="E14" s="31" t="n">
        <f aca="false">IFERROR((Settings!$B$10*'History Y-1'!X14*('History Y-1'!$S14&lt;&gt;"Y")+Settings!$B$11*'History Y-2'!X14*('History Y-2'!$S14&lt;&gt;"Y")+Settings!$B$12*'History Y-3'!X14*('History Y-3'!$S14&lt;&gt;"Y"))/(Settings!$B$10*('History Y-1'!$S14&lt;&gt;"Y")+Settings!$B$11*('History Y-2'!$S14&lt;&gt;"Y")+Settings!$B$12*('History Y-3'!$S14&lt;&gt;"Y")),'History Y-1'!X14)</f>
        <v>0.082405820674153</v>
      </c>
      <c r="F14" s="31" t="n">
        <f aca="false">IFERROR((Settings!$B$10*'History Y-1'!Y14*('History Y-1'!$S14&lt;&gt;"Y")+Settings!$B$11*'History Y-2'!Y14*('History Y-2'!$S14&lt;&gt;"Y")+Settings!$B$12*'History Y-3'!Y14*('History Y-3'!$S14&lt;&gt;"Y"))/(Settings!$B$10*('History Y-1'!$S14&lt;&gt;"Y")+Settings!$B$11*('History Y-2'!$S14&lt;&gt;"Y")+Settings!$B$12*('History Y-3'!$S14&lt;&gt;"Y")),'History Y-1'!Y14)</f>
        <v>0.253287307330355</v>
      </c>
      <c r="G14" s="31" t="n">
        <f aca="false">IFERROR((Settings!$B$10*'History Y-1'!Z14*('History Y-1'!$S14&lt;&gt;"Y")+Settings!$B$11*'History Y-2'!Z14*('History Y-2'!$S14&lt;&gt;"Y")+Settings!$B$12*'History Y-3'!Z14*('History Y-3'!$S14&lt;&gt;"Y"))/(Settings!$B$10*('History Y-1'!$S14&lt;&gt;"Y")+Settings!$B$11*('History Y-2'!$S14&lt;&gt;"Y")+Settings!$B$12*('History Y-3'!$S14&lt;&gt;"Y")),'History Y-1'!Z14)</f>
        <v>0.344507982398068</v>
      </c>
      <c r="H14" s="23" t="n">
        <f aca="false">IFERROR((Settings!$B$10*'History Y-1'!AA14*('History Y-1'!$S14&lt;&gt;"Y")+Settings!$B$11*'History Y-2'!AA14*('History Y-2'!$S14&lt;&gt;"Y")+Settings!$B$12*'History Y-3'!AA14*('History Y-3'!$S14&lt;&gt;"Y"))/(Settings!$B$10*('History Y-1'!$S14&lt;&gt;"Y")+Settings!$B$11*('History Y-2'!$S14&lt;&gt;"Y")+Settings!$B$12*('History Y-3'!$S14&lt;&gt;"Y")),'History Y-1'!AA14)</f>
        <v>0.464570496073633</v>
      </c>
      <c r="I14" s="23" t="n">
        <f aca="false">IFERROR((Settings!$B$10*'History Y-1'!AB14*('History Y-1'!$S14&lt;&gt;"Y")+Settings!$B$11*'History Y-2'!AB14*('History Y-2'!$S14&lt;&gt;"Y")+Settings!$B$12*'History Y-3'!AB14*('History Y-3'!$S14&lt;&gt;"Y"))/(Settings!$B$10*('History Y-1'!$S14&lt;&gt;"Y")+Settings!$B$11*('History Y-2'!$S14&lt;&gt;"Y")+Settings!$B$12*('History Y-3'!$S14&lt;&gt;"Y")),'History Y-1'!AB14)</f>
        <v>0.337636492765776</v>
      </c>
      <c r="J14" s="23" t="n">
        <f aca="false">IFERROR((Settings!$B$10*'History Y-1'!AC14*('History Y-1'!$S14&lt;&gt;"Y")+Settings!$B$11*'History Y-2'!AC14*('History Y-2'!$S14&lt;&gt;"Y")+Settings!$B$12*'History Y-3'!AC14*('History Y-3'!$S14&lt;&gt;"Y"))/(Settings!$B$10*('History Y-1'!$S14&lt;&gt;"Y")+Settings!$B$11*('History Y-2'!$S14&lt;&gt;"Y")+Settings!$B$12*('History Y-3'!$S14&lt;&gt;"Y")),'History Y-1'!AC14)</f>
        <v>0.204074536415168</v>
      </c>
      <c r="K14" s="29" t="n">
        <f aca="false">IFERROR((Settings!$B$10*'History Y-1'!AD14*('History Y-1'!$S14&lt;&gt;"Y")+Settings!$B$11*'History Y-2'!AD14*('History Y-2'!$S14&lt;&gt;"Y")+Settings!$B$12*'History Y-3'!AD14*('History Y-3'!$S14&lt;&gt;"Y"))/(Settings!$B$10*('History Y-1'!$S14&lt;&gt;"Y")+Settings!$B$11*('History Y-2'!$S14&lt;&gt;"Y")+Settings!$B$12*('History Y-3'!$S14&lt;&gt;"Y")),'History Y-1'!AD14)</f>
        <v>0.0188767560287452</v>
      </c>
      <c r="L14" s="29" t="n">
        <f aca="false">IFERROR((Settings!$B$10*'History Y-1'!AE14*('History Y-1'!$S14&lt;&gt;"Y")+Settings!$B$11*'History Y-2'!AE14*('History Y-2'!$S14&lt;&gt;"Y")+Settings!$B$12*'History Y-3'!AE14*('History Y-3'!$S14&lt;&gt;"Y"))/(Settings!$B$10*('History Y-1'!$S14&lt;&gt;"Y")+Settings!$B$11*('History Y-2'!$S14&lt;&gt;"Y")+Settings!$B$12*('History Y-3'!$S14&lt;&gt;"Y")),'History Y-1'!AE14)</f>
        <v>0.0165023471591531</v>
      </c>
      <c r="M14" s="29" t="n">
        <f aca="false">IFERROR((Settings!$B$10*'History Y-1'!AF14*('History Y-1'!$S14&lt;&gt;"Y")+Settings!$B$11*'History Y-2'!AF14*('History Y-2'!$S14&lt;&gt;"Y")+Settings!$B$12*'History Y-3'!AF14*('History Y-3'!$S14&lt;&gt;"Y"))/(Settings!$B$10*('History Y-1'!$S14&lt;&gt;"Y")+Settings!$B$11*('History Y-2'!$S14&lt;&gt;"Y")+Settings!$B$12*('History Y-3'!$S14&lt;&gt;"Y")),'History Y-1'!AF14)</f>
        <v>0.0187873330168741</v>
      </c>
      <c r="N14" s="29" t="n">
        <f aca="false">IFERROR((Settings!$B$10*'History Y-1'!AG14*('History Y-1'!$S14&lt;&gt;"Y")+Settings!$B$11*'History Y-2'!AG14*('History Y-2'!$S14&lt;&gt;"Y")+Settings!$B$12*'History Y-3'!AG14*('History Y-3'!$S14&lt;&gt;"Y"))/(Settings!$B$10*('History Y-1'!$S14&lt;&gt;"Y")+Settings!$B$11*('History Y-2'!$S14&lt;&gt;"Y")+Settings!$B$12*('History Y-3'!$S14&lt;&gt;"Y")),'History Y-1'!AG14)</f>
        <v>0.0185649009000548</v>
      </c>
      <c r="O14" s="29" t="n">
        <f aca="false">IFERROR((Settings!$B$10*'History Y-1'!AH14*('History Y-1'!$S14&lt;&gt;"Y")+Settings!$B$11*'History Y-2'!AH14*('History Y-2'!$S14&lt;&gt;"Y")+Settings!$B$12*'History Y-3'!AH14*('History Y-3'!$S14&lt;&gt;"Y"))/(Settings!$B$10*('History Y-1'!$S14&lt;&gt;"Y")+Settings!$B$11*('History Y-2'!$S14&lt;&gt;"Y")+Settings!$B$12*('History Y-3'!$S14&lt;&gt;"Y")),'History Y-1'!AH14)</f>
        <v>0.0182424235554363</v>
      </c>
      <c r="P14" s="29" t="n">
        <f aca="false">IFERROR((Settings!$B$10*'History Y-1'!AI14*('History Y-1'!$S14&lt;&gt;"Y")+Settings!$B$11*'History Y-2'!AI14*('History Y-2'!$S14&lt;&gt;"Y")+Settings!$B$12*'History Y-3'!AI14*('History Y-3'!$S14&lt;&gt;"Y"))/(Settings!$B$10*('History Y-1'!$S14&lt;&gt;"Y")+Settings!$B$11*('History Y-2'!$S14&lt;&gt;"Y")+Settings!$B$12*('History Y-3'!$S14&lt;&gt;"Y")),'History Y-1'!AI14)</f>
        <v>0.0179403405491063</v>
      </c>
      <c r="Q14" s="57" t="n">
        <f aca="false">IFERROR(K14/SUM(K$6:K$57),0)</f>
        <v>0.0188869188849031</v>
      </c>
      <c r="R14" s="57" t="n">
        <f aca="false">IFERROR(L14/SUM(L$6:L$57),0)</f>
        <v>0.0165165065888568</v>
      </c>
      <c r="S14" s="57" t="n">
        <f aca="false">IFERROR(M14/SUM(M$6:M$57),0)</f>
        <v>0.018814705942176</v>
      </c>
      <c r="T14" s="57" t="n">
        <f aca="false">IFERROR(N14/SUM(N$6:N$57),0)</f>
        <v>0.0186175217676982</v>
      </c>
      <c r="U14" s="57" t="n">
        <f aca="false">IFERROR(O14/SUM(O$6:O$57),0)</f>
        <v>0.0182631537439624</v>
      </c>
      <c r="V14" s="57" t="n">
        <f aca="false">IFERROR(P14/SUM(P$6:P$57),0)</f>
        <v>0.0179880604927457</v>
      </c>
    </row>
    <row r="15" customFormat="false" ht="15" hidden="false" customHeight="false" outlineLevel="0" collapsed="false">
      <c r="A15" s="13" t="n">
        <v>10</v>
      </c>
      <c r="B15" s="29" t="n">
        <f aca="false">IFERROR((Settings!$B$10*'History Y-1'!U15*('History Y-1'!$S15&lt;&gt;"Y")+Settings!$B$11*'History Y-2'!U15*('History Y-2'!$S15&lt;&gt;"Y")+Settings!$B$12*'History Y-3'!U15*('History Y-3'!$S15&lt;&gt;"Y"))/(Settings!$B$10*('History Y-1'!$S15&lt;&gt;"Y")+Settings!$B$11*('History Y-2'!$S15&lt;&gt;"Y")+Settings!$B$12*('History Y-3'!$S15&lt;&gt;"Y")),'History Y-1'!U15)</f>
        <v>0.0218297813239999</v>
      </c>
      <c r="C15" s="23" t="n">
        <f aca="false">IFERROR((Settings!$B$10*'History Y-1'!V15*('History Y-1'!$S15&lt;&gt;"Y")+Settings!$B$11*'History Y-2'!V15*('History Y-2'!$S15&lt;&gt;"Y")+Settings!$B$12*'History Y-3'!V15*('History Y-3'!$S15&lt;&gt;"Y"))/(Settings!$B$10*('History Y-1'!$S15&lt;&gt;"Y")+Settings!$B$11*('History Y-2'!$S15&lt;&gt;"Y")+Settings!$B$12*('History Y-3'!$S15&lt;&gt;"Y")),'History Y-1'!V15)</f>
        <v>75.6153742916799</v>
      </c>
      <c r="D15" s="36" t="n">
        <f aca="false">IFERROR((Settings!$B$10*'History Y-1'!W15*('History Y-1'!$S15&lt;&gt;"Y")+Settings!$B$11*'History Y-2'!W15*('History Y-2'!$S15&lt;&gt;"Y")+Settings!$B$12*'History Y-3'!W15*('History Y-3'!$S15&lt;&gt;"Y"))/(Settings!$B$10*('History Y-1'!$S15&lt;&gt;"Y")+Settings!$B$11*('History Y-2'!$S15&lt;&gt;"Y")+Settings!$B$12*('History Y-3'!$S15&lt;&gt;"Y")),'History Y-1'!W15)</f>
        <v>1.93051353120783</v>
      </c>
      <c r="E15" s="31" t="n">
        <f aca="false">IFERROR((Settings!$B$10*'History Y-1'!X15*('History Y-1'!$S15&lt;&gt;"Y")+Settings!$B$11*'History Y-2'!X15*('History Y-2'!$S15&lt;&gt;"Y")+Settings!$B$12*'History Y-3'!X15*('History Y-3'!$S15&lt;&gt;"Y"))/(Settings!$B$10*('History Y-1'!$S15&lt;&gt;"Y")+Settings!$B$11*('History Y-2'!$S15&lt;&gt;"Y")+Settings!$B$12*('History Y-3'!$S15&lt;&gt;"Y")),'History Y-1'!X15)</f>
        <v>0.0789715642970281</v>
      </c>
      <c r="F15" s="31" t="n">
        <f aca="false">IFERROR((Settings!$B$10*'History Y-1'!Y15*('History Y-1'!$S15&lt;&gt;"Y")+Settings!$B$11*'History Y-2'!Y15*('History Y-2'!$S15&lt;&gt;"Y")+Settings!$B$12*'History Y-3'!Y15*('History Y-3'!$S15&lt;&gt;"Y"))/(Settings!$B$10*('History Y-1'!$S15&lt;&gt;"Y")+Settings!$B$11*('History Y-2'!$S15&lt;&gt;"Y")+Settings!$B$12*('History Y-3'!$S15&lt;&gt;"Y")),'History Y-1'!Y15)</f>
        <v>0.259779330718454</v>
      </c>
      <c r="G15" s="31" t="n">
        <f aca="false">IFERROR((Settings!$B$10*'History Y-1'!Z15*('History Y-1'!$S15&lt;&gt;"Y")+Settings!$B$11*'History Y-2'!Z15*('History Y-2'!$S15&lt;&gt;"Y")+Settings!$B$12*'History Y-3'!Z15*('History Y-3'!$S15&lt;&gt;"Y"))/(Settings!$B$10*('History Y-1'!$S15&lt;&gt;"Y")+Settings!$B$11*('History Y-2'!$S15&lt;&gt;"Y")+Settings!$B$12*('History Y-3'!$S15&lt;&gt;"Y")),'History Y-1'!Z15)</f>
        <v>0.46103953718572</v>
      </c>
      <c r="H15" s="23" t="n">
        <f aca="false">IFERROR((Settings!$B$10*'History Y-1'!AA15*('History Y-1'!$S15&lt;&gt;"Y")+Settings!$B$11*'History Y-2'!AA15*('History Y-2'!$S15&lt;&gt;"Y")+Settings!$B$12*'History Y-3'!AA15*('History Y-3'!$S15&lt;&gt;"Y"))/(Settings!$B$10*('History Y-1'!$S15&lt;&gt;"Y")+Settings!$B$11*('History Y-2'!$S15&lt;&gt;"Y")+Settings!$B$12*('History Y-3'!$S15&lt;&gt;"Y")),'History Y-1'!AA15)</f>
        <v>0.456057663359701</v>
      </c>
      <c r="I15" s="23" t="n">
        <f aca="false">IFERROR((Settings!$B$10*'History Y-1'!AB15*('History Y-1'!$S15&lt;&gt;"Y")+Settings!$B$11*'History Y-2'!AB15*('History Y-2'!$S15&lt;&gt;"Y")+Settings!$B$12*'History Y-3'!AB15*('History Y-3'!$S15&lt;&gt;"Y"))/(Settings!$B$10*('History Y-1'!$S15&lt;&gt;"Y")+Settings!$B$11*('History Y-2'!$S15&lt;&gt;"Y")+Settings!$B$12*('History Y-3'!$S15&lt;&gt;"Y")),'History Y-1'!AB15)</f>
        <v>0.343555022406979</v>
      </c>
      <c r="J15" s="23" t="n">
        <f aca="false">IFERROR((Settings!$B$10*'History Y-1'!AC15*('History Y-1'!$S15&lt;&gt;"Y")+Settings!$B$11*'History Y-2'!AC15*('History Y-2'!$S15&lt;&gt;"Y")+Settings!$B$12*'History Y-3'!AC15*('History Y-3'!$S15&lt;&gt;"Y"))/(Settings!$B$10*('History Y-1'!$S15&lt;&gt;"Y")+Settings!$B$11*('History Y-2'!$S15&lt;&gt;"Y")+Settings!$B$12*('History Y-3'!$S15&lt;&gt;"Y")),'History Y-1'!AC15)</f>
        <v>0.199185441887679</v>
      </c>
      <c r="K15" s="29" t="n">
        <f aca="false">IFERROR((Settings!$B$10*'History Y-1'!AD15*('History Y-1'!$S15&lt;&gt;"Y")+Settings!$B$11*'History Y-2'!AD15*('History Y-2'!$S15&lt;&gt;"Y")+Settings!$B$12*'History Y-3'!AD15*('History Y-3'!$S15&lt;&gt;"Y"))/(Settings!$B$10*('History Y-1'!$S15&lt;&gt;"Y")+Settings!$B$11*('History Y-2'!$S15&lt;&gt;"Y")+Settings!$B$12*('History Y-3'!$S15&lt;&gt;"Y")),'History Y-1'!AD15)</f>
        <v>0.0177810976531787</v>
      </c>
      <c r="L15" s="29" t="n">
        <f aca="false">IFERROR((Settings!$B$10*'History Y-1'!AE15*('History Y-1'!$S15&lt;&gt;"Y")+Settings!$B$11*'History Y-2'!AE15*('History Y-2'!$S15&lt;&gt;"Y")+Settings!$B$12*'History Y-3'!AE15*('History Y-3'!$S15&lt;&gt;"Y"))/(Settings!$B$10*('History Y-1'!$S15&lt;&gt;"Y")+Settings!$B$11*('History Y-2'!$S15&lt;&gt;"Y")+Settings!$B$12*('History Y-3'!$S15&lt;&gt;"Y")),'History Y-1'!AE15)</f>
        <v>0.0158053542825597</v>
      </c>
      <c r="M15" s="29" t="n">
        <f aca="false">IFERROR((Settings!$B$10*'History Y-1'!AF15*('History Y-1'!$S15&lt;&gt;"Y")+Settings!$B$11*'History Y-2'!AF15*('History Y-2'!$S15&lt;&gt;"Y")+Settings!$B$12*'History Y-3'!AF15*('History Y-3'!$S15&lt;&gt;"Y"))/(Settings!$B$10*('History Y-1'!$S15&lt;&gt;"Y")+Settings!$B$11*('History Y-2'!$S15&lt;&gt;"Y")+Settings!$B$12*('History Y-3'!$S15&lt;&gt;"Y")),'History Y-1'!AF15)</f>
        <v>0.0175750756638782</v>
      </c>
      <c r="N15" s="29" t="n">
        <f aca="false">IFERROR((Settings!$B$10*'History Y-1'!AG15*('History Y-1'!$S15&lt;&gt;"Y")+Settings!$B$11*'History Y-2'!AG15*('History Y-2'!$S15&lt;&gt;"Y")+Settings!$B$12*'History Y-3'!AG15*('History Y-3'!$S15&lt;&gt;"Y"))/(Settings!$B$10*('History Y-1'!$S15&lt;&gt;"Y")+Settings!$B$11*('History Y-2'!$S15&lt;&gt;"Y")+Settings!$B$12*('History Y-3'!$S15&lt;&gt;"Y")),'History Y-1'!AG15)</f>
        <v>0.0177305640783375</v>
      </c>
      <c r="O15" s="29" t="n">
        <f aca="false">IFERROR((Settings!$B$10*'History Y-1'!AH15*('History Y-1'!$S15&lt;&gt;"Y")+Settings!$B$11*'History Y-2'!AH15*('History Y-2'!$S15&lt;&gt;"Y")+Settings!$B$12*'History Y-3'!AH15*('History Y-3'!$S15&lt;&gt;"Y"))/(Settings!$B$10*('History Y-1'!$S15&lt;&gt;"Y")+Settings!$B$11*('History Y-2'!$S15&lt;&gt;"Y")+Settings!$B$12*('History Y-3'!$S15&lt;&gt;"Y")),'History Y-1'!AH15)</f>
        <v>0.0182899015535928</v>
      </c>
      <c r="P15" s="29" t="n">
        <f aca="false">IFERROR((Settings!$B$10*'History Y-1'!AI15*('History Y-1'!$S15&lt;&gt;"Y")+Settings!$B$11*'History Y-2'!AI15*('History Y-2'!$S15&lt;&gt;"Y")+Settings!$B$12*'History Y-3'!AI15*('History Y-3'!$S15&lt;&gt;"Y"))/(Settings!$B$10*('History Y-1'!$S15&lt;&gt;"Y")+Settings!$B$11*('History Y-2'!$S15&lt;&gt;"Y")+Settings!$B$12*('History Y-3'!$S15&lt;&gt;"Y")),'History Y-1'!AI15)</f>
        <v>0.0182612978955456</v>
      </c>
      <c r="Q15" s="57" t="n">
        <f aca="false">IFERROR(K15/SUM(K$6:K$57),0)</f>
        <v>0.0177906706294626</v>
      </c>
      <c r="R15" s="57" t="n">
        <f aca="false">IFERROR(L15/SUM(L$6:L$57),0)</f>
        <v>0.0158189156748118</v>
      </c>
      <c r="S15" s="57" t="n">
        <f aca="false">IFERROR(M15/SUM(M$6:M$57),0)</f>
        <v>0.0176006823443416</v>
      </c>
      <c r="T15" s="57" t="n">
        <f aca="false">IFERROR(N15/SUM(N$6:N$57),0)</f>
        <v>0.0177808200786593</v>
      </c>
      <c r="U15" s="57" t="n">
        <f aca="false">IFERROR(O15/SUM(O$6:O$57),0)</f>
        <v>0.0183106856948105</v>
      </c>
      <c r="V15" s="57" t="n">
        <f aca="false">IFERROR(P15/SUM(P$6:P$57),0)</f>
        <v>0.018309871561356</v>
      </c>
    </row>
    <row r="16" customFormat="false" ht="15" hidden="false" customHeight="false" outlineLevel="0" collapsed="false">
      <c r="A16" s="13" t="n">
        <v>11</v>
      </c>
      <c r="B16" s="29" t="n">
        <f aca="false">IFERROR((Settings!$B$10*'History Y-1'!U16*('History Y-1'!$S16&lt;&gt;"Y")+Settings!$B$11*'History Y-2'!U16*('History Y-2'!$S16&lt;&gt;"Y")+Settings!$B$12*'History Y-3'!U16*('History Y-3'!$S16&lt;&gt;"Y"))/(Settings!$B$10*('History Y-1'!$S16&lt;&gt;"Y")+Settings!$B$11*('History Y-2'!$S16&lt;&gt;"Y")+Settings!$B$12*('History Y-3'!$S16&lt;&gt;"Y")),'History Y-1'!U16)</f>
        <v>0.0220447056486497</v>
      </c>
      <c r="C16" s="23" t="n">
        <f aca="false">IFERROR((Settings!$B$10*'History Y-1'!V16*('History Y-1'!$S16&lt;&gt;"Y")+Settings!$B$11*'History Y-2'!V16*('History Y-2'!$S16&lt;&gt;"Y")+Settings!$B$12*'History Y-3'!V16*('History Y-3'!$S16&lt;&gt;"Y"))/(Settings!$B$10*('History Y-1'!$S16&lt;&gt;"Y")+Settings!$B$11*('History Y-2'!$S16&lt;&gt;"Y")+Settings!$B$12*('History Y-3'!$S16&lt;&gt;"Y")),'History Y-1'!V16)</f>
        <v>74.3846390503608</v>
      </c>
      <c r="D16" s="36" t="n">
        <f aca="false">IFERROR((Settings!$B$10*'History Y-1'!W16*('History Y-1'!$S16&lt;&gt;"Y")+Settings!$B$11*'History Y-2'!W16*('History Y-2'!$S16&lt;&gt;"Y")+Settings!$B$12*'History Y-3'!W16*('History Y-3'!$S16&lt;&gt;"Y"))/(Settings!$B$10*('History Y-1'!$S16&lt;&gt;"Y")+Settings!$B$11*('History Y-2'!$S16&lt;&gt;"Y")+Settings!$B$12*('History Y-3'!$S16&lt;&gt;"Y")),'History Y-1'!W16)</f>
        <v>1.86393727511372</v>
      </c>
      <c r="E16" s="31" t="n">
        <f aca="false">IFERROR((Settings!$B$10*'History Y-1'!X16*('History Y-1'!$S16&lt;&gt;"Y")+Settings!$B$11*'History Y-2'!X16*('History Y-2'!$S16&lt;&gt;"Y")+Settings!$B$12*'History Y-3'!X16*('History Y-3'!$S16&lt;&gt;"Y"))/(Settings!$B$10*('History Y-1'!$S16&lt;&gt;"Y")+Settings!$B$11*('History Y-2'!$S16&lt;&gt;"Y")+Settings!$B$12*('History Y-3'!$S16&lt;&gt;"Y")),'History Y-1'!X16)</f>
        <v>0.0797780632675516</v>
      </c>
      <c r="F16" s="31" t="n">
        <f aca="false">IFERROR((Settings!$B$10*'History Y-1'!Y16*('History Y-1'!$S16&lt;&gt;"Y")+Settings!$B$11*'History Y-2'!Y16*('History Y-2'!$S16&lt;&gt;"Y")+Settings!$B$12*'History Y-3'!Y16*('History Y-3'!$S16&lt;&gt;"Y"))/(Settings!$B$10*('History Y-1'!$S16&lt;&gt;"Y")+Settings!$B$11*('History Y-2'!$S16&lt;&gt;"Y")+Settings!$B$12*('History Y-3'!$S16&lt;&gt;"Y")),'History Y-1'!Y16)</f>
        <v>0.267338092206024</v>
      </c>
      <c r="G16" s="31" t="n">
        <f aca="false">IFERROR((Settings!$B$10*'History Y-1'!Z16*('History Y-1'!$S16&lt;&gt;"Y")+Settings!$B$11*'History Y-2'!Z16*('History Y-2'!$S16&lt;&gt;"Y")+Settings!$B$12*'History Y-3'!Z16*('History Y-3'!$S16&lt;&gt;"Y"))/(Settings!$B$10*('History Y-1'!$S16&lt;&gt;"Y")+Settings!$B$11*('History Y-2'!$S16&lt;&gt;"Y")+Settings!$B$12*('History Y-3'!$S16&lt;&gt;"Y")),'History Y-1'!Z16)</f>
        <v>0.35018657667572</v>
      </c>
      <c r="H16" s="23" t="n">
        <f aca="false">IFERROR((Settings!$B$10*'History Y-1'!AA16*('History Y-1'!$S16&lt;&gt;"Y")+Settings!$B$11*'History Y-2'!AA16*('History Y-2'!$S16&lt;&gt;"Y")+Settings!$B$12*'History Y-3'!AA16*('History Y-3'!$S16&lt;&gt;"Y"))/(Settings!$B$10*('History Y-1'!$S16&lt;&gt;"Y")+Settings!$B$11*('History Y-2'!$S16&lt;&gt;"Y")+Settings!$B$12*('History Y-3'!$S16&lt;&gt;"Y")),'History Y-1'!AA16)</f>
        <v>0.456311150060548</v>
      </c>
      <c r="I16" s="23" t="n">
        <f aca="false">IFERROR((Settings!$B$10*'History Y-1'!AB16*('History Y-1'!$S16&lt;&gt;"Y")+Settings!$B$11*'History Y-2'!AB16*('History Y-2'!$S16&lt;&gt;"Y")+Settings!$B$12*'History Y-3'!AB16*('History Y-3'!$S16&lt;&gt;"Y"))/(Settings!$B$10*('History Y-1'!$S16&lt;&gt;"Y")+Settings!$B$11*('History Y-2'!$S16&lt;&gt;"Y")+Settings!$B$12*('History Y-3'!$S16&lt;&gt;"Y")),'History Y-1'!AB16)</f>
        <v>0.329685658401519</v>
      </c>
      <c r="J16" s="23" t="n">
        <f aca="false">IFERROR((Settings!$B$10*'History Y-1'!AC16*('History Y-1'!$S16&lt;&gt;"Y")+Settings!$B$11*'History Y-2'!AC16*('History Y-2'!$S16&lt;&gt;"Y")+Settings!$B$12*'History Y-3'!AC16*('History Y-3'!$S16&lt;&gt;"Y"))/(Settings!$B$10*('History Y-1'!$S16&lt;&gt;"Y")+Settings!$B$11*('History Y-2'!$S16&lt;&gt;"Y")+Settings!$B$12*('History Y-3'!$S16&lt;&gt;"Y")),'History Y-1'!AC16)</f>
        <v>0.204278854295237</v>
      </c>
      <c r="K16" s="29" t="n">
        <f aca="false">IFERROR((Settings!$B$10*'History Y-1'!AD16*('History Y-1'!$S16&lt;&gt;"Y")+Settings!$B$11*'History Y-2'!AD16*('History Y-2'!$S16&lt;&gt;"Y")+Settings!$B$12*'History Y-3'!AD16*('History Y-3'!$S16&lt;&gt;"Y"))/(Settings!$B$10*('History Y-1'!$S16&lt;&gt;"Y")+Settings!$B$11*('History Y-2'!$S16&lt;&gt;"Y")+Settings!$B$12*('History Y-3'!$S16&lt;&gt;"Y")),'History Y-1'!AD16)</f>
        <v>0.0184301330396497</v>
      </c>
      <c r="L16" s="29" t="n">
        <f aca="false">IFERROR((Settings!$B$10*'History Y-1'!AE16*('History Y-1'!$S16&lt;&gt;"Y")+Settings!$B$11*'History Y-2'!AE16*('History Y-2'!$S16&lt;&gt;"Y")+Settings!$B$12*'History Y-3'!AE16*('History Y-3'!$S16&lt;&gt;"Y"))/(Settings!$B$10*('History Y-1'!$S16&lt;&gt;"Y")+Settings!$B$11*('History Y-2'!$S16&lt;&gt;"Y")+Settings!$B$12*('History Y-3'!$S16&lt;&gt;"Y")),'History Y-1'!AE16)</f>
        <v>0.0164947994342274</v>
      </c>
      <c r="M16" s="29" t="n">
        <f aca="false">IFERROR((Settings!$B$10*'History Y-1'!AF16*('History Y-1'!$S16&lt;&gt;"Y")+Settings!$B$11*'History Y-2'!AF16*('History Y-2'!$S16&lt;&gt;"Y")+Settings!$B$12*'History Y-3'!AF16*('History Y-3'!$S16&lt;&gt;"Y"))/(Settings!$B$10*('History Y-1'!$S16&lt;&gt;"Y")+Settings!$B$11*('History Y-2'!$S16&lt;&gt;"Y")+Settings!$B$12*('History Y-3'!$S16&lt;&gt;"Y")),'History Y-1'!AF16)</f>
        <v>0.0186555305222765</v>
      </c>
      <c r="N16" s="29" t="n">
        <f aca="false">IFERROR((Settings!$B$10*'History Y-1'!AG16*('History Y-1'!$S16&lt;&gt;"Y")+Settings!$B$11*'History Y-2'!AG16*('History Y-2'!$S16&lt;&gt;"Y")+Settings!$B$12*'History Y-3'!AG16*('History Y-3'!$S16&lt;&gt;"Y"))/(Settings!$B$10*('History Y-1'!$S16&lt;&gt;"Y")+Settings!$B$11*('History Y-2'!$S16&lt;&gt;"Y")+Settings!$B$12*('History Y-3'!$S16&lt;&gt;"Y")),'History Y-1'!AG16)</f>
        <v>0.018637475308073</v>
      </c>
      <c r="O16" s="29" t="n">
        <f aca="false">IFERROR((Settings!$B$10*'History Y-1'!AH16*('History Y-1'!$S16&lt;&gt;"Y")+Settings!$B$11*'History Y-2'!AH16*('History Y-2'!$S16&lt;&gt;"Y")+Settings!$B$12*'History Y-3'!AH16*('History Y-3'!$S16&lt;&gt;"Y"))/(Settings!$B$10*('History Y-1'!$S16&lt;&gt;"Y")+Settings!$B$11*('History Y-2'!$S16&lt;&gt;"Y")+Settings!$B$12*('History Y-3'!$S16&lt;&gt;"Y")),'History Y-1'!AH16)</f>
        <v>0.0177380554611548</v>
      </c>
      <c r="P16" s="29" t="n">
        <f aca="false">IFERROR((Settings!$B$10*'History Y-1'!AI16*('History Y-1'!$S16&lt;&gt;"Y")+Settings!$B$11*'History Y-2'!AI16*('History Y-2'!$S16&lt;&gt;"Y")+Settings!$B$12*'History Y-3'!AI16*('History Y-3'!$S16&lt;&gt;"Y"))/(Settings!$B$10*('History Y-1'!$S16&lt;&gt;"Y")+Settings!$B$11*('History Y-2'!$S16&lt;&gt;"Y")+Settings!$B$12*('History Y-3'!$S16&lt;&gt;"Y")),'History Y-1'!AI16)</f>
        <v>0.0186174272063961</v>
      </c>
      <c r="Q16" s="57" t="n">
        <f aca="false">IFERROR(K16/SUM(K$6:K$57),0)</f>
        <v>0.0184400554432009</v>
      </c>
      <c r="R16" s="57" t="n">
        <f aca="false">IFERROR(L16/SUM(L$6:L$57),0)</f>
        <v>0.016508952387793</v>
      </c>
      <c r="S16" s="57" t="n">
        <f aca="false">IFERROR(M16/SUM(M$6:M$57),0)</f>
        <v>0.0186827114128795</v>
      </c>
      <c r="T16" s="57" t="n">
        <f aca="false">IFERROR(N16/SUM(N$6:N$57),0)</f>
        <v>0.018690301882622</v>
      </c>
      <c r="U16" s="57" t="n">
        <f aca="false">IFERROR(O16/SUM(O$6:O$57),0)</f>
        <v>0.0177582124996469</v>
      </c>
      <c r="V16" s="57" t="n">
        <f aca="false">IFERROR(P16/SUM(P$6:P$57),0)</f>
        <v>0.0186669481491322</v>
      </c>
    </row>
    <row r="17" customFormat="false" ht="15" hidden="false" customHeight="false" outlineLevel="0" collapsed="false">
      <c r="A17" s="13" t="n">
        <v>12</v>
      </c>
      <c r="B17" s="29" t="n">
        <f aca="false">IFERROR((Settings!$B$10*'History Y-1'!U17*('History Y-1'!$S17&lt;&gt;"Y")+Settings!$B$11*'History Y-2'!U17*('History Y-2'!$S17&lt;&gt;"Y")+Settings!$B$12*'History Y-3'!U17*('History Y-3'!$S17&lt;&gt;"Y"))/(Settings!$B$10*('History Y-1'!$S17&lt;&gt;"Y")+Settings!$B$11*('History Y-2'!$S17&lt;&gt;"Y")+Settings!$B$12*('History Y-3'!$S17&lt;&gt;"Y")),'History Y-1'!U17)</f>
        <v>0.0215534649625705</v>
      </c>
      <c r="C17" s="23" t="n">
        <f aca="false">IFERROR((Settings!$B$10*'History Y-1'!V17*('History Y-1'!$S17&lt;&gt;"Y")+Settings!$B$11*'History Y-2'!V17*('History Y-2'!$S17&lt;&gt;"Y")+Settings!$B$12*'History Y-3'!V17*('History Y-3'!$S17&lt;&gt;"Y"))/(Settings!$B$10*('History Y-1'!$S17&lt;&gt;"Y")+Settings!$B$11*('History Y-2'!$S17&lt;&gt;"Y")+Settings!$B$12*('History Y-3'!$S17&lt;&gt;"Y")),'History Y-1'!V17)</f>
        <v>72.7308418020073</v>
      </c>
      <c r="D17" s="36" t="n">
        <f aca="false">IFERROR((Settings!$B$10*'History Y-1'!W17*('History Y-1'!$S17&lt;&gt;"Y")+Settings!$B$11*'History Y-2'!W17*('History Y-2'!$S17&lt;&gt;"Y")+Settings!$B$12*'History Y-3'!W17*('History Y-3'!$S17&lt;&gt;"Y"))/(Settings!$B$10*('History Y-1'!$S17&lt;&gt;"Y")+Settings!$B$11*('History Y-2'!$S17&lt;&gt;"Y")+Settings!$B$12*('History Y-3'!$S17&lt;&gt;"Y")),'History Y-1'!W17)</f>
        <v>1.87719186064048</v>
      </c>
      <c r="E17" s="31" t="n">
        <f aca="false">IFERROR((Settings!$B$10*'History Y-1'!X17*('History Y-1'!$S17&lt;&gt;"Y")+Settings!$B$11*'History Y-2'!X17*('History Y-2'!$S17&lt;&gt;"Y")+Settings!$B$12*'History Y-3'!X17*('History Y-3'!$S17&lt;&gt;"Y"))/(Settings!$B$10*('History Y-1'!$S17&lt;&gt;"Y")+Settings!$B$11*('History Y-2'!$S17&lt;&gt;"Y")+Settings!$B$12*('History Y-3'!$S17&lt;&gt;"Y")),'History Y-1'!X17)</f>
        <v>0.0820858914901117</v>
      </c>
      <c r="F17" s="31" t="n">
        <f aca="false">IFERROR((Settings!$B$10*'History Y-1'!Y17*('History Y-1'!$S17&lt;&gt;"Y")+Settings!$B$11*'History Y-2'!Y17*('History Y-2'!$S17&lt;&gt;"Y")+Settings!$B$12*'History Y-3'!Y17*('History Y-3'!$S17&lt;&gt;"Y"))/(Settings!$B$10*('History Y-1'!$S17&lt;&gt;"Y")+Settings!$B$11*('History Y-2'!$S17&lt;&gt;"Y")+Settings!$B$12*('History Y-3'!$S17&lt;&gt;"Y")),'History Y-1'!Y17)</f>
        <v>0.267646799119499</v>
      </c>
      <c r="G17" s="31" t="n">
        <f aca="false">IFERROR((Settings!$B$10*'History Y-1'!Z17*('History Y-1'!$S17&lt;&gt;"Y")+Settings!$B$11*'History Y-2'!Z17*('History Y-2'!$S17&lt;&gt;"Y")+Settings!$B$12*'History Y-3'!Z17*('History Y-3'!$S17&lt;&gt;"Y"))/(Settings!$B$10*('History Y-1'!$S17&lt;&gt;"Y")+Settings!$B$11*('History Y-2'!$S17&lt;&gt;"Y")+Settings!$B$12*('History Y-3'!$S17&lt;&gt;"Y")),'History Y-1'!Z17)</f>
        <v>0.338418723853866</v>
      </c>
      <c r="H17" s="23" t="n">
        <f aca="false">IFERROR((Settings!$B$10*'History Y-1'!AA17*('History Y-1'!$S17&lt;&gt;"Y")+Settings!$B$11*'History Y-2'!AA17*('History Y-2'!$S17&lt;&gt;"Y")+Settings!$B$12*'History Y-3'!AA17*('History Y-3'!$S17&lt;&gt;"Y"))/(Settings!$B$10*('History Y-1'!$S17&lt;&gt;"Y")+Settings!$B$11*('History Y-2'!$S17&lt;&gt;"Y")+Settings!$B$12*('History Y-3'!$S17&lt;&gt;"Y")),'History Y-1'!AA17)</f>
        <v>0.419147517777164</v>
      </c>
      <c r="I17" s="23" t="n">
        <f aca="false">IFERROR((Settings!$B$10*'History Y-1'!AB17*('History Y-1'!$S17&lt;&gt;"Y")+Settings!$B$11*'History Y-2'!AB17*('History Y-2'!$S17&lt;&gt;"Y")+Settings!$B$12*'History Y-3'!AB17*('History Y-3'!$S17&lt;&gt;"Y"))/(Settings!$B$10*('History Y-1'!$S17&lt;&gt;"Y")+Settings!$B$11*('History Y-2'!$S17&lt;&gt;"Y")+Settings!$B$12*('History Y-3'!$S17&lt;&gt;"Y")),'History Y-1'!AB17)</f>
        <v>0.316601891327648</v>
      </c>
      <c r="J17" s="23" t="n">
        <f aca="false">IFERROR((Settings!$B$10*'History Y-1'!AC17*('History Y-1'!$S17&lt;&gt;"Y")+Settings!$B$11*'History Y-2'!AC17*('History Y-2'!$S17&lt;&gt;"Y")+Settings!$B$12*'History Y-3'!AC17*('History Y-3'!$S17&lt;&gt;"Y"))/(Settings!$B$10*('History Y-1'!$S17&lt;&gt;"Y")+Settings!$B$11*('History Y-2'!$S17&lt;&gt;"Y")+Settings!$B$12*('History Y-3'!$S17&lt;&gt;"Y")),'History Y-1'!AC17)</f>
        <v>0.196337284318321</v>
      </c>
      <c r="K17" s="29" t="n">
        <f aca="false">IFERROR((Settings!$B$10*'History Y-1'!AD17*('History Y-1'!$S17&lt;&gt;"Y")+Settings!$B$11*'History Y-2'!AD17*('History Y-2'!$S17&lt;&gt;"Y")+Settings!$B$12*'History Y-3'!AD17*('History Y-3'!$S17&lt;&gt;"Y"))/(Settings!$B$10*('History Y-1'!$S17&lt;&gt;"Y")+Settings!$B$11*('History Y-2'!$S17&lt;&gt;"Y")+Settings!$B$12*('History Y-3'!$S17&lt;&gt;"Y")),'History Y-1'!AD17)</f>
        <v>0.0177938068423669</v>
      </c>
      <c r="L17" s="29" t="n">
        <f aca="false">IFERROR((Settings!$B$10*'History Y-1'!AE17*('History Y-1'!$S17&lt;&gt;"Y")+Settings!$B$11*'History Y-2'!AE17*('History Y-2'!$S17&lt;&gt;"Y")+Settings!$B$12*'History Y-3'!AE17*('History Y-3'!$S17&lt;&gt;"Y"))/(Settings!$B$10*('History Y-1'!$S17&lt;&gt;"Y")+Settings!$B$11*('History Y-2'!$S17&lt;&gt;"Y")+Settings!$B$12*('History Y-3'!$S17&lt;&gt;"Y")),'History Y-1'!AE17)</f>
        <v>0.0167423487525509</v>
      </c>
      <c r="M17" s="29" t="n">
        <f aca="false">IFERROR((Settings!$B$10*'History Y-1'!AF17*('History Y-1'!$S17&lt;&gt;"Y")+Settings!$B$11*'History Y-2'!AF17*('History Y-2'!$S17&lt;&gt;"Y")+Settings!$B$12*'History Y-3'!AF17*('History Y-3'!$S17&lt;&gt;"Y"))/(Settings!$B$10*('History Y-1'!$S17&lt;&gt;"Y")+Settings!$B$11*('History Y-2'!$S17&lt;&gt;"Y")+Settings!$B$12*('History Y-3'!$S17&lt;&gt;"Y")),'History Y-1'!AF17)</f>
        <v>0.0176777904619651</v>
      </c>
      <c r="N17" s="29" t="n">
        <f aca="false">IFERROR((Settings!$B$10*'History Y-1'!AG17*('History Y-1'!$S17&lt;&gt;"Y")+Settings!$B$11*'History Y-2'!AG17*('History Y-2'!$S17&lt;&gt;"Y")+Settings!$B$12*'History Y-3'!AG17*('History Y-3'!$S17&lt;&gt;"Y"))/(Settings!$B$10*('History Y-1'!$S17&lt;&gt;"Y")+Settings!$B$11*('History Y-2'!$S17&lt;&gt;"Y")+Settings!$B$12*('History Y-3'!$S17&lt;&gt;"Y")),'History Y-1'!AG17)</f>
        <v>0.0164485608387345</v>
      </c>
      <c r="O17" s="29" t="n">
        <f aca="false">IFERROR((Settings!$B$10*'History Y-1'!AH17*('History Y-1'!$S17&lt;&gt;"Y")+Settings!$B$11*'History Y-2'!AH17*('History Y-2'!$S17&lt;&gt;"Y")+Settings!$B$12*'History Y-3'!AH17*('History Y-3'!$S17&lt;&gt;"Y"))/(Settings!$B$10*('History Y-1'!$S17&lt;&gt;"Y")+Settings!$B$11*('History Y-2'!$S17&lt;&gt;"Y")+Settings!$B$12*('History Y-3'!$S17&lt;&gt;"Y")),'History Y-1'!AH17)</f>
        <v>0.0186882631319787</v>
      </c>
      <c r="P17" s="29" t="n">
        <f aca="false">IFERROR((Settings!$B$10*'History Y-1'!AI17*('History Y-1'!$S17&lt;&gt;"Y")+Settings!$B$11*'History Y-2'!AI17*('History Y-2'!$S17&lt;&gt;"Y")+Settings!$B$12*'History Y-3'!AI17*('History Y-3'!$S17&lt;&gt;"Y"))/(Settings!$B$10*('History Y-1'!$S17&lt;&gt;"Y")+Settings!$B$11*('History Y-2'!$S17&lt;&gt;"Y")+Settings!$B$12*('History Y-3'!$S17&lt;&gt;"Y")),'History Y-1'!AI17)</f>
        <v>0.0179571265273459</v>
      </c>
      <c r="Q17" s="57" t="n">
        <f aca="false">IFERROR(K17/SUM(K$6:K$57),0)</f>
        <v>0.0178033866610162</v>
      </c>
      <c r="R17" s="57" t="n">
        <f aca="false">IFERROR(L17/SUM(L$6:L$57),0)</f>
        <v>0.0167567141096696</v>
      </c>
      <c r="S17" s="57" t="n">
        <f aca="false">IFERROR(M17/SUM(M$6:M$57),0)</f>
        <v>0.0177035467966925</v>
      </c>
      <c r="T17" s="57" t="n">
        <f aca="false">IFERROR(N17/SUM(N$6:N$57),0)</f>
        <v>0.0164951830936809</v>
      </c>
      <c r="U17" s="57" t="n">
        <f aca="false">IFERROR(O17/SUM(O$6:O$57),0)</f>
        <v>0.0187094999603406</v>
      </c>
      <c r="V17" s="57" t="n">
        <f aca="false">IFERROR(P17/SUM(P$6:P$57),0)</f>
        <v>0.0180048911204128</v>
      </c>
    </row>
    <row r="18" customFormat="false" ht="15" hidden="false" customHeight="false" outlineLevel="0" collapsed="false">
      <c r="A18" s="13" t="n">
        <v>13</v>
      </c>
      <c r="B18" s="29" t="n">
        <f aca="false">IFERROR((Settings!$B$10*'History Y-1'!U18*('History Y-1'!$S18&lt;&gt;"Y")+Settings!$B$11*'History Y-2'!U18*('History Y-2'!$S18&lt;&gt;"Y")+Settings!$B$12*'History Y-3'!U18*('History Y-3'!$S18&lt;&gt;"Y"))/(Settings!$B$10*('History Y-1'!$S18&lt;&gt;"Y")+Settings!$B$11*('History Y-2'!$S18&lt;&gt;"Y")+Settings!$B$12*('History Y-3'!$S18&lt;&gt;"Y")),'History Y-1'!U18)</f>
        <v>0.0214783479335509</v>
      </c>
      <c r="C18" s="23" t="n">
        <f aca="false">IFERROR((Settings!$B$10*'History Y-1'!V18*('History Y-1'!$S18&lt;&gt;"Y")+Settings!$B$11*'History Y-2'!V18*('History Y-2'!$S18&lt;&gt;"Y")+Settings!$B$12*'History Y-3'!V18*('History Y-3'!$S18&lt;&gt;"Y"))/(Settings!$B$10*('History Y-1'!$S18&lt;&gt;"Y")+Settings!$B$11*('History Y-2'!$S18&lt;&gt;"Y")+Settings!$B$12*('History Y-3'!$S18&lt;&gt;"Y")),'History Y-1'!V18)</f>
        <v>75.2537230346949</v>
      </c>
      <c r="D18" s="36" t="n">
        <f aca="false">IFERROR((Settings!$B$10*'History Y-1'!W18*('History Y-1'!$S18&lt;&gt;"Y")+Settings!$B$11*'History Y-2'!W18*('History Y-2'!$S18&lt;&gt;"Y")+Settings!$B$12*'History Y-3'!W18*('History Y-3'!$S18&lt;&gt;"Y"))/(Settings!$B$10*('History Y-1'!$S18&lt;&gt;"Y")+Settings!$B$11*('History Y-2'!$S18&lt;&gt;"Y")+Settings!$B$12*('History Y-3'!$S18&lt;&gt;"Y")),'History Y-1'!W18)</f>
        <v>1.88222947034535</v>
      </c>
      <c r="E18" s="31" t="n">
        <f aca="false">IFERROR((Settings!$B$10*'History Y-1'!X18*('History Y-1'!$S18&lt;&gt;"Y")+Settings!$B$11*'History Y-2'!X18*('History Y-2'!$S18&lt;&gt;"Y")+Settings!$B$12*'History Y-3'!X18*('History Y-3'!$S18&lt;&gt;"Y"))/(Settings!$B$10*('History Y-1'!$S18&lt;&gt;"Y")+Settings!$B$11*('History Y-2'!$S18&lt;&gt;"Y")+Settings!$B$12*('History Y-3'!$S18&lt;&gt;"Y")),'History Y-1'!X18)</f>
        <v>0.0826368635711652</v>
      </c>
      <c r="F18" s="31" t="n">
        <f aca="false">IFERROR((Settings!$B$10*'History Y-1'!Y18*('History Y-1'!$S18&lt;&gt;"Y")+Settings!$B$11*'History Y-2'!Y18*('History Y-2'!$S18&lt;&gt;"Y")+Settings!$B$12*'History Y-3'!Y18*('History Y-3'!$S18&lt;&gt;"Y"))/(Settings!$B$10*('History Y-1'!$S18&lt;&gt;"Y")+Settings!$B$11*('History Y-2'!$S18&lt;&gt;"Y")+Settings!$B$12*('History Y-3'!$S18&lt;&gt;"Y")),'History Y-1'!Y18)</f>
        <v>0.256998513757347</v>
      </c>
      <c r="G18" s="31" t="n">
        <f aca="false">IFERROR((Settings!$B$10*'History Y-1'!Z18*('History Y-1'!$S18&lt;&gt;"Y")+Settings!$B$11*'History Y-2'!Z18*('History Y-2'!$S18&lt;&gt;"Y")+Settings!$B$12*'History Y-3'!Z18*('History Y-3'!$S18&lt;&gt;"Y"))/(Settings!$B$10*('History Y-1'!$S18&lt;&gt;"Y")+Settings!$B$11*('History Y-2'!$S18&lt;&gt;"Y")+Settings!$B$12*('History Y-3'!$S18&lt;&gt;"Y")),'History Y-1'!Z18)</f>
        <v>0.348261417622112</v>
      </c>
      <c r="H18" s="23" t="n">
        <f aca="false">IFERROR((Settings!$B$10*'History Y-1'!AA18*('History Y-1'!$S18&lt;&gt;"Y")+Settings!$B$11*'History Y-2'!AA18*('History Y-2'!$S18&lt;&gt;"Y")+Settings!$B$12*'History Y-3'!AA18*('History Y-3'!$S18&lt;&gt;"Y"))/(Settings!$B$10*('History Y-1'!$S18&lt;&gt;"Y")+Settings!$B$11*('History Y-2'!$S18&lt;&gt;"Y")+Settings!$B$12*('History Y-3'!$S18&lt;&gt;"Y")),'History Y-1'!AA18)</f>
        <v>0.468918351582419</v>
      </c>
      <c r="I18" s="23" t="n">
        <f aca="false">IFERROR((Settings!$B$10*'History Y-1'!AB18*('History Y-1'!$S18&lt;&gt;"Y")+Settings!$B$11*'History Y-2'!AB18*('History Y-2'!$S18&lt;&gt;"Y")+Settings!$B$12*'History Y-3'!AB18*('History Y-3'!$S18&lt;&gt;"Y"))/(Settings!$B$10*('History Y-1'!$S18&lt;&gt;"Y")+Settings!$B$11*('History Y-2'!$S18&lt;&gt;"Y")+Settings!$B$12*('History Y-3'!$S18&lt;&gt;"Y")),'History Y-1'!AB18)</f>
        <v>0.333486164681623</v>
      </c>
      <c r="J18" s="23" t="n">
        <f aca="false">IFERROR((Settings!$B$10*'History Y-1'!AC18*('History Y-1'!$S18&lt;&gt;"Y")+Settings!$B$11*'History Y-2'!AC18*('History Y-2'!$S18&lt;&gt;"Y")+Settings!$B$12*'History Y-3'!AC18*('History Y-3'!$S18&lt;&gt;"Y"))/(Settings!$B$10*('History Y-1'!$S18&lt;&gt;"Y")+Settings!$B$11*('History Y-2'!$S18&lt;&gt;"Y")+Settings!$B$12*('History Y-3'!$S18&lt;&gt;"Y")),'History Y-1'!AC18)</f>
        <v>0.202000681140308</v>
      </c>
      <c r="K18" s="29" t="n">
        <f aca="false">IFERROR((Settings!$B$10*'History Y-1'!AD18*('History Y-1'!$S18&lt;&gt;"Y")+Settings!$B$11*'History Y-2'!AD18*('History Y-2'!$S18&lt;&gt;"Y")+Settings!$B$12*'History Y-3'!AD18*('History Y-3'!$S18&lt;&gt;"Y"))/(Settings!$B$10*('History Y-1'!$S18&lt;&gt;"Y")+Settings!$B$11*('History Y-2'!$S18&lt;&gt;"Y")+Settings!$B$12*('History Y-3'!$S18&lt;&gt;"Y")),'History Y-1'!AD18)</f>
        <v>0.0183302162737223</v>
      </c>
      <c r="L18" s="29" t="n">
        <f aca="false">IFERROR((Settings!$B$10*'History Y-1'!AE18*('History Y-1'!$S18&lt;&gt;"Y")+Settings!$B$11*'History Y-2'!AE18*('History Y-2'!$S18&lt;&gt;"Y")+Settings!$B$12*'History Y-3'!AE18*('History Y-3'!$S18&lt;&gt;"Y"))/(Settings!$B$10*('History Y-1'!$S18&lt;&gt;"Y")+Settings!$B$11*('History Y-2'!$S18&lt;&gt;"Y")+Settings!$B$12*('History Y-3'!$S18&lt;&gt;"Y")),'History Y-1'!AE18)</f>
        <v>0.0156098974901811</v>
      </c>
      <c r="M18" s="29" t="n">
        <f aca="false">IFERROR((Settings!$B$10*'History Y-1'!AF18*('History Y-1'!$S18&lt;&gt;"Y")+Settings!$B$11*'History Y-2'!AF18*('History Y-2'!$S18&lt;&gt;"Y")+Settings!$B$12*'History Y-3'!AF18*('History Y-3'!$S18&lt;&gt;"Y"))/(Settings!$B$10*('History Y-1'!$S18&lt;&gt;"Y")+Settings!$B$11*('History Y-2'!$S18&lt;&gt;"Y")+Settings!$B$12*('History Y-3'!$S18&lt;&gt;"Y")),'History Y-1'!AF18)</f>
        <v>0.0185722770162762</v>
      </c>
      <c r="N18" s="29" t="n">
        <f aca="false">IFERROR((Settings!$B$10*'History Y-1'!AG18*('History Y-1'!$S18&lt;&gt;"Y")+Settings!$B$11*'History Y-2'!AG18*('History Y-2'!$S18&lt;&gt;"Y")+Settings!$B$12*'History Y-3'!AG18*('History Y-3'!$S18&lt;&gt;"Y"))/(Settings!$B$10*('History Y-1'!$S18&lt;&gt;"Y")+Settings!$B$11*('History Y-2'!$S18&lt;&gt;"Y")+Settings!$B$12*('History Y-3'!$S18&lt;&gt;"Y")),'History Y-1'!AG18)</f>
        <v>0.0182500335754717</v>
      </c>
      <c r="O18" s="29" t="n">
        <f aca="false">IFERROR((Settings!$B$10*'History Y-1'!AH18*('History Y-1'!$S18&lt;&gt;"Y")+Settings!$B$11*'History Y-2'!AH18*('History Y-2'!$S18&lt;&gt;"Y")+Settings!$B$12*'History Y-3'!AH18*('History Y-3'!$S18&lt;&gt;"Y"))/(Settings!$B$10*('History Y-1'!$S18&lt;&gt;"Y")+Settings!$B$11*('History Y-2'!$S18&lt;&gt;"Y")+Settings!$B$12*('History Y-3'!$S18&lt;&gt;"Y")),'History Y-1'!AH18)</f>
        <v>0.0183462442859529</v>
      </c>
      <c r="P18" s="29" t="n">
        <f aca="false">IFERROR((Settings!$B$10*'History Y-1'!AI18*('History Y-1'!$S18&lt;&gt;"Y")+Settings!$B$11*'History Y-2'!AI18*('History Y-2'!$S18&lt;&gt;"Y")+Settings!$B$12*'History Y-3'!AI18*('History Y-3'!$S18&lt;&gt;"Y"))/(Settings!$B$10*('History Y-1'!$S18&lt;&gt;"Y")+Settings!$B$11*('History Y-2'!$S18&lt;&gt;"Y")+Settings!$B$12*('History Y-3'!$S18&lt;&gt;"Y")),'History Y-1'!AI18)</f>
        <v>0.0175682866359434</v>
      </c>
      <c r="Q18" s="57" t="n">
        <f aca="false">IFERROR(K18/SUM(K$6:K$57),0)</f>
        <v>0.0183400848841473</v>
      </c>
      <c r="R18" s="57" t="n">
        <f aca="false">IFERROR(L18/SUM(L$6:L$57),0)</f>
        <v>0.0156232911755801</v>
      </c>
      <c r="S18" s="57" t="n">
        <f aca="false">IFERROR(M18/SUM(M$6:M$57),0)</f>
        <v>0.018599336607491</v>
      </c>
      <c r="T18" s="57" t="n">
        <f aca="false">IFERROR(N18/SUM(N$6:N$57),0)</f>
        <v>0.0183017619744775</v>
      </c>
      <c r="U18" s="57" t="n">
        <f aca="false">IFERROR(O18/SUM(O$6:O$57),0)</f>
        <v>0.0183670924535024</v>
      </c>
      <c r="V18" s="57" t="n">
        <f aca="false">IFERROR(P18/SUM(P$6:P$57),0)</f>
        <v>0.0176150169444241</v>
      </c>
    </row>
    <row r="19" customFormat="false" ht="15" hidden="false" customHeight="false" outlineLevel="0" collapsed="false">
      <c r="A19" s="13" t="n">
        <v>14</v>
      </c>
      <c r="B19" s="29" t="n">
        <f aca="false">IFERROR((Settings!$B$10*'History Y-1'!U19*('History Y-1'!$S19&lt;&gt;"Y")+Settings!$B$11*'History Y-2'!U19*('History Y-2'!$S19&lt;&gt;"Y")+Settings!$B$12*'History Y-3'!U19*('History Y-3'!$S19&lt;&gt;"Y"))/(Settings!$B$10*('History Y-1'!$S19&lt;&gt;"Y")+Settings!$B$11*('History Y-2'!$S19&lt;&gt;"Y")+Settings!$B$12*('History Y-3'!$S19&lt;&gt;"Y")),'History Y-1'!U19)</f>
        <v>0.0219569698270599</v>
      </c>
      <c r="C19" s="23" t="n">
        <f aca="false">IFERROR((Settings!$B$10*'History Y-1'!V19*('History Y-1'!$S19&lt;&gt;"Y")+Settings!$B$11*'History Y-2'!V19*('History Y-2'!$S19&lt;&gt;"Y")+Settings!$B$12*'History Y-3'!V19*('History Y-3'!$S19&lt;&gt;"Y"))/(Settings!$B$10*('History Y-1'!$S19&lt;&gt;"Y")+Settings!$B$11*('History Y-2'!$S19&lt;&gt;"Y")+Settings!$B$12*('History Y-3'!$S19&lt;&gt;"Y")),'History Y-1'!V19)</f>
        <v>75.4260370357803</v>
      </c>
      <c r="D19" s="36" t="n">
        <f aca="false">IFERROR((Settings!$B$10*'History Y-1'!W19*('History Y-1'!$S19&lt;&gt;"Y")+Settings!$B$11*'History Y-2'!W19*('History Y-2'!$S19&lt;&gt;"Y")+Settings!$B$12*'History Y-3'!W19*('History Y-3'!$S19&lt;&gt;"Y"))/(Settings!$B$10*('History Y-1'!$S19&lt;&gt;"Y")+Settings!$B$11*('History Y-2'!$S19&lt;&gt;"Y")+Settings!$B$12*('History Y-3'!$S19&lt;&gt;"Y")),'History Y-1'!W19)</f>
        <v>1.86545283862903</v>
      </c>
      <c r="E19" s="31" t="n">
        <f aca="false">IFERROR((Settings!$B$10*'History Y-1'!X19*('History Y-1'!$S19&lt;&gt;"Y")+Settings!$B$11*'History Y-2'!X19*('History Y-2'!$S19&lt;&gt;"Y")+Settings!$B$12*'History Y-3'!X19*('History Y-3'!$S19&lt;&gt;"Y"))/(Settings!$B$10*('History Y-1'!$S19&lt;&gt;"Y")+Settings!$B$11*('History Y-2'!$S19&lt;&gt;"Y")+Settings!$B$12*('History Y-3'!$S19&lt;&gt;"Y")),'History Y-1'!X19)</f>
        <v>0.0782264682320803</v>
      </c>
      <c r="F19" s="31" t="n">
        <f aca="false">IFERROR((Settings!$B$10*'History Y-1'!Y19*('History Y-1'!$S19&lt;&gt;"Y")+Settings!$B$11*'History Y-2'!Y19*('History Y-2'!$S19&lt;&gt;"Y")+Settings!$B$12*'History Y-3'!Y19*('History Y-3'!$S19&lt;&gt;"Y"))/(Settings!$B$10*('History Y-1'!$S19&lt;&gt;"Y")+Settings!$B$11*('History Y-2'!$S19&lt;&gt;"Y")+Settings!$B$12*('History Y-3'!$S19&lt;&gt;"Y")),'History Y-1'!Y19)</f>
        <v>0.258401284826854</v>
      </c>
      <c r="G19" s="31" t="n">
        <f aca="false">IFERROR((Settings!$B$10*'History Y-1'!Z19*('History Y-1'!$S19&lt;&gt;"Y")+Settings!$B$11*'History Y-2'!Z19*('History Y-2'!$S19&lt;&gt;"Y")+Settings!$B$12*'History Y-3'!Z19*('History Y-3'!$S19&lt;&gt;"Y"))/(Settings!$B$10*('History Y-1'!$S19&lt;&gt;"Y")+Settings!$B$11*('History Y-2'!$S19&lt;&gt;"Y")+Settings!$B$12*('History Y-3'!$S19&lt;&gt;"Y")),'History Y-1'!Z19)</f>
        <v>0.348937938840241</v>
      </c>
      <c r="H19" s="23" t="n">
        <f aca="false">IFERROR((Settings!$B$10*'History Y-1'!AA19*('History Y-1'!$S19&lt;&gt;"Y")+Settings!$B$11*'History Y-2'!AA19*('History Y-2'!$S19&lt;&gt;"Y")+Settings!$B$12*'History Y-3'!AA19*('History Y-3'!$S19&lt;&gt;"Y"))/(Settings!$B$10*('History Y-1'!$S19&lt;&gt;"Y")+Settings!$B$11*('History Y-2'!$S19&lt;&gt;"Y")+Settings!$B$12*('History Y-3'!$S19&lt;&gt;"Y")),'History Y-1'!AA19)</f>
        <v>0.451785070143676</v>
      </c>
      <c r="I19" s="23" t="n">
        <f aca="false">IFERROR((Settings!$B$10*'History Y-1'!AB19*('History Y-1'!$S19&lt;&gt;"Y")+Settings!$B$11*'History Y-2'!AB19*('History Y-2'!$S19&lt;&gt;"Y")+Settings!$B$12*'History Y-3'!AB19*('History Y-3'!$S19&lt;&gt;"Y"))/(Settings!$B$10*('History Y-1'!$S19&lt;&gt;"Y")+Settings!$B$11*('History Y-2'!$S19&lt;&gt;"Y")+Settings!$B$12*('History Y-3'!$S19&lt;&gt;"Y")),'History Y-1'!AB19)</f>
        <v>0.344758687154471</v>
      </c>
      <c r="J19" s="23" t="n">
        <f aca="false">IFERROR((Settings!$B$10*'History Y-1'!AC19*('History Y-1'!$S19&lt;&gt;"Y")+Settings!$B$11*'History Y-2'!AC19*('History Y-2'!$S19&lt;&gt;"Y")+Settings!$B$12*'History Y-3'!AC19*('History Y-3'!$S19&lt;&gt;"Y"))/(Settings!$B$10*('History Y-1'!$S19&lt;&gt;"Y")+Settings!$B$11*('History Y-2'!$S19&lt;&gt;"Y")+Settings!$B$12*('History Y-3'!$S19&lt;&gt;"Y")),'History Y-1'!AC19)</f>
        <v>0.207776423435191</v>
      </c>
      <c r="K19" s="29" t="n">
        <f aca="false">IFERROR((Settings!$B$10*'History Y-1'!AD19*('History Y-1'!$S19&lt;&gt;"Y")+Settings!$B$11*'History Y-2'!AD19*('History Y-2'!$S19&lt;&gt;"Y")+Settings!$B$12*'History Y-3'!AD19*('History Y-3'!$S19&lt;&gt;"Y"))/(Settings!$B$10*('History Y-1'!$S19&lt;&gt;"Y")+Settings!$B$11*('History Y-2'!$S19&lt;&gt;"Y")+Settings!$B$12*('History Y-3'!$S19&lt;&gt;"Y")),'History Y-1'!AD19)</f>
        <v>0.0191592853248347</v>
      </c>
      <c r="L19" s="29" t="n">
        <f aca="false">IFERROR((Settings!$B$10*'History Y-1'!AE19*('History Y-1'!$S19&lt;&gt;"Y")+Settings!$B$11*'History Y-2'!AE19*('History Y-2'!$S19&lt;&gt;"Y")+Settings!$B$12*'History Y-3'!AE19*('History Y-3'!$S19&lt;&gt;"Y"))/(Settings!$B$10*('History Y-1'!$S19&lt;&gt;"Y")+Settings!$B$11*('History Y-2'!$S19&lt;&gt;"Y")+Settings!$B$12*('History Y-3'!$S19&lt;&gt;"Y")),'History Y-1'!AE19)</f>
        <v>0.0176322308465</v>
      </c>
      <c r="M19" s="29" t="n">
        <f aca="false">IFERROR((Settings!$B$10*'History Y-1'!AF19*('History Y-1'!$S19&lt;&gt;"Y")+Settings!$B$11*'History Y-2'!AF19*('History Y-2'!$S19&lt;&gt;"Y")+Settings!$B$12*'History Y-3'!AF19*('History Y-3'!$S19&lt;&gt;"Y"))/(Settings!$B$10*('History Y-1'!$S19&lt;&gt;"Y")+Settings!$B$11*('History Y-2'!$S19&lt;&gt;"Y")+Settings!$B$12*('History Y-3'!$S19&lt;&gt;"Y")),'History Y-1'!AF19)</f>
        <v>0.0195076616407693</v>
      </c>
      <c r="N19" s="29" t="n">
        <f aca="false">IFERROR((Settings!$B$10*'History Y-1'!AG19*('History Y-1'!$S19&lt;&gt;"Y")+Settings!$B$11*'History Y-2'!AG19*('History Y-2'!$S19&lt;&gt;"Y")+Settings!$B$12*'History Y-3'!AG19*('History Y-3'!$S19&lt;&gt;"Y"))/(Settings!$B$10*('History Y-1'!$S19&lt;&gt;"Y")+Settings!$B$11*('History Y-2'!$S19&lt;&gt;"Y")+Settings!$B$12*('History Y-3'!$S19&lt;&gt;"Y")),'History Y-1'!AG19)</f>
        <v>0.0193342250901355</v>
      </c>
      <c r="O19" s="29" t="n">
        <f aca="false">IFERROR((Settings!$B$10*'History Y-1'!AH19*('History Y-1'!$S19&lt;&gt;"Y")+Settings!$B$11*'History Y-2'!AH19*('History Y-2'!$S19&lt;&gt;"Y")+Settings!$B$12*'History Y-3'!AH19*('History Y-3'!$S19&lt;&gt;"Y"))/(Settings!$B$10*('History Y-1'!$S19&lt;&gt;"Y")+Settings!$B$11*('History Y-2'!$S19&lt;&gt;"Y")+Settings!$B$12*('History Y-3'!$S19&lt;&gt;"Y")),'History Y-1'!AH19)</f>
        <v>0.0192704528068468</v>
      </c>
      <c r="P19" s="29" t="n">
        <f aca="false">IFERROR((Settings!$B$10*'History Y-1'!AI19*('History Y-1'!$S19&lt;&gt;"Y")+Settings!$B$11*'History Y-2'!AI19*('History Y-2'!$S19&lt;&gt;"Y")+Settings!$B$12*'History Y-3'!AI19*('History Y-3'!$S19&lt;&gt;"Y"))/(Settings!$B$10*('History Y-1'!$S19&lt;&gt;"Y")+Settings!$B$11*('History Y-2'!$S19&lt;&gt;"Y")+Settings!$B$12*('History Y-3'!$S19&lt;&gt;"Y")),'History Y-1'!AI19)</f>
        <v>0.0192232102809399</v>
      </c>
      <c r="Q19" s="57" t="n">
        <f aca="false">IFERROR(K19/SUM(K$6:K$57),0)</f>
        <v>0.0191696002889392</v>
      </c>
      <c r="R19" s="57" t="n">
        <f aca="false">IFERROR(L19/SUM(L$6:L$57),0)</f>
        <v>0.0176473597448793</v>
      </c>
      <c r="S19" s="57" t="n">
        <f aca="false">IFERROR(M19/SUM(M$6:M$57),0)</f>
        <v>0.0195360840764832</v>
      </c>
      <c r="T19" s="57" t="n">
        <f aca="false">IFERROR(N19/SUM(N$6:N$57),0)</f>
        <v>0.0193890265515024</v>
      </c>
      <c r="U19" s="57" t="n">
        <f aca="false">IFERROR(O19/SUM(O$6:O$57),0)</f>
        <v>0.0192923512195471</v>
      </c>
      <c r="V19" s="57" t="n">
        <f aca="false">IFERROR(P19/SUM(P$6:P$57),0)</f>
        <v>0.0192743425606568</v>
      </c>
    </row>
    <row r="20" customFormat="false" ht="15" hidden="false" customHeight="false" outlineLevel="0" collapsed="false">
      <c r="A20" s="13" t="n">
        <v>15</v>
      </c>
      <c r="B20" s="29" t="n">
        <f aca="false">IFERROR((Settings!$B$10*'History Y-1'!U20*('History Y-1'!$S20&lt;&gt;"Y")+Settings!$B$11*'History Y-2'!U20*('History Y-2'!$S20&lt;&gt;"Y")+Settings!$B$12*'History Y-3'!U20*('History Y-3'!$S20&lt;&gt;"Y"))/(Settings!$B$10*('History Y-1'!$S20&lt;&gt;"Y")+Settings!$B$11*('History Y-2'!$S20&lt;&gt;"Y")+Settings!$B$12*('History Y-3'!$S20&lt;&gt;"Y")),'History Y-1'!U20)</f>
        <v>0.0216161794988217</v>
      </c>
      <c r="C20" s="23" t="n">
        <f aca="false">IFERROR((Settings!$B$10*'History Y-1'!V20*('History Y-1'!$S20&lt;&gt;"Y")+Settings!$B$11*'History Y-2'!V20*('History Y-2'!$S20&lt;&gt;"Y")+Settings!$B$12*'History Y-3'!V20*('History Y-3'!$S20&lt;&gt;"Y"))/(Settings!$B$10*('History Y-1'!$S20&lt;&gt;"Y")+Settings!$B$11*('History Y-2'!$S20&lt;&gt;"Y")+Settings!$B$12*('History Y-3'!$S20&lt;&gt;"Y")),'History Y-1'!V20)</f>
        <v>76.1924661364781</v>
      </c>
      <c r="D20" s="36" t="n">
        <f aca="false">IFERROR((Settings!$B$10*'History Y-1'!W20*('History Y-1'!$S20&lt;&gt;"Y")+Settings!$B$11*'History Y-2'!W20*('History Y-2'!$S20&lt;&gt;"Y")+Settings!$B$12*'History Y-3'!W20*('History Y-3'!$S20&lt;&gt;"Y"))/(Settings!$B$10*('History Y-1'!$S20&lt;&gt;"Y")+Settings!$B$11*('History Y-2'!$S20&lt;&gt;"Y")+Settings!$B$12*('History Y-3'!$S20&lt;&gt;"Y")),'History Y-1'!W20)</f>
        <v>1.90520123165016</v>
      </c>
      <c r="E20" s="31" t="n">
        <f aca="false">IFERROR((Settings!$B$10*'History Y-1'!X20*('History Y-1'!$S20&lt;&gt;"Y")+Settings!$B$11*'History Y-2'!X20*('History Y-2'!$S20&lt;&gt;"Y")+Settings!$B$12*'History Y-3'!X20*('History Y-3'!$S20&lt;&gt;"Y"))/(Settings!$B$10*('History Y-1'!$S20&lt;&gt;"Y")+Settings!$B$11*('History Y-2'!$S20&lt;&gt;"Y")+Settings!$B$12*('History Y-3'!$S20&lt;&gt;"Y")),'History Y-1'!X20)</f>
        <v>0.0775871775762531</v>
      </c>
      <c r="F20" s="31" t="n">
        <f aca="false">IFERROR((Settings!$B$10*'History Y-1'!Y20*('History Y-1'!$S20&lt;&gt;"Y")+Settings!$B$11*'History Y-2'!Y20*('History Y-2'!$S20&lt;&gt;"Y")+Settings!$B$12*'History Y-3'!Y20*('History Y-3'!$S20&lt;&gt;"Y"))/(Settings!$B$10*('History Y-1'!$S20&lt;&gt;"Y")+Settings!$B$11*('History Y-2'!$S20&lt;&gt;"Y")+Settings!$B$12*('History Y-3'!$S20&lt;&gt;"Y")),'History Y-1'!Y20)</f>
        <v>0.257247648462997</v>
      </c>
      <c r="G20" s="31" t="n">
        <f aca="false">IFERROR((Settings!$B$10*'History Y-1'!Z20*('History Y-1'!$S20&lt;&gt;"Y")+Settings!$B$11*'History Y-2'!Z20*('History Y-2'!$S20&lt;&gt;"Y")+Settings!$B$12*'History Y-3'!Z20*('History Y-3'!$S20&lt;&gt;"Y"))/(Settings!$B$10*('History Y-1'!$S20&lt;&gt;"Y")+Settings!$B$11*('History Y-2'!$S20&lt;&gt;"Y")+Settings!$B$12*('History Y-3'!$S20&lt;&gt;"Y")),'History Y-1'!Z20)</f>
        <v>0.346161653860856</v>
      </c>
      <c r="H20" s="23" t="n">
        <f aca="false">IFERROR((Settings!$B$10*'History Y-1'!AA20*('History Y-1'!$S20&lt;&gt;"Y")+Settings!$B$11*'History Y-2'!AA20*('History Y-2'!$S20&lt;&gt;"Y")+Settings!$B$12*'History Y-3'!AA20*('History Y-3'!$S20&lt;&gt;"Y"))/(Settings!$B$10*('History Y-1'!$S20&lt;&gt;"Y")+Settings!$B$11*('History Y-2'!$S20&lt;&gt;"Y")+Settings!$B$12*('History Y-3'!$S20&lt;&gt;"Y")),'History Y-1'!AA20)</f>
        <v>0.464551205776654</v>
      </c>
      <c r="I20" s="23" t="n">
        <f aca="false">IFERROR((Settings!$B$10*'History Y-1'!AB20*('History Y-1'!$S20&lt;&gt;"Y")+Settings!$B$11*'History Y-2'!AB20*('History Y-2'!$S20&lt;&gt;"Y")+Settings!$B$12*'History Y-3'!AB20*('History Y-3'!$S20&lt;&gt;"Y"))/(Settings!$B$10*('History Y-1'!$S20&lt;&gt;"Y")+Settings!$B$11*('History Y-2'!$S20&lt;&gt;"Y")+Settings!$B$12*('History Y-3'!$S20&lt;&gt;"Y")),'History Y-1'!AB20)</f>
        <v>0.330446367043257</v>
      </c>
      <c r="J20" s="23" t="n">
        <f aca="false">IFERROR((Settings!$B$10*'History Y-1'!AC20*('History Y-1'!$S20&lt;&gt;"Y")+Settings!$B$11*'History Y-2'!AC20*('History Y-2'!$S20&lt;&gt;"Y")+Settings!$B$12*'History Y-3'!AC20*('History Y-3'!$S20&lt;&gt;"Y"))/(Settings!$B$10*('History Y-1'!$S20&lt;&gt;"Y")+Settings!$B$11*('History Y-2'!$S20&lt;&gt;"Y")+Settings!$B$12*('History Y-3'!$S20&lt;&gt;"Y")),'History Y-1'!AC20)</f>
        <v>0.205482780257394</v>
      </c>
      <c r="K20" s="29" t="n">
        <f aca="false">IFERROR((Settings!$B$10*'History Y-1'!AD20*('History Y-1'!$S20&lt;&gt;"Y")+Settings!$B$11*'History Y-2'!AD20*('History Y-2'!$S20&lt;&gt;"Y")+Settings!$B$12*'History Y-3'!AD20*('History Y-3'!$S20&lt;&gt;"Y"))/(Settings!$B$10*('History Y-1'!$S20&lt;&gt;"Y")+Settings!$B$11*('History Y-2'!$S20&lt;&gt;"Y")+Settings!$B$12*('History Y-3'!$S20&lt;&gt;"Y")),'History Y-1'!AD20)</f>
        <v>0.0187958880972298</v>
      </c>
      <c r="L20" s="29" t="n">
        <f aca="false">IFERROR((Settings!$B$10*'History Y-1'!AE20*('History Y-1'!$S20&lt;&gt;"Y")+Settings!$B$11*'History Y-2'!AE20*('History Y-2'!$S20&lt;&gt;"Y")+Settings!$B$12*'History Y-3'!AE20*('History Y-3'!$S20&lt;&gt;"Y"))/(Settings!$B$10*('History Y-1'!$S20&lt;&gt;"Y")+Settings!$B$11*('History Y-2'!$S20&lt;&gt;"Y")+Settings!$B$12*('History Y-3'!$S20&lt;&gt;"Y")),'History Y-1'!AE20)</f>
        <v>0.0168974495721906</v>
      </c>
      <c r="M20" s="29" t="n">
        <f aca="false">IFERROR((Settings!$B$10*'History Y-1'!AF20*('History Y-1'!$S20&lt;&gt;"Y")+Settings!$B$11*'History Y-2'!AF20*('History Y-2'!$S20&lt;&gt;"Y")+Settings!$B$12*'History Y-3'!AF20*('History Y-3'!$S20&lt;&gt;"Y"))/(Settings!$B$10*('History Y-1'!$S20&lt;&gt;"Y")+Settings!$B$11*('History Y-2'!$S20&lt;&gt;"Y")+Settings!$B$12*('History Y-3'!$S20&lt;&gt;"Y")),'History Y-1'!AF20)</f>
        <v>0.018719025151273</v>
      </c>
      <c r="N20" s="29" t="n">
        <f aca="false">IFERROR((Settings!$B$10*'History Y-1'!AG20*('History Y-1'!$S20&lt;&gt;"Y")+Settings!$B$11*'History Y-2'!AG20*('History Y-2'!$S20&lt;&gt;"Y")+Settings!$B$12*'History Y-3'!AG20*('History Y-3'!$S20&lt;&gt;"Y"))/(Settings!$B$10*('History Y-1'!$S20&lt;&gt;"Y")+Settings!$B$11*('History Y-2'!$S20&lt;&gt;"Y")+Settings!$B$12*('History Y-3'!$S20&lt;&gt;"Y")),'History Y-1'!AG20)</f>
        <v>0.0196267518046591</v>
      </c>
      <c r="O20" s="29" t="n">
        <f aca="false">IFERROR((Settings!$B$10*'History Y-1'!AH20*('History Y-1'!$S20&lt;&gt;"Y")+Settings!$B$11*'History Y-2'!AH20*('History Y-2'!$S20&lt;&gt;"Y")+Settings!$B$12*'History Y-3'!AH20*('History Y-3'!$S20&lt;&gt;"Y"))/(Settings!$B$10*('History Y-1'!$S20&lt;&gt;"Y")+Settings!$B$11*('History Y-2'!$S20&lt;&gt;"Y")+Settings!$B$12*('History Y-3'!$S20&lt;&gt;"Y")),'History Y-1'!AH20)</f>
        <v>0.0179079840738352</v>
      </c>
      <c r="P20" s="29" t="n">
        <f aca="false">IFERROR((Settings!$B$10*'History Y-1'!AI20*('History Y-1'!$S20&lt;&gt;"Y")+Settings!$B$11*'History Y-2'!AI20*('History Y-2'!$S20&lt;&gt;"Y")+Settings!$B$12*'History Y-3'!AI20*('History Y-3'!$S20&lt;&gt;"Y"))/(Settings!$B$10*('History Y-1'!$S20&lt;&gt;"Y")+Settings!$B$11*('History Y-2'!$S20&lt;&gt;"Y")+Settings!$B$12*('History Y-3'!$S20&lt;&gt;"Y")),'History Y-1'!AI20)</f>
        <v>0.0189300644228227</v>
      </c>
      <c r="Q20" s="57" t="n">
        <f aca="false">IFERROR(K20/SUM(K$6:K$57),0)</f>
        <v>0.0188060074157611</v>
      </c>
      <c r="R20" s="57" t="n">
        <f aca="false">IFERROR(L20/SUM(L$6:L$57),0)</f>
        <v>0.0169119480097209</v>
      </c>
      <c r="S20" s="57" t="n">
        <f aca="false">IFERROR(M20/SUM(M$6:M$57),0)</f>
        <v>0.0187462985528106</v>
      </c>
      <c r="T20" s="57" t="n">
        <f aca="false">IFERROR(N20/SUM(N$6:N$57),0)</f>
        <v>0.0196823824118215</v>
      </c>
      <c r="U20" s="57" t="n">
        <f aca="false">IFERROR(O20/SUM(O$6:O$57),0)</f>
        <v>0.0179283342145303</v>
      </c>
      <c r="V20" s="57" t="n">
        <f aca="false">IFERROR(P20/SUM(P$6:P$57),0)</f>
        <v>0.0189804169568158</v>
      </c>
    </row>
    <row r="21" customFormat="false" ht="15" hidden="false" customHeight="false" outlineLevel="0" collapsed="false">
      <c r="A21" s="13" t="n">
        <v>16</v>
      </c>
      <c r="B21" s="29" t="n">
        <f aca="false">IFERROR((Settings!$B$10*'History Y-1'!U21*('History Y-1'!$S21&lt;&gt;"Y")+Settings!$B$11*'History Y-2'!U21*('History Y-2'!$S21&lt;&gt;"Y")+Settings!$B$12*'History Y-3'!U21*('History Y-3'!$S21&lt;&gt;"Y"))/(Settings!$B$10*('History Y-1'!$S21&lt;&gt;"Y")+Settings!$B$11*('History Y-2'!$S21&lt;&gt;"Y")+Settings!$B$12*('History Y-3'!$S21&lt;&gt;"Y")),'History Y-1'!U21)</f>
        <v>0.0217565755937496</v>
      </c>
      <c r="C21" s="23" t="n">
        <f aca="false">IFERROR((Settings!$B$10*'History Y-1'!V21*('History Y-1'!$S21&lt;&gt;"Y")+Settings!$B$11*'History Y-2'!V21*('History Y-2'!$S21&lt;&gt;"Y")+Settings!$B$12*'History Y-3'!V21*('History Y-3'!$S21&lt;&gt;"Y"))/(Settings!$B$10*('History Y-1'!$S21&lt;&gt;"Y")+Settings!$B$11*('History Y-2'!$S21&lt;&gt;"Y")+Settings!$B$12*('History Y-3'!$S21&lt;&gt;"Y")),'History Y-1'!V21)</f>
        <v>76.2344429806564</v>
      </c>
      <c r="D21" s="36" t="n">
        <f aca="false">IFERROR((Settings!$B$10*'History Y-1'!W21*('History Y-1'!$S21&lt;&gt;"Y")+Settings!$B$11*'History Y-2'!W21*('History Y-2'!$S21&lt;&gt;"Y")+Settings!$B$12*'History Y-3'!W21*('History Y-3'!$S21&lt;&gt;"Y"))/(Settings!$B$10*('History Y-1'!$S21&lt;&gt;"Y")+Settings!$B$11*('History Y-2'!$S21&lt;&gt;"Y")+Settings!$B$12*('History Y-3'!$S21&lt;&gt;"Y")),'History Y-1'!W21)</f>
        <v>1.91645176366095</v>
      </c>
      <c r="E21" s="31" t="n">
        <f aca="false">IFERROR((Settings!$B$10*'History Y-1'!X21*('History Y-1'!$S21&lt;&gt;"Y")+Settings!$B$11*'History Y-2'!X21*('History Y-2'!$S21&lt;&gt;"Y")+Settings!$B$12*'History Y-3'!X21*('History Y-3'!$S21&lt;&gt;"Y"))/(Settings!$B$10*('History Y-1'!$S21&lt;&gt;"Y")+Settings!$B$11*('History Y-2'!$S21&lt;&gt;"Y")+Settings!$B$12*('History Y-3'!$S21&lt;&gt;"Y")),'History Y-1'!X21)</f>
        <v>0.0824666775659074</v>
      </c>
      <c r="F21" s="31" t="n">
        <f aca="false">IFERROR((Settings!$B$10*'History Y-1'!Y21*('History Y-1'!$S21&lt;&gt;"Y")+Settings!$B$11*'History Y-2'!Y21*('History Y-2'!$S21&lt;&gt;"Y")+Settings!$B$12*'History Y-3'!Y21*('History Y-3'!$S21&lt;&gt;"Y"))/(Settings!$B$10*('History Y-1'!$S21&lt;&gt;"Y")+Settings!$B$11*('History Y-2'!$S21&lt;&gt;"Y")+Settings!$B$12*('History Y-3'!$S21&lt;&gt;"Y")),'History Y-1'!Y21)</f>
        <v>0.257869977537873</v>
      </c>
      <c r="G21" s="31" t="n">
        <f aca="false">IFERROR((Settings!$B$10*'History Y-1'!Z21*('History Y-1'!$S21&lt;&gt;"Y")+Settings!$B$11*'History Y-2'!Z21*('History Y-2'!$S21&lt;&gt;"Y")+Settings!$B$12*'History Y-3'!Z21*('History Y-3'!$S21&lt;&gt;"Y"))/(Settings!$B$10*('History Y-1'!$S21&lt;&gt;"Y")+Settings!$B$11*('History Y-2'!$S21&lt;&gt;"Y")+Settings!$B$12*('History Y-3'!$S21&lt;&gt;"Y")),'History Y-1'!Z21)</f>
        <v>0.345049660326531</v>
      </c>
      <c r="H21" s="23" t="n">
        <f aca="false">IFERROR((Settings!$B$10*'History Y-1'!AA21*('History Y-1'!$S21&lt;&gt;"Y")+Settings!$B$11*'History Y-2'!AA21*('History Y-2'!$S21&lt;&gt;"Y")+Settings!$B$12*'History Y-3'!AA21*('History Y-3'!$S21&lt;&gt;"Y"))/(Settings!$B$10*('History Y-1'!$S21&lt;&gt;"Y")+Settings!$B$11*('History Y-2'!$S21&lt;&gt;"Y")+Settings!$B$12*('History Y-3'!$S21&lt;&gt;"Y")),'History Y-1'!AA21)</f>
        <v>0.457369233508765</v>
      </c>
      <c r="I21" s="23" t="n">
        <f aca="false">IFERROR((Settings!$B$10*'History Y-1'!AB21*('History Y-1'!$S21&lt;&gt;"Y")+Settings!$B$11*'History Y-2'!AB21*('History Y-2'!$S21&lt;&gt;"Y")+Settings!$B$12*'History Y-3'!AB21*('History Y-3'!$S21&lt;&gt;"Y"))/(Settings!$B$10*('History Y-1'!$S21&lt;&gt;"Y")+Settings!$B$11*('History Y-2'!$S21&lt;&gt;"Y")+Settings!$B$12*('History Y-3'!$S21&lt;&gt;"Y")),'History Y-1'!AB21)</f>
        <v>0.332261496797503</v>
      </c>
      <c r="J21" s="23" t="n">
        <f aca="false">IFERROR((Settings!$B$10*'History Y-1'!AC21*('History Y-1'!$S21&lt;&gt;"Y")+Settings!$B$11*'History Y-2'!AC21*('History Y-2'!$S21&lt;&gt;"Y")+Settings!$B$12*'History Y-3'!AC21*('History Y-3'!$S21&lt;&gt;"Y"))/(Settings!$B$10*('History Y-1'!$S21&lt;&gt;"Y")+Settings!$B$11*('History Y-2'!$S21&lt;&gt;"Y")+Settings!$B$12*('History Y-3'!$S21&lt;&gt;"Y")),'History Y-1'!AC21)</f>
        <v>0.20451776729584</v>
      </c>
      <c r="K21" s="29" t="n">
        <f aca="false">IFERROR((Settings!$B$10*'History Y-1'!AD21*('History Y-1'!$S21&lt;&gt;"Y")+Settings!$B$11*'History Y-2'!AD21*('History Y-2'!$S21&lt;&gt;"Y")+Settings!$B$12*'History Y-3'!AD21*('History Y-3'!$S21&lt;&gt;"Y"))/(Settings!$B$10*('History Y-1'!$S21&lt;&gt;"Y")+Settings!$B$11*('History Y-2'!$S21&lt;&gt;"Y")+Settings!$B$12*('History Y-3'!$S21&lt;&gt;"Y")),'History Y-1'!AD21)</f>
        <v>0.0193446153091843</v>
      </c>
      <c r="L21" s="29" t="n">
        <f aca="false">IFERROR((Settings!$B$10*'History Y-1'!AE21*('History Y-1'!$S21&lt;&gt;"Y")+Settings!$B$11*'History Y-2'!AE21*('History Y-2'!$S21&lt;&gt;"Y")+Settings!$B$12*'History Y-3'!AE21*('History Y-3'!$S21&lt;&gt;"Y"))/(Settings!$B$10*('History Y-1'!$S21&lt;&gt;"Y")+Settings!$B$11*('History Y-2'!$S21&lt;&gt;"Y")+Settings!$B$12*('History Y-3'!$S21&lt;&gt;"Y")),'History Y-1'!AE21)</f>
        <v>0.0178311789497084</v>
      </c>
      <c r="M21" s="29" t="n">
        <f aca="false">IFERROR((Settings!$B$10*'History Y-1'!AF21*('History Y-1'!$S21&lt;&gt;"Y")+Settings!$B$11*'History Y-2'!AF21*('History Y-2'!$S21&lt;&gt;"Y")+Settings!$B$12*'History Y-3'!AF21*('History Y-3'!$S21&lt;&gt;"Y"))/(Settings!$B$10*('History Y-1'!$S21&lt;&gt;"Y")+Settings!$B$11*('History Y-2'!$S21&lt;&gt;"Y")+Settings!$B$12*('History Y-3'!$S21&lt;&gt;"Y")),'History Y-1'!AF21)</f>
        <v>0.0199401534577703</v>
      </c>
      <c r="N21" s="29" t="n">
        <f aca="false">IFERROR((Settings!$B$10*'History Y-1'!AG21*('History Y-1'!$S21&lt;&gt;"Y")+Settings!$B$11*'History Y-2'!AG21*('History Y-2'!$S21&lt;&gt;"Y")+Settings!$B$12*'History Y-3'!AG21*('History Y-3'!$S21&lt;&gt;"Y"))/(Settings!$B$10*('History Y-1'!$S21&lt;&gt;"Y")+Settings!$B$11*('History Y-2'!$S21&lt;&gt;"Y")+Settings!$B$12*('History Y-3'!$S21&lt;&gt;"Y")),'History Y-1'!AG21)</f>
        <v>0.0189857876111374</v>
      </c>
      <c r="O21" s="29" t="n">
        <f aca="false">IFERROR((Settings!$B$10*'History Y-1'!AH21*('History Y-1'!$S21&lt;&gt;"Y")+Settings!$B$11*'History Y-2'!AH21*('History Y-2'!$S21&lt;&gt;"Y")+Settings!$B$12*'History Y-3'!AH21*('History Y-3'!$S21&lt;&gt;"Y"))/(Settings!$B$10*('History Y-1'!$S21&lt;&gt;"Y")+Settings!$B$11*('History Y-2'!$S21&lt;&gt;"Y")+Settings!$B$12*('History Y-3'!$S21&lt;&gt;"Y")),'History Y-1'!AH21)</f>
        <v>0.018548780734231</v>
      </c>
      <c r="P21" s="29" t="n">
        <f aca="false">IFERROR((Settings!$B$10*'History Y-1'!AI21*('History Y-1'!$S21&lt;&gt;"Y")+Settings!$B$11*'History Y-2'!AI21*('History Y-2'!$S21&lt;&gt;"Y")+Settings!$B$12*'History Y-3'!AI21*('History Y-3'!$S21&lt;&gt;"Y"))/(Settings!$B$10*('History Y-1'!$S21&lt;&gt;"Y")+Settings!$B$11*('History Y-2'!$S21&lt;&gt;"Y")+Settings!$B$12*('History Y-3'!$S21&lt;&gt;"Y")),'History Y-1'!AI21)</f>
        <v>0.0198766093220325</v>
      </c>
      <c r="Q21" s="57" t="n">
        <f aca="false">IFERROR(K21/SUM(K$6:K$57),0)</f>
        <v>0.0193550300511304</v>
      </c>
      <c r="R21" s="57" t="n">
        <f aca="false">IFERROR(L21/SUM(L$6:L$57),0)</f>
        <v>0.0178464785505735</v>
      </c>
      <c r="S21" s="57" t="n">
        <f aca="false">IFERROR(M21/SUM(M$6:M$57),0)</f>
        <v>0.0199692060290224</v>
      </c>
      <c r="T21" s="57" t="n">
        <f aca="false">IFERROR(N21/SUM(N$6:N$57),0)</f>
        <v>0.0190396014516943</v>
      </c>
      <c r="U21" s="57" t="n">
        <f aca="false">IFERROR(O21/SUM(O$6:O$57),0)</f>
        <v>0.0185698590586314</v>
      </c>
      <c r="V21" s="57" t="n">
        <f aca="false">IFERROR(P21/SUM(P$6:P$57),0)</f>
        <v>0.0199294795935858</v>
      </c>
    </row>
    <row r="22" customFormat="false" ht="15" hidden="false" customHeight="false" outlineLevel="0" collapsed="false">
      <c r="A22" s="13" t="n">
        <v>17</v>
      </c>
      <c r="B22" s="29" t="n">
        <f aca="false">IFERROR((Settings!$B$10*'History Y-1'!U22*('History Y-1'!$S22&lt;&gt;"Y")+Settings!$B$11*'History Y-2'!U22*('History Y-2'!$S22&lt;&gt;"Y")+Settings!$B$12*'History Y-3'!U22*('History Y-3'!$S22&lt;&gt;"Y"))/(Settings!$B$10*('History Y-1'!$S22&lt;&gt;"Y")+Settings!$B$11*('History Y-2'!$S22&lt;&gt;"Y")+Settings!$B$12*('History Y-3'!$S22&lt;&gt;"Y")),'History Y-1'!U22)</f>
        <v>0.0210877320741037</v>
      </c>
      <c r="C22" s="23" t="n">
        <f aca="false">IFERROR((Settings!$B$10*'History Y-1'!V22*('History Y-1'!$S22&lt;&gt;"Y")+Settings!$B$11*'History Y-2'!V22*('History Y-2'!$S22&lt;&gt;"Y")+Settings!$B$12*'History Y-3'!V22*('History Y-3'!$S22&lt;&gt;"Y"))/(Settings!$B$10*('History Y-1'!$S22&lt;&gt;"Y")+Settings!$B$11*('History Y-2'!$S22&lt;&gt;"Y")+Settings!$B$12*('History Y-3'!$S22&lt;&gt;"Y")),'History Y-1'!V22)</f>
        <v>74.4374078833638</v>
      </c>
      <c r="D22" s="36" t="n">
        <f aca="false">IFERROR((Settings!$B$10*'History Y-1'!W22*('History Y-1'!$S22&lt;&gt;"Y")+Settings!$B$11*'History Y-2'!W22*('History Y-2'!$S22&lt;&gt;"Y")+Settings!$B$12*'History Y-3'!W22*('History Y-3'!$S22&lt;&gt;"Y"))/(Settings!$B$10*('History Y-1'!$S22&lt;&gt;"Y")+Settings!$B$11*('History Y-2'!$S22&lt;&gt;"Y")+Settings!$B$12*('History Y-3'!$S22&lt;&gt;"Y")),'History Y-1'!W22)</f>
        <v>1.92461318203294</v>
      </c>
      <c r="E22" s="31" t="n">
        <f aca="false">IFERROR((Settings!$B$10*'History Y-1'!X22*('History Y-1'!$S22&lt;&gt;"Y")+Settings!$B$11*'History Y-2'!X22*('History Y-2'!$S22&lt;&gt;"Y")+Settings!$B$12*'History Y-3'!X22*('History Y-3'!$S22&lt;&gt;"Y"))/(Settings!$B$10*('History Y-1'!$S22&lt;&gt;"Y")+Settings!$B$11*('History Y-2'!$S22&lt;&gt;"Y")+Settings!$B$12*('History Y-3'!$S22&lt;&gt;"Y")),'History Y-1'!X22)</f>
        <v>0.0791205885732181</v>
      </c>
      <c r="F22" s="31" t="n">
        <f aca="false">IFERROR((Settings!$B$10*'History Y-1'!Y22*('History Y-1'!$S22&lt;&gt;"Y")+Settings!$B$11*'History Y-2'!Y22*('History Y-2'!$S22&lt;&gt;"Y")+Settings!$B$12*'History Y-3'!Y22*('History Y-3'!$S22&lt;&gt;"Y"))/(Settings!$B$10*('History Y-1'!$S22&lt;&gt;"Y")+Settings!$B$11*('History Y-2'!$S22&lt;&gt;"Y")+Settings!$B$12*('History Y-3'!$S22&lt;&gt;"Y")),'History Y-1'!Y22)</f>
        <v>0.26626757724974</v>
      </c>
      <c r="G22" s="31" t="n">
        <f aca="false">IFERROR((Settings!$B$10*'History Y-1'!Z22*('History Y-1'!$S22&lt;&gt;"Y")+Settings!$B$11*'History Y-2'!Z22*('History Y-2'!$S22&lt;&gt;"Y")+Settings!$B$12*'History Y-3'!Z22*('History Y-3'!$S22&lt;&gt;"Y"))/(Settings!$B$10*('History Y-1'!$S22&lt;&gt;"Y")+Settings!$B$11*('History Y-2'!$S22&lt;&gt;"Y")+Settings!$B$12*('History Y-3'!$S22&lt;&gt;"Y")),'History Y-1'!Z22)</f>
        <v>0.358961802920838</v>
      </c>
      <c r="H22" s="23" t="n">
        <f aca="false">IFERROR((Settings!$B$10*'History Y-1'!AA22*('History Y-1'!$S22&lt;&gt;"Y")+Settings!$B$11*'History Y-2'!AA22*('History Y-2'!$S22&lt;&gt;"Y")+Settings!$B$12*'History Y-3'!AA22*('History Y-3'!$S22&lt;&gt;"Y"))/(Settings!$B$10*('History Y-1'!$S22&lt;&gt;"Y")+Settings!$B$11*('History Y-2'!$S22&lt;&gt;"Y")+Settings!$B$12*('History Y-3'!$S22&lt;&gt;"Y")),'History Y-1'!AA22)</f>
        <v>0.45253549286329</v>
      </c>
      <c r="I22" s="23" t="n">
        <f aca="false">IFERROR((Settings!$B$10*'History Y-1'!AB22*('History Y-1'!$S22&lt;&gt;"Y")+Settings!$B$11*'History Y-2'!AB22*('History Y-2'!$S22&lt;&gt;"Y")+Settings!$B$12*'History Y-3'!AB22*('History Y-3'!$S22&lt;&gt;"Y"))/(Settings!$B$10*('History Y-1'!$S22&lt;&gt;"Y")+Settings!$B$11*('History Y-2'!$S22&lt;&gt;"Y")+Settings!$B$12*('History Y-3'!$S22&lt;&gt;"Y")),'History Y-1'!AB22)</f>
        <v>0.340792355033922</v>
      </c>
      <c r="J22" s="23" t="n">
        <f aca="false">IFERROR((Settings!$B$10*'History Y-1'!AC22*('History Y-1'!$S22&lt;&gt;"Y")+Settings!$B$11*'History Y-2'!AC22*('History Y-2'!$S22&lt;&gt;"Y")+Settings!$B$12*'History Y-3'!AC22*('History Y-3'!$S22&lt;&gt;"Y"))/(Settings!$B$10*('History Y-1'!$S22&lt;&gt;"Y")+Settings!$B$11*('History Y-2'!$S22&lt;&gt;"Y")+Settings!$B$12*('History Y-3'!$S22&lt;&gt;"Y")),'History Y-1'!AC22)</f>
        <v>0.200655221410568</v>
      </c>
      <c r="K22" s="29" t="n">
        <f aca="false">IFERROR((Settings!$B$10*'History Y-1'!AD22*('History Y-1'!$S22&lt;&gt;"Y")+Settings!$B$11*'History Y-2'!AD22*('History Y-2'!$S22&lt;&gt;"Y")+Settings!$B$12*'History Y-3'!AD22*('History Y-3'!$S22&lt;&gt;"Y"))/(Settings!$B$10*('History Y-1'!$S22&lt;&gt;"Y")+Settings!$B$11*('History Y-2'!$S22&lt;&gt;"Y")+Settings!$B$12*('History Y-3'!$S22&lt;&gt;"Y")),'History Y-1'!AD22)</f>
        <v>0.0190401470687816</v>
      </c>
      <c r="L22" s="29" t="n">
        <f aca="false">IFERROR((Settings!$B$10*'History Y-1'!AE22*('History Y-1'!$S22&lt;&gt;"Y")+Settings!$B$11*'History Y-2'!AE22*('History Y-2'!$S22&lt;&gt;"Y")+Settings!$B$12*'History Y-3'!AE22*('History Y-3'!$S22&lt;&gt;"Y"))/(Settings!$B$10*('History Y-1'!$S22&lt;&gt;"Y")+Settings!$B$11*('History Y-2'!$S22&lt;&gt;"Y")+Settings!$B$12*('History Y-3'!$S22&lt;&gt;"Y")),'History Y-1'!AE22)</f>
        <v>0.0176499683277968</v>
      </c>
      <c r="M22" s="29" t="n">
        <f aca="false">IFERROR((Settings!$B$10*'History Y-1'!AF22*('History Y-1'!$S22&lt;&gt;"Y")+Settings!$B$11*'History Y-2'!AF22*('History Y-2'!$S22&lt;&gt;"Y")+Settings!$B$12*'History Y-3'!AF22*('History Y-3'!$S22&lt;&gt;"Y"))/(Settings!$B$10*('History Y-1'!$S22&lt;&gt;"Y")+Settings!$B$11*('History Y-2'!$S22&lt;&gt;"Y")+Settings!$B$12*('History Y-3'!$S22&lt;&gt;"Y")),'History Y-1'!AF22)</f>
        <v>0.0195290557554291</v>
      </c>
      <c r="N22" s="29" t="n">
        <f aca="false">IFERROR((Settings!$B$10*'History Y-1'!AG22*('History Y-1'!$S22&lt;&gt;"Y")+Settings!$B$11*'History Y-2'!AG22*('History Y-2'!$S22&lt;&gt;"Y")+Settings!$B$12*'History Y-3'!AG22*('History Y-3'!$S22&lt;&gt;"Y"))/(Settings!$B$10*('History Y-1'!$S22&lt;&gt;"Y")+Settings!$B$11*('History Y-2'!$S22&lt;&gt;"Y")+Settings!$B$12*('History Y-3'!$S22&lt;&gt;"Y")),'History Y-1'!AG22)</f>
        <v>0.0191346413857105</v>
      </c>
      <c r="O22" s="29" t="n">
        <f aca="false">IFERROR((Settings!$B$10*'History Y-1'!AH22*('History Y-1'!$S22&lt;&gt;"Y")+Settings!$B$11*'History Y-2'!AH22*('History Y-2'!$S22&lt;&gt;"Y")+Settings!$B$12*'History Y-3'!AH22*('History Y-3'!$S22&lt;&gt;"Y"))/(Settings!$B$10*('History Y-1'!$S22&lt;&gt;"Y")+Settings!$B$11*('History Y-2'!$S22&lt;&gt;"Y")+Settings!$B$12*('History Y-3'!$S22&lt;&gt;"Y")),'History Y-1'!AH22)</f>
        <v>0.0198905293540411</v>
      </c>
      <c r="P22" s="29" t="n">
        <f aca="false">IFERROR((Settings!$B$10*'History Y-1'!AI22*('History Y-1'!$S22&lt;&gt;"Y")+Settings!$B$11*'History Y-2'!AI22*('History Y-2'!$S22&lt;&gt;"Y")+Settings!$B$12*'History Y-3'!AI22*('History Y-3'!$S22&lt;&gt;"Y"))/(Settings!$B$10*('History Y-1'!$S22&lt;&gt;"Y")+Settings!$B$11*('History Y-2'!$S22&lt;&gt;"Y")+Settings!$B$12*('History Y-3'!$S22&lt;&gt;"Y")),'History Y-1'!AI22)</f>
        <v>0.0185655521389595</v>
      </c>
      <c r="Q22" s="57" t="n">
        <f aca="false">IFERROR(K22/SUM(K$6:K$57),0)</f>
        <v>0.019050397891306</v>
      </c>
      <c r="R22" s="57" t="n">
        <f aca="false">IFERROR(L22/SUM(L$6:L$57),0)</f>
        <v>0.0176651124453821</v>
      </c>
      <c r="S22" s="57" t="n">
        <f aca="false">IFERROR(M22/SUM(M$6:M$57),0)</f>
        <v>0.0195575093621188</v>
      </c>
      <c r="T22" s="57" t="n">
        <f aca="false">IFERROR(N22/SUM(N$6:N$57),0)</f>
        <v>0.0191888771415155</v>
      </c>
      <c r="U22" s="57" t="n">
        <f aca="false">IFERROR(O22/SUM(O$6:O$57),0)</f>
        <v>0.0199131324046796</v>
      </c>
      <c r="V22" s="57" t="n">
        <f aca="false">IFERROR(P22/SUM(P$6:P$57),0)</f>
        <v>0.0186149350979552</v>
      </c>
    </row>
    <row r="23" customFormat="false" ht="15" hidden="false" customHeight="false" outlineLevel="0" collapsed="false">
      <c r="A23" s="13" t="n">
        <v>18</v>
      </c>
      <c r="B23" s="29" t="n">
        <f aca="false">IFERROR((Settings!$B$10*'History Y-1'!U23*('History Y-1'!$S23&lt;&gt;"Y")+Settings!$B$11*'History Y-2'!U23*('History Y-2'!$S23&lt;&gt;"Y")+Settings!$B$12*'History Y-3'!U23*('History Y-3'!$S23&lt;&gt;"Y"))/(Settings!$B$10*('History Y-1'!$S23&lt;&gt;"Y")+Settings!$B$11*('History Y-2'!$S23&lt;&gt;"Y")+Settings!$B$12*('History Y-3'!$S23&lt;&gt;"Y")),'History Y-1'!U23)</f>
        <v>0.0211353807729893</v>
      </c>
      <c r="C23" s="23" t="n">
        <f aca="false">IFERROR((Settings!$B$10*'History Y-1'!V23*('History Y-1'!$S23&lt;&gt;"Y")+Settings!$B$11*'History Y-2'!V23*('History Y-2'!$S23&lt;&gt;"Y")+Settings!$B$12*'History Y-3'!V23*('History Y-3'!$S23&lt;&gt;"Y"))/(Settings!$B$10*('History Y-1'!$S23&lt;&gt;"Y")+Settings!$B$11*('History Y-2'!$S23&lt;&gt;"Y")+Settings!$B$12*('History Y-3'!$S23&lt;&gt;"Y")),'History Y-1'!V23)</f>
        <v>76.2589865649972</v>
      </c>
      <c r="D23" s="36" t="n">
        <f aca="false">IFERROR((Settings!$B$10*'History Y-1'!W23*('History Y-1'!$S23&lt;&gt;"Y")+Settings!$B$11*'History Y-2'!W23*('History Y-2'!$S23&lt;&gt;"Y")+Settings!$B$12*'History Y-3'!W23*('History Y-3'!$S23&lt;&gt;"Y"))/(Settings!$B$10*('History Y-1'!$S23&lt;&gt;"Y")+Settings!$B$11*('History Y-2'!$S23&lt;&gt;"Y")+Settings!$B$12*('History Y-3'!$S23&lt;&gt;"Y")),'History Y-1'!W23)</f>
        <v>1.92538353569108</v>
      </c>
      <c r="E23" s="31" t="n">
        <f aca="false">IFERROR((Settings!$B$10*'History Y-1'!X23*('History Y-1'!$S23&lt;&gt;"Y")+Settings!$B$11*'History Y-2'!X23*('History Y-2'!$S23&lt;&gt;"Y")+Settings!$B$12*'History Y-3'!X23*('History Y-3'!$S23&lt;&gt;"Y"))/(Settings!$B$10*('History Y-1'!$S23&lt;&gt;"Y")+Settings!$B$11*('History Y-2'!$S23&lt;&gt;"Y")+Settings!$B$12*('History Y-3'!$S23&lt;&gt;"Y")),'History Y-1'!X23)</f>
        <v>0.0787994209704977</v>
      </c>
      <c r="F23" s="31" t="n">
        <f aca="false">IFERROR((Settings!$B$10*'History Y-1'!Y23*('History Y-1'!$S23&lt;&gt;"Y")+Settings!$B$11*'History Y-2'!Y23*('History Y-2'!$S23&lt;&gt;"Y")+Settings!$B$12*'History Y-3'!Y23*('History Y-3'!$S23&lt;&gt;"Y"))/(Settings!$B$10*('History Y-1'!$S23&lt;&gt;"Y")+Settings!$B$11*('History Y-2'!$S23&lt;&gt;"Y")+Settings!$B$12*('History Y-3'!$S23&lt;&gt;"Y")),'History Y-1'!Y23)</f>
        <v>0.255407042600766</v>
      </c>
      <c r="G23" s="31" t="n">
        <f aca="false">IFERROR((Settings!$B$10*'History Y-1'!Z23*('History Y-1'!$S23&lt;&gt;"Y")+Settings!$B$11*'History Y-2'!Z23*('History Y-2'!$S23&lt;&gt;"Y")+Settings!$B$12*'History Y-3'!Z23*('History Y-3'!$S23&lt;&gt;"Y"))/(Settings!$B$10*('History Y-1'!$S23&lt;&gt;"Y")+Settings!$B$11*('History Y-2'!$S23&lt;&gt;"Y")+Settings!$B$12*('History Y-3'!$S23&lt;&gt;"Y")),'History Y-1'!Z23)</f>
        <v>0.353139564995132</v>
      </c>
      <c r="H23" s="23" t="n">
        <f aca="false">IFERROR((Settings!$B$10*'History Y-1'!AA23*('History Y-1'!$S23&lt;&gt;"Y")+Settings!$B$11*'History Y-2'!AA23*('History Y-2'!$S23&lt;&gt;"Y")+Settings!$B$12*'History Y-3'!AA23*('History Y-3'!$S23&lt;&gt;"Y"))/(Settings!$B$10*('History Y-1'!$S23&lt;&gt;"Y")+Settings!$B$11*('History Y-2'!$S23&lt;&gt;"Y")+Settings!$B$12*('History Y-3'!$S23&lt;&gt;"Y")),'History Y-1'!AA23)</f>
        <v>0.464330413412429</v>
      </c>
      <c r="I23" s="23" t="n">
        <f aca="false">IFERROR((Settings!$B$10*'History Y-1'!AB23*('History Y-1'!$S23&lt;&gt;"Y")+Settings!$B$11*'History Y-2'!AB23*('History Y-2'!$S23&lt;&gt;"Y")+Settings!$B$12*'History Y-3'!AB23*('History Y-3'!$S23&lt;&gt;"Y"))/(Settings!$B$10*('History Y-1'!$S23&lt;&gt;"Y")+Settings!$B$11*('History Y-2'!$S23&lt;&gt;"Y")+Settings!$B$12*('History Y-3'!$S23&lt;&gt;"Y")),'History Y-1'!AB23)</f>
        <v>0.341511494065279</v>
      </c>
      <c r="J23" s="23" t="n">
        <f aca="false">IFERROR((Settings!$B$10*'History Y-1'!AC23*('History Y-1'!$S23&lt;&gt;"Y")+Settings!$B$11*'History Y-2'!AC23*('History Y-2'!$S23&lt;&gt;"Y")+Settings!$B$12*'History Y-3'!AC23*('History Y-3'!$S23&lt;&gt;"Y"))/(Settings!$B$10*('History Y-1'!$S23&lt;&gt;"Y")+Settings!$B$11*('History Y-2'!$S23&lt;&gt;"Y")+Settings!$B$12*('History Y-3'!$S23&lt;&gt;"Y")),'History Y-1'!AC23)</f>
        <v>0.20689070940292</v>
      </c>
      <c r="K23" s="29" t="n">
        <f aca="false">IFERROR((Settings!$B$10*'History Y-1'!AD23*('History Y-1'!$S23&lt;&gt;"Y")+Settings!$B$11*'History Y-2'!AD23*('History Y-2'!$S23&lt;&gt;"Y")+Settings!$B$12*'History Y-3'!AD23*('History Y-3'!$S23&lt;&gt;"Y"))/(Settings!$B$10*('History Y-1'!$S23&lt;&gt;"Y")+Settings!$B$11*('History Y-2'!$S23&lt;&gt;"Y")+Settings!$B$12*('History Y-3'!$S23&lt;&gt;"Y")),'History Y-1'!AD23)</f>
        <v>0.0192057533180718</v>
      </c>
      <c r="L23" s="29" t="n">
        <f aca="false">IFERROR((Settings!$B$10*'History Y-1'!AE23*('History Y-1'!$S23&lt;&gt;"Y")+Settings!$B$11*'History Y-2'!AE23*('History Y-2'!$S23&lt;&gt;"Y")+Settings!$B$12*'History Y-3'!AE23*('History Y-3'!$S23&lt;&gt;"Y"))/(Settings!$B$10*('History Y-1'!$S23&lt;&gt;"Y")+Settings!$B$11*('History Y-2'!$S23&lt;&gt;"Y")+Settings!$B$12*('History Y-3'!$S23&lt;&gt;"Y")),'History Y-1'!AE23)</f>
        <v>0.0166368518113023</v>
      </c>
      <c r="M23" s="29" t="n">
        <f aca="false">IFERROR((Settings!$B$10*'History Y-1'!AF23*('History Y-1'!$S23&lt;&gt;"Y")+Settings!$B$11*'History Y-2'!AF23*('History Y-2'!$S23&lt;&gt;"Y")+Settings!$B$12*'History Y-3'!AF23*('History Y-3'!$S23&lt;&gt;"Y"))/(Settings!$B$10*('History Y-1'!$S23&lt;&gt;"Y")+Settings!$B$11*('History Y-2'!$S23&lt;&gt;"Y")+Settings!$B$12*('History Y-3'!$S23&lt;&gt;"Y")),'History Y-1'!AF23)</f>
        <v>0.0185706046120132</v>
      </c>
      <c r="N23" s="29" t="n">
        <f aca="false">IFERROR((Settings!$B$10*'History Y-1'!AG23*('History Y-1'!$S23&lt;&gt;"Y")+Settings!$B$11*'History Y-2'!AG23*('History Y-2'!$S23&lt;&gt;"Y")+Settings!$B$12*'History Y-3'!AG23*('History Y-3'!$S23&lt;&gt;"Y"))/(Settings!$B$10*('History Y-1'!$S23&lt;&gt;"Y")+Settings!$B$11*('History Y-2'!$S23&lt;&gt;"Y")+Settings!$B$12*('History Y-3'!$S23&lt;&gt;"Y")),'History Y-1'!AG23)</f>
        <v>0.0186881723953908</v>
      </c>
      <c r="O23" s="29" t="n">
        <f aca="false">IFERROR((Settings!$B$10*'History Y-1'!AH23*('History Y-1'!$S23&lt;&gt;"Y")+Settings!$B$11*'History Y-2'!AH23*('History Y-2'!$S23&lt;&gt;"Y")+Settings!$B$12*'History Y-3'!AH23*('History Y-3'!$S23&lt;&gt;"Y"))/(Settings!$B$10*('History Y-1'!$S23&lt;&gt;"Y")+Settings!$B$11*('History Y-2'!$S23&lt;&gt;"Y")+Settings!$B$12*('History Y-3'!$S23&lt;&gt;"Y")),'History Y-1'!AH23)</f>
        <v>0.0185737825813556</v>
      </c>
      <c r="P23" s="29" t="n">
        <f aca="false">IFERROR((Settings!$B$10*'History Y-1'!AI23*('History Y-1'!$S23&lt;&gt;"Y")+Settings!$B$11*'History Y-2'!AI23*('History Y-2'!$S23&lt;&gt;"Y")+Settings!$B$12*'History Y-3'!AI23*('History Y-3'!$S23&lt;&gt;"Y"))/(Settings!$B$10*('History Y-1'!$S23&lt;&gt;"Y")+Settings!$B$11*('History Y-2'!$S23&lt;&gt;"Y")+Settings!$B$12*('History Y-3'!$S23&lt;&gt;"Y")),'History Y-1'!AI23)</f>
        <v>0.019109666707278</v>
      </c>
      <c r="Q23" s="57" t="n">
        <f aca="false">IFERROR(K23/SUM(K$6:K$57),0)</f>
        <v>0.0192160932995855</v>
      </c>
      <c r="R23" s="57" t="n">
        <f aca="false">IFERROR(L23/SUM(L$6:L$57),0)</f>
        <v>0.0166511266493869</v>
      </c>
      <c r="S23" s="57" t="n">
        <f aca="false">IFERROR(M23/SUM(M$6:M$57),0)</f>
        <v>0.0185976617665545</v>
      </c>
      <c r="T23" s="57" t="n">
        <f aca="false">IFERROR(N23/SUM(N$6:N$57),0)</f>
        <v>0.0187411426671637</v>
      </c>
      <c r="U23" s="57" t="n">
        <f aca="false">IFERROR(O23/SUM(O$6:O$57),0)</f>
        <v>0.0185948893171675</v>
      </c>
      <c r="V23" s="57" t="n">
        <f aca="false">IFERROR(P23/SUM(P$6:P$57),0)</f>
        <v>0.0191604969697105</v>
      </c>
    </row>
    <row r="24" customFormat="false" ht="15" hidden="false" customHeight="false" outlineLevel="0" collapsed="false">
      <c r="A24" s="13" t="n">
        <v>19</v>
      </c>
      <c r="B24" s="29" t="n">
        <f aca="false">IFERROR((Settings!$B$10*'History Y-1'!U24*('History Y-1'!$S24&lt;&gt;"Y")+Settings!$B$11*'History Y-2'!U24*('History Y-2'!$S24&lt;&gt;"Y")+Settings!$B$12*'History Y-3'!U24*('History Y-3'!$S24&lt;&gt;"Y"))/(Settings!$B$10*('History Y-1'!$S24&lt;&gt;"Y")+Settings!$B$11*('History Y-2'!$S24&lt;&gt;"Y")+Settings!$B$12*('History Y-3'!$S24&lt;&gt;"Y")),'History Y-1'!U24)</f>
        <v>0.0221146920423941</v>
      </c>
      <c r="C24" s="23" t="n">
        <f aca="false">IFERROR((Settings!$B$10*'History Y-1'!V24*('History Y-1'!$S24&lt;&gt;"Y")+Settings!$B$11*'History Y-2'!V24*('History Y-2'!$S24&lt;&gt;"Y")+Settings!$B$12*'History Y-3'!V24*('History Y-3'!$S24&lt;&gt;"Y"))/(Settings!$B$10*('History Y-1'!$S24&lt;&gt;"Y")+Settings!$B$11*('History Y-2'!$S24&lt;&gt;"Y")+Settings!$B$12*('History Y-3'!$S24&lt;&gt;"Y")),'History Y-1'!V24)</f>
        <v>75.8015565544756</v>
      </c>
      <c r="D24" s="36" t="n">
        <f aca="false">IFERROR((Settings!$B$10*'History Y-1'!W24*('History Y-1'!$S24&lt;&gt;"Y")+Settings!$B$11*'History Y-2'!W24*('History Y-2'!$S24&lt;&gt;"Y")+Settings!$B$12*'History Y-3'!W24*('History Y-3'!$S24&lt;&gt;"Y"))/(Settings!$B$10*('History Y-1'!$S24&lt;&gt;"Y")+Settings!$B$11*('History Y-2'!$S24&lt;&gt;"Y")+Settings!$B$12*('History Y-3'!$S24&lt;&gt;"Y")),'History Y-1'!W24)</f>
        <v>1.94438687074785</v>
      </c>
      <c r="E24" s="31" t="n">
        <f aca="false">IFERROR((Settings!$B$10*'History Y-1'!X24*('History Y-1'!$S24&lt;&gt;"Y")+Settings!$B$11*'History Y-2'!X24*('History Y-2'!$S24&lt;&gt;"Y")+Settings!$B$12*'History Y-3'!X24*('History Y-3'!$S24&lt;&gt;"Y"))/(Settings!$B$10*('History Y-1'!$S24&lt;&gt;"Y")+Settings!$B$11*('History Y-2'!$S24&lt;&gt;"Y")+Settings!$B$12*('History Y-3'!$S24&lt;&gt;"Y")),'History Y-1'!X24)</f>
        <v>0.07985340933346</v>
      </c>
      <c r="F24" s="31" t="n">
        <f aca="false">IFERROR((Settings!$B$10*'History Y-1'!Y24*('History Y-1'!$S24&lt;&gt;"Y")+Settings!$B$11*'History Y-2'!Y24*('History Y-2'!$S24&lt;&gt;"Y")+Settings!$B$12*'History Y-3'!Y24*('History Y-3'!$S24&lt;&gt;"Y"))/(Settings!$B$10*('History Y-1'!$S24&lt;&gt;"Y")+Settings!$B$11*('History Y-2'!$S24&lt;&gt;"Y")+Settings!$B$12*('History Y-3'!$S24&lt;&gt;"Y")),'History Y-1'!Y24)</f>
        <v>0.264483437794478</v>
      </c>
      <c r="G24" s="31" t="n">
        <f aca="false">IFERROR((Settings!$B$10*'History Y-1'!Z24*('History Y-1'!$S24&lt;&gt;"Y")+Settings!$B$11*'History Y-2'!Z24*('History Y-2'!$S24&lt;&gt;"Y")+Settings!$B$12*'History Y-3'!Z24*('History Y-3'!$S24&lt;&gt;"Y"))/(Settings!$B$10*('History Y-1'!$S24&lt;&gt;"Y")+Settings!$B$11*('History Y-2'!$S24&lt;&gt;"Y")+Settings!$B$12*('History Y-3'!$S24&lt;&gt;"Y")),'History Y-1'!Z24)</f>
        <v>0.350024870430606</v>
      </c>
      <c r="H24" s="23" t="n">
        <f aca="false">IFERROR((Settings!$B$10*'History Y-1'!AA24*('History Y-1'!$S24&lt;&gt;"Y")+Settings!$B$11*'History Y-2'!AA24*('History Y-2'!$S24&lt;&gt;"Y")+Settings!$B$12*'History Y-3'!AA24*('History Y-3'!$S24&lt;&gt;"Y"))/(Settings!$B$10*('History Y-1'!$S24&lt;&gt;"Y")+Settings!$B$11*('History Y-2'!$S24&lt;&gt;"Y")+Settings!$B$12*('History Y-3'!$S24&lt;&gt;"Y")),'History Y-1'!AA24)</f>
        <v>0.463446225362699</v>
      </c>
      <c r="I24" s="23" t="n">
        <f aca="false">IFERROR((Settings!$B$10*'History Y-1'!AB24*('History Y-1'!$S24&lt;&gt;"Y")+Settings!$B$11*'History Y-2'!AB24*('History Y-2'!$S24&lt;&gt;"Y")+Settings!$B$12*'History Y-3'!AB24*('History Y-3'!$S24&lt;&gt;"Y"))/(Settings!$B$10*('History Y-1'!$S24&lt;&gt;"Y")+Settings!$B$11*('History Y-2'!$S24&lt;&gt;"Y")+Settings!$B$12*('History Y-3'!$S24&lt;&gt;"Y")),'History Y-1'!AB24)</f>
        <v>0.336950132666954</v>
      </c>
      <c r="J24" s="23" t="n">
        <f aca="false">IFERROR((Settings!$B$10*'History Y-1'!AC24*('History Y-1'!$S24&lt;&gt;"Y")+Settings!$B$11*'History Y-2'!AC24*('History Y-2'!$S24&lt;&gt;"Y")+Settings!$B$12*'History Y-3'!AC24*('History Y-3'!$S24&lt;&gt;"Y"))/(Settings!$B$10*('History Y-1'!$S24&lt;&gt;"Y")+Settings!$B$11*('History Y-2'!$S24&lt;&gt;"Y")+Settings!$B$12*('History Y-3'!$S24&lt;&gt;"Y")),'History Y-1'!AC24)</f>
        <v>0.211037005354612</v>
      </c>
      <c r="K24" s="29" t="n">
        <f aca="false">IFERROR((Settings!$B$10*'History Y-1'!AD24*('History Y-1'!$S24&lt;&gt;"Y")+Settings!$B$11*'History Y-2'!AD24*('History Y-2'!$S24&lt;&gt;"Y")+Settings!$B$12*'History Y-3'!AD24*('History Y-3'!$S24&lt;&gt;"Y"))/(Settings!$B$10*('History Y-1'!$S24&lt;&gt;"Y")+Settings!$B$11*('History Y-2'!$S24&lt;&gt;"Y")+Settings!$B$12*('History Y-3'!$S24&lt;&gt;"Y")),'History Y-1'!AD24)</f>
        <v>0.0197792419433257</v>
      </c>
      <c r="L24" s="29" t="n">
        <f aca="false">IFERROR((Settings!$B$10*'History Y-1'!AE24*('History Y-1'!$S24&lt;&gt;"Y")+Settings!$B$11*'History Y-2'!AE24*('History Y-2'!$S24&lt;&gt;"Y")+Settings!$B$12*'History Y-3'!AE24*('History Y-3'!$S24&lt;&gt;"Y"))/(Settings!$B$10*('History Y-1'!$S24&lt;&gt;"Y")+Settings!$B$11*('History Y-2'!$S24&lt;&gt;"Y")+Settings!$B$12*('History Y-3'!$S24&lt;&gt;"Y")),'History Y-1'!AE24)</f>
        <v>0.0169957650888525</v>
      </c>
      <c r="M24" s="29" t="n">
        <f aca="false">IFERROR((Settings!$B$10*'History Y-1'!AF24*('History Y-1'!$S24&lt;&gt;"Y")+Settings!$B$11*'History Y-2'!AF24*('History Y-2'!$S24&lt;&gt;"Y")+Settings!$B$12*'History Y-3'!AF24*('History Y-3'!$S24&lt;&gt;"Y"))/(Settings!$B$10*('History Y-1'!$S24&lt;&gt;"Y")+Settings!$B$11*('History Y-2'!$S24&lt;&gt;"Y")+Settings!$B$12*('History Y-3'!$S24&lt;&gt;"Y")),'History Y-1'!AF24)</f>
        <v>0.019093801236457</v>
      </c>
      <c r="N24" s="29" t="n">
        <f aca="false">IFERROR((Settings!$B$10*'History Y-1'!AG24*('History Y-1'!$S24&lt;&gt;"Y")+Settings!$B$11*'History Y-2'!AG24*('History Y-2'!$S24&lt;&gt;"Y")+Settings!$B$12*'History Y-3'!AG24*('History Y-3'!$S24&lt;&gt;"Y"))/(Settings!$B$10*('History Y-1'!$S24&lt;&gt;"Y")+Settings!$B$11*('History Y-2'!$S24&lt;&gt;"Y")+Settings!$B$12*('History Y-3'!$S24&lt;&gt;"Y")),'History Y-1'!AG24)</f>
        <v>0.0198309455464673</v>
      </c>
      <c r="O24" s="29" t="n">
        <f aca="false">IFERROR((Settings!$B$10*'History Y-1'!AH24*('History Y-1'!$S24&lt;&gt;"Y")+Settings!$B$11*'History Y-2'!AH24*('History Y-2'!$S24&lt;&gt;"Y")+Settings!$B$12*'History Y-3'!AH24*('History Y-3'!$S24&lt;&gt;"Y"))/(Settings!$B$10*('History Y-1'!$S24&lt;&gt;"Y")+Settings!$B$11*('History Y-2'!$S24&lt;&gt;"Y")+Settings!$B$12*('History Y-3'!$S24&lt;&gt;"Y")),'History Y-1'!AH24)</f>
        <v>0.0192675356467876</v>
      </c>
      <c r="P24" s="29" t="n">
        <f aca="false">IFERROR((Settings!$B$10*'History Y-1'!AI24*('History Y-1'!$S24&lt;&gt;"Y")+Settings!$B$11*'History Y-2'!AI24*('History Y-2'!$S24&lt;&gt;"Y")+Settings!$B$12*'History Y-3'!AI24*('History Y-3'!$S24&lt;&gt;"Y"))/(Settings!$B$10*('History Y-1'!$S24&lt;&gt;"Y")+Settings!$B$11*('History Y-2'!$S24&lt;&gt;"Y")+Settings!$B$12*('History Y-3'!$S24&lt;&gt;"Y")),'History Y-1'!AI24)</f>
        <v>0.020270219753411</v>
      </c>
      <c r="Q24" s="57" t="n">
        <f aca="false">IFERROR(K24/SUM(K$6:K$57),0)</f>
        <v>0.0197898906792885</v>
      </c>
      <c r="R24" s="57" t="n">
        <f aca="false">IFERROR(L24/SUM(L$6:L$57),0)</f>
        <v>0.0170103478835736</v>
      </c>
      <c r="S24" s="57" t="n">
        <f aca="false">IFERROR(M24/SUM(M$6:M$57),0)</f>
        <v>0.0191216206823839</v>
      </c>
      <c r="T24" s="57" t="n">
        <f aca="false">IFERROR(N24/SUM(N$6:N$57),0)</f>
        <v>0.0198871549260088</v>
      </c>
      <c r="U24" s="57" t="n">
        <f aca="false">IFERROR(O24/SUM(O$6:O$57),0)</f>
        <v>0.0192894307445073</v>
      </c>
      <c r="V24" s="57" t="n">
        <f aca="false">IFERROR(P24/SUM(P$6:P$57),0)</f>
        <v>0.0203241369988247</v>
      </c>
    </row>
    <row r="25" customFormat="false" ht="15" hidden="false" customHeight="false" outlineLevel="0" collapsed="false">
      <c r="A25" s="13" t="n">
        <v>20</v>
      </c>
      <c r="B25" s="29" t="n">
        <f aca="false">IFERROR((Settings!$B$10*'History Y-1'!U25*('History Y-1'!$S25&lt;&gt;"Y")+Settings!$B$11*'History Y-2'!U25*('History Y-2'!$S25&lt;&gt;"Y")+Settings!$B$12*'History Y-3'!U25*('History Y-3'!$S25&lt;&gt;"Y"))/(Settings!$B$10*('History Y-1'!$S25&lt;&gt;"Y")+Settings!$B$11*('History Y-2'!$S25&lt;&gt;"Y")+Settings!$B$12*('History Y-3'!$S25&lt;&gt;"Y")),'History Y-1'!U25)</f>
        <v>0.0217390246674276</v>
      </c>
      <c r="C25" s="23" t="n">
        <f aca="false">IFERROR((Settings!$B$10*'History Y-1'!V25*('History Y-1'!$S25&lt;&gt;"Y")+Settings!$B$11*'History Y-2'!V25*('History Y-2'!$S25&lt;&gt;"Y")+Settings!$B$12*'History Y-3'!V25*('History Y-3'!$S25&lt;&gt;"Y"))/(Settings!$B$10*('History Y-1'!$S25&lt;&gt;"Y")+Settings!$B$11*('History Y-2'!$S25&lt;&gt;"Y")+Settings!$B$12*('History Y-3'!$S25&lt;&gt;"Y")),'History Y-1'!V25)</f>
        <v>74.6227230960537</v>
      </c>
      <c r="D25" s="36" t="n">
        <f aca="false">IFERROR((Settings!$B$10*'History Y-1'!W25*('History Y-1'!$S25&lt;&gt;"Y")+Settings!$B$11*'History Y-2'!W25*('History Y-2'!$S25&lt;&gt;"Y")+Settings!$B$12*'History Y-3'!W25*('History Y-3'!$S25&lt;&gt;"Y"))/(Settings!$B$10*('History Y-1'!$S25&lt;&gt;"Y")+Settings!$B$11*('History Y-2'!$S25&lt;&gt;"Y")+Settings!$B$12*('History Y-3'!$S25&lt;&gt;"Y")),'History Y-1'!W25)</f>
        <v>1.94646462399776</v>
      </c>
      <c r="E25" s="31" t="n">
        <f aca="false">IFERROR((Settings!$B$10*'History Y-1'!X25*('History Y-1'!$S25&lt;&gt;"Y")+Settings!$B$11*'History Y-2'!X25*('History Y-2'!$S25&lt;&gt;"Y")+Settings!$B$12*'History Y-3'!X25*('History Y-3'!$S25&lt;&gt;"Y"))/(Settings!$B$10*('History Y-1'!$S25&lt;&gt;"Y")+Settings!$B$11*('History Y-2'!$S25&lt;&gt;"Y")+Settings!$B$12*('History Y-3'!$S25&lt;&gt;"Y")),'History Y-1'!X25)</f>
        <v>0.0806176457412808</v>
      </c>
      <c r="F25" s="31" t="n">
        <f aca="false">IFERROR((Settings!$B$10*'History Y-1'!Y25*('History Y-1'!$S25&lt;&gt;"Y")+Settings!$B$11*'History Y-2'!Y25*('History Y-2'!$S25&lt;&gt;"Y")+Settings!$B$12*'History Y-3'!Y25*('History Y-3'!$S25&lt;&gt;"Y"))/(Settings!$B$10*('History Y-1'!$S25&lt;&gt;"Y")+Settings!$B$11*('History Y-2'!$S25&lt;&gt;"Y")+Settings!$B$12*('History Y-3'!$S25&lt;&gt;"Y")),'History Y-1'!Y25)</f>
        <v>0.262434612603968</v>
      </c>
      <c r="G25" s="31" t="n">
        <f aca="false">IFERROR((Settings!$B$10*'History Y-1'!Z25*('History Y-1'!$S25&lt;&gt;"Y")+Settings!$B$11*'History Y-2'!Z25*('History Y-2'!$S25&lt;&gt;"Y")+Settings!$B$12*'History Y-3'!Z25*('History Y-3'!$S25&lt;&gt;"Y"))/(Settings!$B$10*('History Y-1'!$S25&lt;&gt;"Y")+Settings!$B$11*('History Y-2'!$S25&lt;&gt;"Y")+Settings!$B$12*('History Y-3'!$S25&lt;&gt;"Y")),'History Y-1'!Z25)</f>
        <v>0.355766182523637</v>
      </c>
      <c r="H25" s="23" t="n">
        <f aca="false">IFERROR((Settings!$B$10*'History Y-1'!AA25*('History Y-1'!$S25&lt;&gt;"Y")+Settings!$B$11*'History Y-2'!AA25*('History Y-2'!$S25&lt;&gt;"Y")+Settings!$B$12*'History Y-3'!AA25*('History Y-3'!$S25&lt;&gt;"Y"))/(Settings!$B$10*('History Y-1'!$S25&lt;&gt;"Y")+Settings!$B$11*('History Y-2'!$S25&lt;&gt;"Y")+Settings!$B$12*('History Y-3'!$S25&lt;&gt;"Y")),'History Y-1'!AA25)</f>
        <v>0.46034694707804</v>
      </c>
      <c r="I25" s="23" t="n">
        <f aca="false">IFERROR((Settings!$B$10*'History Y-1'!AB25*('History Y-1'!$S25&lt;&gt;"Y")+Settings!$B$11*'History Y-2'!AB25*('History Y-2'!$S25&lt;&gt;"Y")+Settings!$B$12*'History Y-3'!AB25*('History Y-3'!$S25&lt;&gt;"Y"))/(Settings!$B$10*('History Y-1'!$S25&lt;&gt;"Y")+Settings!$B$11*('History Y-2'!$S25&lt;&gt;"Y")+Settings!$B$12*('History Y-3'!$S25&lt;&gt;"Y")),'History Y-1'!AB25)</f>
        <v>0.33485759141069</v>
      </c>
      <c r="J25" s="23" t="n">
        <f aca="false">IFERROR((Settings!$B$10*'History Y-1'!AC25*('History Y-1'!$S25&lt;&gt;"Y")+Settings!$B$11*'History Y-2'!AC25*('History Y-2'!$S25&lt;&gt;"Y")+Settings!$B$12*'History Y-3'!AC25*('History Y-3'!$S25&lt;&gt;"Y"))/(Settings!$B$10*('History Y-1'!$S25&lt;&gt;"Y")+Settings!$B$11*('History Y-2'!$S25&lt;&gt;"Y")+Settings!$B$12*('History Y-3'!$S25&lt;&gt;"Y")),'History Y-1'!AC25)</f>
        <v>0.20516071394797</v>
      </c>
      <c r="K25" s="29" t="n">
        <f aca="false">IFERROR((Settings!$B$10*'History Y-1'!AD25*('History Y-1'!$S25&lt;&gt;"Y")+Settings!$B$11*'History Y-2'!AD25*('History Y-2'!$S25&lt;&gt;"Y")+Settings!$B$12*'History Y-3'!AD25*('History Y-3'!$S25&lt;&gt;"Y"))/(Settings!$B$10*('History Y-1'!$S25&lt;&gt;"Y")+Settings!$B$11*('History Y-2'!$S25&lt;&gt;"Y")+Settings!$B$12*('History Y-3'!$S25&lt;&gt;"Y")),'History Y-1'!AD25)</f>
        <v>0.0196563698500667</v>
      </c>
      <c r="L25" s="29" t="n">
        <f aca="false">IFERROR((Settings!$B$10*'History Y-1'!AE25*('History Y-1'!$S25&lt;&gt;"Y")+Settings!$B$11*'History Y-2'!AE25*('History Y-2'!$S25&lt;&gt;"Y")+Settings!$B$12*'History Y-3'!AE25*('History Y-3'!$S25&lt;&gt;"Y"))/(Settings!$B$10*('History Y-1'!$S25&lt;&gt;"Y")+Settings!$B$11*('History Y-2'!$S25&lt;&gt;"Y")+Settings!$B$12*('History Y-3'!$S25&lt;&gt;"Y")),'History Y-1'!AE25)</f>
        <v>0.0171474380143972</v>
      </c>
      <c r="M25" s="29" t="n">
        <f aca="false">IFERROR((Settings!$B$10*'History Y-1'!AF25*('History Y-1'!$S25&lt;&gt;"Y")+Settings!$B$11*'History Y-2'!AF25*('History Y-2'!$S25&lt;&gt;"Y")+Settings!$B$12*'History Y-3'!AF25*('History Y-3'!$S25&lt;&gt;"Y"))/(Settings!$B$10*('History Y-1'!$S25&lt;&gt;"Y")+Settings!$B$11*('History Y-2'!$S25&lt;&gt;"Y")+Settings!$B$12*('History Y-3'!$S25&lt;&gt;"Y")),'History Y-1'!AF25)</f>
        <v>0.0192656750765039</v>
      </c>
      <c r="N25" s="29" t="n">
        <f aca="false">IFERROR((Settings!$B$10*'History Y-1'!AG25*('History Y-1'!$S25&lt;&gt;"Y")+Settings!$B$11*'History Y-2'!AG25*('History Y-2'!$S25&lt;&gt;"Y")+Settings!$B$12*'History Y-3'!AG25*('History Y-3'!$S25&lt;&gt;"Y"))/(Settings!$B$10*('History Y-1'!$S25&lt;&gt;"Y")+Settings!$B$11*('History Y-2'!$S25&lt;&gt;"Y")+Settings!$B$12*('History Y-3'!$S25&lt;&gt;"Y")),'History Y-1'!AG25)</f>
        <v>0.0196442431182604</v>
      </c>
      <c r="O25" s="29" t="n">
        <f aca="false">IFERROR((Settings!$B$10*'History Y-1'!AH25*('History Y-1'!$S25&lt;&gt;"Y")+Settings!$B$11*'History Y-2'!AH25*('History Y-2'!$S25&lt;&gt;"Y")+Settings!$B$12*'History Y-3'!AH25*('History Y-3'!$S25&lt;&gt;"Y"))/(Settings!$B$10*('History Y-1'!$S25&lt;&gt;"Y")+Settings!$B$11*('History Y-2'!$S25&lt;&gt;"Y")+Settings!$B$12*('History Y-3'!$S25&lt;&gt;"Y")),'History Y-1'!AH25)</f>
        <v>0.018975291154362</v>
      </c>
      <c r="P25" s="29" t="n">
        <f aca="false">IFERROR((Settings!$B$10*'History Y-1'!AI25*('History Y-1'!$S25&lt;&gt;"Y")+Settings!$B$11*'History Y-2'!AI25*('History Y-2'!$S25&lt;&gt;"Y")+Settings!$B$12*'History Y-3'!AI25*('History Y-3'!$S25&lt;&gt;"Y"))/(Settings!$B$10*('History Y-1'!$S25&lt;&gt;"Y")+Settings!$B$11*('History Y-2'!$S25&lt;&gt;"Y")+Settings!$B$12*('History Y-3'!$S25&lt;&gt;"Y")),'History Y-1'!AI25)</f>
        <v>0.0194182896076577</v>
      </c>
      <c r="Q25" s="57" t="n">
        <f aca="false">IFERROR(K25/SUM(K$6:K$57),0)</f>
        <v>0.0196669524342284</v>
      </c>
      <c r="R25" s="57" t="n">
        <f aca="false">IFERROR(L25/SUM(L$6:L$57),0)</f>
        <v>0.0171621509483103</v>
      </c>
      <c r="S25" s="57" t="n">
        <f aca="false">IFERROR(M25/SUM(M$6:M$57),0)</f>
        <v>0.0192937449406132</v>
      </c>
      <c r="T25" s="57" t="n">
        <f aca="false">IFERROR(N25/SUM(N$6:N$57),0)</f>
        <v>0.019699923303285</v>
      </c>
      <c r="U25" s="57" t="n">
        <f aca="false">IFERROR(O25/SUM(O$6:O$57),0)</f>
        <v>0.0189968541534762</v>
      </c>
      <c r="V25" s="57" t="n">
        <f aca="false">IFERROR(P25/SUM(P$6:P$57),0)</f>
        <v>0.0194699407835713</v>
      </c>
    </row>
    <row r="26" customFormat="false" ht="15" hidden="false" customHeight="false" outlineLevel="0" collapsed="false">
      <c r="A26" s="13" t="n">
        <v>21</v>
      </c>
      <c r="B26" s="29" t="n">
        <f aca="false">IFERROR((Settings!$B$10*'History Y-1'!U26*('History Y-1'!$S26&lt;&gt;"Y")+Settings!$B$11*'History Y-2'!U26*('History Y-2'!$S26&lt;&gt;"Y")+Settings!$B$12*'History Y-3'!U26*('History Y-3'!$S26&lt;&gt;"Y"))/(Settings!$B$10*('History Y-1'!$S26&lt;&gt;"Y")+Settings!$B$11*('History Y-2'!$S26&lt;&gt;"Y")+Settings!$B$12*('History Y-3'!$S26&lt;&gt;"Y")),'History Y-1'!U26)</f>
        <v>0.0262528358969746</v>
      </c>
      <c r="C26" s="23" t="n">
        <f aca="false">IFERROR((Settings!$B$10*'History Y-1'!V26*('History Y-1'!$S26&lt;&gt;"Y")+Settings!$B$11*'History Y-2'!V26*('History Y-2'!$S26&lt;&gt;"Y")+Settings!$B$12*'History Y-3'!V26*('History Y-3'!$S26&lt;&gt;"Y"))/(Settings!$B$10*('History Y-1'!$S26&lt;&gt;"Y")+Settings!$B$11*('History Y-2'!$S26&lt;&gt;"Y")+Settings!$B$12*('History Y-3'!$S26&lt;&gt;"Y")),'History Y-1'!V26)</f>
        <v>67.4837597987504</v>
      </c>
      <c r="D26" s="36" t="n">
        <f aca="false">IFERROR((Settings!$B$10*'History Y-1'!W26*('History Y-1'!$S26&lt;&gt;"Y")+Settings!$B$11*'History Y-2'!W26*('History Y-2'!$S26&lt;&gt;"Y")+Settings!$B$12*'History Y-3'!W26*('History Y-3'!$S26&lt;&gt;"Y"))/(Settings!$B$10*('History Y-1'!$S26&lt;&gt;"Y")+Settings!$B$11*('History Y-2'!$S26&lt;&gt;"Y")+Settings!$B$12*('History Y-3'!$S26&lt;&gt;"Y")),'History Y-1'!W26)</f>
        <v>1.90872230619965</v>
      </c>
      <c r="E26" s="31" t="n">
        <f aca="false">IFERROR((Settings!$B$10*'History Y-1'!X26*('History Y-1'!$S26&lt;&gt;"Y")+Settings!$B$11*'History Y-2'!X26*('History Y-2'!$S26&lt;&gt;"Y")+Settings!$B$12*'History Y-3'!X26*('History Y-3'!$S26&lt;&gt;"Y"))/(Settings!$B$10*('History Y-1'!$S26&lt;&gt;"Y")+Settings!$B$11*('History Y-2'!$S26&lt;&gt;"Y")+Settings!$B$12*('History Y-3'!$S26&lt;&gt;"Y")),'History Y-1'!X26)</f>
        <v>0.315129204534006</v>
      </c>
      <c r="F26" s="31" t="n">
        <f aca="false">IFERROR((Settings!$B$10*'History Y-1'!Y26*('History Y-1'!$S26&lt;&gt;"Y")+Settings!$B$11*'History Y-2'!Y26*('History Y-2'!$S26&lt;&gt;"Y")+Settings!$B$12*'History Y-3'!Y26*('History Y-3'!$S26&lt;&gt;"Y"))/(Settings!$B$10*('History Y-1'!$S26&lt;&gt;"Y")+Settings!$B$11*('History Y-2'!$S26&lt;&gt;"Y")+Settings!$B$12*('History Y-3'!$S26&lt;&gt;"Y")),'History Y-1'!Y26)</f>
        <v>0.229097918862144</v>
      </c>
      <c r="G26" s="31" t="n">
        <f aca="false">IFERROR((Settings!$B$10*'History Y-1'!Z26*('History Y-1'!$S26&lt;&gt;"Y")+Settings!$B$11*'History Y-2'!Z26*('History Y-2'!$S26&lt;&gt;"Y")+Settings!$B$12*'History Y-3'!Z26*('History Y-3'!$S26&lt;&gt;"Y"))/(Settings!$B$10*('History Y-1'!$S26&lt;&gt;"Y")+Settings!$B$11*('History Y-2'!$S26&lt;&gt;"Y")+Settings!$B$12*('History Y-3'!$S26&lt;&gt;"Y")),'History Y-1'!Z26)</f>
        <v>0.444914523216739</v>
      </c>
      <c r="H26" s="23" t="n">
        <f aca="false">IFERROR((Settings!$B$10*'History Y-1'!AA26*('History Y-1'!$S26&lt;&gt;"Y")+Settings!$B$11*'History Y-2'!AA26*('History Y-2'!$S26&lt;&gt;"Y")+Settings!$B$12*'History Y-3'!AA26*('History Y-3'!$S26&lt;&gt;"Y"))/(Settings!$B$10*('History Y-1'!$S26&lt;&gt;"Y")+Settings!$B$11*('History Y-2'!$S26&lt;&gt;"Y")+Settings!$B$12*('History Y-3'!$S26&lt;&gt;"Y")),'History Y-1'!AA26)</f>
        <v>0.449874076289907</v>
      </c>
      <c r="I26" s="23" t="n">
        <f aca="false">IFERROR((Settings!$B$10*'History Y-1'!AB26*('History Y-1'!$S26&lt;&gt;"Y")+Settings!$B$11*'History Y-2'!AB26*('History Y-2'!$S26&lt;&gt;"Y")+Settings!$B$12*'History Y-3'!AB26*('History Y-3'!$S26&lt;&gt;"Y"))/(Settings!$B$10*('History Y-1'!$S26&lt;&gt;"Y")+Settings!$B$11*('History Y-2'!$S26&lt;&gt;"Y")+Settings!$B$12*('History Y-3'!$S26&lt;&gt;"Y")),'History Y-1'!AB26)</f>
        <v>0.334125016643192</v>
      </c>
      <c r="J26" s="23" t="n">
        <f aca="false">IFERROR((Settings!$B$10*'History Y-1'!AC26*('History Y-1'!$S26&lt;&gt;"Y")+Settings!$B$11*'History Y-2'!AC26*('History Y-2'!$S26&lt;&gt;"Y")+Settings!$B$12*'History Y-3'!AC26*('History Y-3'!$S26&lt;&gt;"Y"))/(Settings!$B$10*('History Y-1'!$S26&lt;&gt;"Y")+Settings!$B$11*('History Y-2'!$S26&lt;&gt;"Y")+Settings!$B$12*('History Y-3'!$S26&lt;&gt;"Y")),'History Y-1'!AC26)</f>
        <v>0.202827533387422</v>
      </c>
      <c r="K26" s="29" t="n">
        <f aca="false">IFERROR((Settings!$B$10*'History Y-1'!AD26*('History Y-1'!$S26&lt;&gt;"Y")+Settings!$B$11*'History Y-2'!AD26*('History Y-2'!$S26&lt;&gt;"Y")+Settings!$B$12*'History Y-3'!AD26*('History Y-3'!$S26&lt;&gt;"Y"))/(Settings!$B$10*('History Y-1'!$S26&lt;&gt;"Y")+Settings!$B$11*('History Y-2'!$S26&lt;&gt;"Y")+Settings!$B$12*('History Y-3'!$S26&lt;&gt;"Y")),'History Y-1'!AD26)</f>
        <v>0.0263526553162435</v>
      </c>
      <c r="L26" s="29" t="n">
        <f aca="false">IFERROR((Settings!$B$10*'History Y-1'!AE26*('History Y-1'!$S26&lt;&gt;"Y")+Settings!$B$11*'History Y-2'!AE26*('History Y-2'!$S26&lt;&gt;"Y")+Settings!$B$12*'History Y-3'!AE26*('History Y-3'!$S26&lt;&gt;"Y"))/(Settings!$B$10*('History Y-1'!$S26&lt;&gt;"Y")+Settings!$B$11*('History Y-2'!$S26&lt;&gt;"Y")+Settings!$B$12*('History Y-3'!$S26&lt;&gt;"Y")),'History Y-1'!AE26)</f>
        <v>0.0382819462033623</v>
      </c>
      <c r="M26" s="29" t="n">
        <f aca="false">IFERROR((Settings!$B$10*'History Y-1'!AF26*('History Y-1'!$S26&lt;&gt;"Y")+Settings!$B$11*'History Y-2'!AF26*('History Y-2'!$S26&lt;&gt;"Y")+Settings!$B$12*'History Y-3'!AF26*('History Y-3'!$S26&lt;&gt;"Y"))/(Settings!$B$10*('History Y-1'!$S26&lt;&gt;"Y")+Settings!$B$11*('History Y-2'!$S26&lt;&gt;"Y")+Settings!$B$12*('History Y-3'!$S26&lt;&gt;"Y")),'History Y-1'!AF26)</f>
        <v>0.0258981592471684</v>
      </c>
      <c r="N26" s="29" t="n">
        <f aca="false">IFERROR((Settings!$B$10*'History Y-1'!AG26*('History Y-1'!$S26&lt;&gt;"Y")+Settings!$B$11*'History Y-2'!AG26*('History Y-2'!$S26&lt;&gt;"Y")+Settings!$B$12*'History Y-3'!AG26*('History Y-3'!$S26&lt;&gt;"Y"))/(Settings!$B$10*('History Y-1'!$S26&lt;&gt;"Y")+Settings!$B$11*('History Y-2'!$S26&lt;&gt;"Y")+Settings!$B$12*('History Y-3'!$S26&lt;&gt;"Y")),'History Y-1'!AG26)</f>
        <v>0.0259324537238005</v>
      </c>
      <c r="O26" s="29" t="n">
        <f aca="false">IFERROR((Settings!$B$10*'History Y-1'!AH26*('History Y-1'!$S26&lt;&gt;"Y")+Settings!$B$11*'History Y-2'!AH26*('History Y-2'!$S26&lt;&gt;"Y")+Settings!$B$12*'History Y-3'!AH26*('History Y-3'!$S26&lt;&gt;"Y"))/(Settings!$B$10*('History Y-1'!$S26&lt;&gt;"Y")+Settings!$B$11*('History Y-2'!$S26&lt;&gt;"Y")+Settings!$B$12*('History Y-3'!$S26&lt;&gt;"Y")),'History Y-1'!AH26)</f>
        <v>0.0264533031060764</v>
      </c>
      <c r="P26" s="29" t="n">
        <f aca="false">IFERROR((Settings!$B$10*'History Y-1'!AI26*('History Y-1'!$S26&lt;&gt;"Y")+Settings!$B$11*'History Y-2'!AI26*('History Y-2'!$S26&lt;&gt;"Y")+Settings!$B$12*'History Y-3'!AI26*('History Y-3'!$S26&lt;&gt;"Y"))/(Settings!$B$10*('History Y-1'!$S26&lt;&gt;"Y")+Settings!$B$11*('History Y-2'!$S26&lt;&gt;"Y")+Settings!$B$12*('History Y-3'!$S26&lt;&gt;"Y")),'History Y-1'!AI26)</f>
        <v>0.0250245501428166</v>
      </c>
      <c r="Q26" s="57" t="n">
        <f aca="false">IFERROR(K26/SUM(K$6:K$57),0)</f>
        <v>0.0263668430424052</v>
      </c>
      <c r="R26" s="57" t="n">
        <f aca="false">IFERROR(L26/SUM(L$6:L$57),0)</f>
        <v>0.0383147930778681</v>
      </c>
      <c r="S26" s="57" t="n">
        <f aca="false">IFERROR(M26/SUM(M$6:M$57),0)</f>
        <v>0.0259358925634349</v>
      </c>
      <c r="T26" s="57" t="n">
        <f aca="false">IFERROR(N26/SUM(N$6:N$57),0)</f>
        <v>0.0260059573865678</v>
      </c>
      <c r="U26" s="57" t="n">
        <f aca="false">IFERROR(O26/SUM(O$6:O$57),0)</f>
        <v>0.0264833639123536</v>
      </c>
      <c r="V26" s="57" t="n">
        <f aca="false">IFERROR(P26/SUM(P$6:P$57),0)</f>
        <v>0.0250911135460668</v>
      </c>
    </row>
    <row r="27" customFormat="false" ht="15" hidden="false" customHeight="false" outlineLevel="0" collapsed="false">
      <c r="A27" s="13" t="n">
        <v>22</v>
      </c>
      <c r="B27" s="29" t="n">
        <f aca="false">IFERROR((Settings!$B$10*'History Y-1'!U27*('History Y-1'!$S27&lt;&gt;"Y")+Settings!$B$11*'History Y-2'!U27*('History Y-2'!$S27&lt;&gt;"Y")+Settings!$B$12*'History Y-3'!U27*('History Y-3'!$S27&lt;&gt;"Y"))/(Settings!$B$10*('History Y-1'!$S27&lt;&gt;"Y")+Settings!$B$11*('History Y-2'!$S27&lt;&gt;"Y")+Settings!$B$12*('History Y-3'!$S27&lt;&gt;"Y")),'History Y-1'!U27)</f>
        <v>0.0262252543196702</v>
      </c>
      <c r="C27" s="23" t="n">
        <f aca="false">IFERROR((Settings!$B$10*'History Y-1'!V27*('History Y-1'!$S27&lt;&gt;"Y")+Settings!$B$11*'History Y-2'!V27*('History Y-2'!$S27&lt;&gt;"Y")+Settings!$B$12*'History Y-3'!V27*('History Y-3'!$S27&lt;&gt;"Y"))/(Settings!$B$10*('History Y-1'!$S27&lt;&gt;"Y")+Settings!$B$11*('History Y-2'!$S27&lt;&gt;"Y")+Settings!$B$12*('History Y-3'!$S27&lt;&gt;"Y")),'History Y-1'!V27)</f>
        <v>66.4913603190783</v>
      </c>
      <c r="D27" s="36" t="n">
        <f aca="false">IFERROR((Settings!$B$10*'History Y-1'!W27*('History Y-1'!$S27&lt;&gt;"Y")+Settings!$B$11*'History Y-2'!W27*('History Y-2'!$S27&lt;&gt;"Y")+Settings!$B$12*'History Y-3'!W27*('History Y-3'!$S27&lt;&gt;"Y"))/(Settings!$B$10*('History Y-1'!$S27&lt;&gt;"Y")+Settings!$B$11*('History Y-2'!$S27&lt;&gt;"Y")+Settings!$B$12*('History Y-3'!$S27&lt;&gt;"Y")),'History Y-1'!W27)</f>
        <v>1.8513866136045</v>
      </c>
      <c r="E27" s="31" t="n">
        <f aca="false">IFERROR((Settings!$B$10*'History Y-1'!X27*('History Y-1'!$S27&lt;&gt;"Y")+Settings!$B$11*'History Y-2'!X27*('History Y-2'!$S27&lt;&gt;"Y")+Settings!$B$12*'History Y-3'!X27*('History Y-3'!$S27&lt;&gt;"Y"))/(Settings!$B$10*('History Y-1'!$S27&lt;&gt;"Y")+Settings!$B$11*('History Y-2'!$S27&lt;&gt;"Y")+Settings!$B$12*('History Y-3'!$S27&lt;&gt;"Y")),'History Y-1'!X27)</f>
        <v>0.306191373705647</v>
      </c>
      <c r="F27" s="31" t="n">
        <f aca="false">IFERROR((Settings!$B$10*'History Y-1'!Y27*('History Y-1'!$S27&lt;&gt;"Y")+Settings!$B$11*'History Y-2'!Y27*('History Y-2'!$S27&lt;&gt;"Y")+Settings!$B$12*'History Y-3'!Y27*('History Y-3'!$S27&lt;&gt;"Y"))/(Settings!$B$10*('History Y-1'!$S27&lt;&gt;"Y")+Settings!$B$11*('History Y-2'!$S27&lt;&gt;"Y")+Settings!$B$12*('History Y-3'!$S27&lt;&gt;"Y")),'History Y-1'!Y27)</f>
        <v>0.234700919176987</v>
      </c>
      <c r="G27" s="31" t="n">
        <f aca="false">IFERROR((Settings!$B$10*'History Y-1'!Z27*('History Y-1'!$S27&lt;&gt;"Y")+Settings!$B$11*'History Y-2'!Z27*('History Y-2'!$S27&lt;&gt;"Y")+Settings!$B$12*'History Y-3'!Z27*('History Y-3'!$S27&lt;&gt;"Y"))/(Settings!$B$10*('History Y-1'!$S27&lt;&gt;"Y")+Settings!$B$11*('History Y-2'!$S27&lt;&gt;"Y")+Settings!$B$12*('History Y-3'!$S27&lt;&gt;"Y")),'History Y-1'!Z27)</f>
        <v>0.44039510911869</v>
      </c>
      <c r="H27" s="23" t="n">
        <f aca="false">IFERROR((Settings!$B$10*'History Y-1'!AA27*('History Y-1'!$S27&lt;&gt;"Y")+Settings!$B$11*'History Y-2'!AA27*('History Y-2'!$S27&lt;&gt;"Y")+Settings!$B$12*'History Y-3'!AA27*('History Y-3'!$S27&lt;&gt;"Y"))/(Settings!$B$10*('History Y-1'!$S27&lt;&gt;"Y")+Settings!$B$11*('History Y-2'!$S27&lt;&gt;"Y")+Settings!$B$12*('History Y-3'!$S27&lt;&gt;"Y")),'History Y-1'!AA27)</f>
        <v>0.461300605823127</v>
      </c>
      <c r="I27" s="23" t="n">
        <f aca="false">IFERROR((Settings!$B$10*'History Y-1'!AB27*('History Y-1'!$S27&lt;&gt;"Y")+Settings!$B$11*'History Y-2'!AB27*('History Y-2'!$S27&lt;&gt;"Y")+Settings!$B$12*'History Y-3'!AB27*('History Y-3'!$S27&lt;&gt;"Y"))/(Settings!$B$10*('History Y-1'!$S27&lt;&gt;"Y")+Settings!$B$11*('History Y-2'!$S27&lt;&gt;"Y")+Settings!$B$12*('History Y-3'!$S27&lt;&gt;"Y")),'History Y-1'!AB27)</f>
        <v>0.339036386562808</v>
      </c>
      <c r="J27" s="23" t="n">
        <f aca="false">IFERROR((Settings!$B$10*'History Y-1'!AC27*('History Y-1'!$S27&lt;&gt;"Y")+Settings!$B$11*'History Y-2'!AC27*('History Y-2'!$S27&lt;&gt;"Y")+Settings!$B$12*'History Y-3'!AC27*('History Y-3'!$S27&lt;&gt;"Y"))/(Settings!$B$10*('History Y-1'!$S27&lt;&gt;"Y")+Settings!$B$11*('History Y-2'!$S27&lt;&gt;"Y")+Settings!$B$12*('History Y-3'!$S27&lt;&gt;"Y")),'History Y-1'!AC27)</f>
        <v>0.199323924587704</v>
      </c>
      <c r="K27" s="29" t="n">
        <f aca="false">IFERROR((Settings!$B$10*'History Y-1'!AD27*('History Y-1'!$S27&lt;&gt;"Y")+Settings!$B$11*'History Y-2'!AD27*('History Y-2'!$S27&lt;&gt;"Y")+Settings!$B$12*'History Y-3'!AD27*('History Y-3'!$S27&lt;&gt;"Y"))/(Settings!$B$10*('History Y-1'!$S27&lt;&gt;"Y")+Settings!$B$11*('History Y-2'!$S27&lt;&gt;"Y")+Settings!$B$12*('History Y-3'!$S27&lt;&gt;"Y")),'History Y-1'!AD27)</f>
        <v>0.0247600340336361</v>
      </c>
      <c r="L27" s="29" t="n">
        <f aca="false">IFERROR((Settings!$B$10*'History Y-1'!AE27*('History Y-1'!$S27&lt;&gt;"Y")+Settings!$B$11*'History Y-2'!AE27*('History Y-2'!$S27&lt;&gt;"Y")+Settings!$B$12*'History Y-3'!AE27*('History Y-3'!$S27&lt;&gt;"Y"))/(Settings!$B$10*('History Y-1'!$S27&lt;&gt;"Y")+Settings!$B$11*('History Y-2'!$S27&lt;&gt;"Y")+Settings!$B$12*('History Y-3'!$S27&lt;&gt;"Y")),'History Y-1'!AE27)</f>
        <v>0.0225668210756408</v>
      </c>
      <c r="M27" s="29" t="n">
        <f aca="false">IFERROR((Settings!$B$10*'History Y-1'!AF27*('History Y-1'!$S27&lt;&gt;"Y")+Settings!$B$11*'History Y-2'!AF27*('History Y-2'!$S27&lt;&gt;"Y")+Settings!$B$12*'History Y-3'!AF27*('History Y-3'!$S27&lt;&gt;"Y"))/(Settings!$B$10*('History Y-1'!$S27&lt;&gt;"Y")+Settings!$B$11*('History Y-2'!$S27&lt;&gt;"Y")+Settings!$B$12*('History Y-3'!$S27&lt;&gt;"Y")),'History Y-1'!AF27)</f>
        <v>0.0250009628108473</v>
      </c>
      <c r="N27" s="29" t="n">
        <f aca="false">IFERROR((Settings!$B$10*'History Y-1'!AG27*('History Y-1'!$S27&lt;&gt;"Y")+Settings!$B$11*'History Y-2'!AG27*('History Y-2'!$S27&lt;&gt;"Y")+Settings!$B$12*'History Y-3'!AG27*('History Y-3'!$S27&lt;&gt;"Y"))/(Settings!$B$10*('History Y-1'!$S27&lt;&gt;"Y")+Settings!$B$11*('History Y-2'!$S27&lt;&gt;"Y")+Settings!$B$12*('History Y-3'!$S27&lt;&gt;"Y")),'History Y-1'!AG27)</f>
        <v>0.0240441491089054</v>
      </c>
      <c r="O27" s="29" t="n">
        <f aca="false">IFERROR((Settings!$B$10*'History Y-1'!AH27*('History Y-1'!$S27&lt;&gt;"Y")+Settings!$B$11*'History Y-2'!AH27*('History Y-2'!$S27&lt;&gt;"Y")+Settings!$B$12*'History Y-3'!AH27*('History Y-3'!$S27&lt;&gt;"Y"))/(Settings!$B$10*('History Y-1'!$S27&lt;&gt;"Y")+Settings!$B$11*('History Y-2'!$S27&lt;&gt;"Y")+Settings!$B$12*('History Y-3'!$S27&lt;&gt;"Y")),'History Y-1'!AH27)</f>
        <v>0.0235409813378895</v>
      </c>
      <c r="P27" s="29" t="n">
        <f aca="false">IFERROR((Settings!$B$10*'History Y-1'!AI27*('History Y-1'!$S27&lt;&gt;"Y")+Settings!$B$11*'History Y-2'!AI27*('History Y-2'!$S27&lt;&gt;"Y")+Settings!$B$12*'History Y-3'!AI27*('History Y-3'!$S27&lt;&gt;"Y"))/(Settings!$B$10*('History Y-1'!$S27&lt;&gt;"Y")+Settings!$B$11*('History Y-2'!$S27&lt;&gt;"Y")+Settings!$B$12*('History Y-3'!$S27&lt;&gt;"Y")),'History Y-1'!AI27)</f>
        <v>0.0239312377805067</v>
      </c>
      <c r="Q27" s="57" t="n">
        <f aca="false">IFERROR(K27/SUM(K$6:K$57),0)</f>
        <v>0.0247733643253433</v>
      </c>
      <c r="R27" s="57" t="n">
        <f aca="false">IFERROR(L27/SUM(L$6:L$57),0)</f>
        <v>0.022586183976783</v>
      </c>
      <c r="S27" s="57" t="n">
        <f aca="false">IFERROR(M27/SUM(M$6:M$57),0)</f>
        <v>0.0250373889223599</v>
      </c>
      <c r="T27" s="57" t="n">
        <f aca="false">IFERROR(N27/SUM(N$6:N$57),0)</f>
        <v>0.0241123005089407</v>
      </c>
      <c r="U27" s="57" t="n">
        <f aca="false">IFERROR(O27/SUM(O$6:O$57),0)</f>
        <v>0.0235677326617879</v>
      </c>
      <c r="V27" s="57" t="n">
        <f aca="false">IFERROR(P27/SUM(P$6:P$57),0)</f>
        <v>0.0239948930558891</v>
      </c>
    </row>
    <row r="28" customFormat="false" ht="15" hidden="false" customHeight="false" outlineLevel="0" collapsed="false">
      <c r="A28" s="13" t="n">
        <v>23</v>
      </c>
      <c r="B28" s="29" t="n">
        <f aca="false">IFERROR((Settings!$B$10*'History Y-1'!U28*('History Y-1'!$S28&lt;&gt;"Y")+Settings!$B$11*'History Y-2'!U28*('History Y-2'!$S28&lt;&gt;"Y")+Settings!$B$12*'History Y-3'!U28*('History Y-3'!$S28&lt;&gt;"Y"))/(Settings!$B$10*('History Y-1'!$S28&lt;&gt;"Y")+Settings!$B$11*('History Y-2'!$S28&lt;&gt;"Y")+Settings!$B$12*('History Y-3'!$S28&lt;&gt;"Y")),'History Y-1'!U28)</f>
        <v>0.0240250635582569</v>
      </c>
      <c r="C28" s="23" t="n">
        <f aca="false">IFERROR((Settings!$B$10*'History Y-1'!V28*('History Y-1'!$S28&lt;&gt;"Y")+Settings!$B$11*'History Y-2'!V28*('History Y-2'!$S28&lt;&gt;"Y")+Settings!$B$12*'History Y-3'!V28*('History Y-3'!$S28&lt;&gt;"Y"))/(Settings!$B$10*('History Y-1'!$S28&lt;&gt;"Y")+Settings!$B$11*('History Y-2'!$S28&lt;&gt;"Y")+Settings!$B$12*('History Y-3'!$S28&lt;&gt;"Y")),'History Y-1'!V28)</f>
        <v>67.8428773563273</v>
      </c>
      <c r="D28" s="36" t="n">
        <f aca="false">IFERROR((Settings!$B$10*'History Y-1'!W28*('History Y-1'!$S28&lt;&gt;"Y")+Settings!$B$11*'History Y-2'!W28*('History Y-2'!$S28&lt;&gt;"Y")+Settings!$B$12*'History Y-3'!W28*('History Y-3'!$S28&lt;&gt;"Y"))/(Settings!$B$10*('History Y-1'!$S28&lt;&gt;"Y")+Settings!$B$11*('History Y-2'!$S28&lt;&gt;"Y")+Settings!$B$12*('History Y-3'!$S28&lt;&gt;"Y")),'History Y-1'!W28)</f>
        <v>1.90555765683285</v>
      </c>
      <c r="E28" s="31" t="n">
        <f aca="false">IFERROR((Settings!$B$10*'History Y-1'!X28*('History Y-1'!$S28&lt;&gt;"Y")+Settings!$B$11*'History Y-2'!X28*('History Y-2'!$S28&lt;&gt;"Y")+Settings!$B$12*'History Y-3'!X28*('History Y-3'!$S28&lt;&gt;"Y"))/(Settings!$B$10*('History Y-1'!$S28&lt;&gt;"Y")+Settings!$B$11*('History Y-2'!$S28&lt;&gt;"Y")+Settings!$B$12*('History Y-3'!$S28&lt;&gt;"Y")),'History Y-1'!X28)</f>
        <v>0.2794697297588</v>
      </c>
      <c r="F28" s="31" t="n">
        <f aca="false">IFERROR((Settings!$B$10*'History Y-1'!Y28*('History Y-1'!$S28&lt;&gt;"Y")+Settings!$B$11*'History Y-2'!Y28*('History Y-2'!$S28&lt;&gt;"Y")+Settings!$B$12*'History Y-3'!Y28*('History Y-3'!$S28&lt;&gt;"Y"))/(Settings!$B$10*('History Y-1'!$S28&lt;&gt;"Y")+Settings!$B$11*('History Y-2'!$S28&lt;&gt;"Y")+Settings!$B$12*('History Y-3'!$S28&lt;&gt;"Y")),'History Y-1'!Y28)</f>
        <v>0.241339203714735</v>
      </c>
      <c r="G28" s="31" t="n">
        <f aca="false">IFERROR((Settings!$B$10*'History Y-1'!Z28*('History Y-1'!$S28&lt;&gt;"Y")+Settings!$B$11*'History Y-2'!Z28*('History Y-2'!$S28&lt;&gt;"Y")+Settings!$B$12*'History Y-3'!Z28*('History Y-3'!$S28&lt;&gt;"Y"))/(Settings!$B$10*('History Y-1'!$S28&lt;&gt;"Y")+Settings!$B$11*('History Y-2'!$S28&lt;&gt;"Y")+Settings!$B$12*('History Y-3'!$S28&lt;&gt;"Y")),'History Y-1'!Z28)</f>
        <v>0.45502540451258</v>
      </c>
      <c r="H28" s="23" t="n">
        <f aca="false">IFERROR((Settings!$B$10*'History Y-1'!AA28*('History Y-1'!$S28&lt;&gt;"Y")+Settings!$B$11*'History Y-2'!AA28*('History Y-2'!$S28&lt;&gt;"Y")+Settings!$B$12*'History Y-3'!AA28*('History Y-3'!$S28&lt;&gt;"Y"))/(Settings!$B$10*('History Y-1'!$S28&lt;&gt;"Y")+Settings!$B$11*('History Y-2'!$S28&lt;&gt;"Y")+Settings!$B$12*('History Y-3'!$S28&lt;&gt;"Y")),'History Y-1'!AA28)</f>
        <v>0.473749003533798</v>
      </c>
      <c r="I28" s="23" t="n">
        <f aca="false">IFERROR((Settings!$B$10*'History Y-1'!AB28*('History Y-1'!$S28&lt;&gt;"Y")+Settings!$B$11*'History Y-2'!AB28*('History Y-2'!$S28&lt;&gt;"Y")+Settings!$B$12*'History Y-3'!AB28*('History Y-3'!$S28&lt;&gt;"Y"))/(Settings!$B$10*('History Y-1'!$S28&lt;&gt;"Y")+Settings!$B$11*('History Y-2'!$S28&lt;&gt;"Y")+Settings!$B$12*('History Y-3'!$S28&lt;&gt;"Y")),'History Y-1'!AB28)</f>
        <v>0.348913209647072</v>
      </c>
      <c r="J28" s="23" t="n">
        <f aca="false">IFERROR((Settings!$B$10*'History Y-1'!AC28*('History Y-1'!$S28&lt;&gt;"Y")+Settings!$B$11*'History Y-2'!AC28*('History Y-2'!$S28&lt;&gt;"Y")+Settings!$B$12*'History Y-3'!AC28*('History Y-3'!$S28&lt;&gt;"Y"))/(Settings!$B$10*('History Y-1'!$S28&lt;&gt;"Y")+Settings!$B$11*('History Y-2'!$S28&lt;&gt;"Y")+Settings!$B$12*('History Y-3'!$S28&lt;&gt;"Y")),'History Y-1'!AC28)</f>
        <v>0.202999887820398</v>
      </c>
      <c r="K28" s="29" t="n">
        <f aca="false">IFERROR((Settings!$B$10*'History Y-1'!AD28*('History Y-1'!$S28&lt;&gt;"Y")+Settings!$B$11*'History Y-2'!AD28*('History Y-2'!$S28&lt;&gt;"Y")+Settings!$B$12*'History Y-3'!AD28*('History Y-3'!$S28&lt;&gt;"Y"))/(Settings!$B$10*('History Y-1'!$S28&lt;&gt;"Y")+Settings!$B$11*('History Y-2'!$S28&lt;&gt;"Y")+Settings!$B$12*('History Y-3'!$S28&lt;&gt;"Y")),'History Y-1'!AD28)</f>
        <v>0.0226005095273015</v>
      </c>
      <c r="L28" s="29" t="n">
        <f aca="false">IFERROR((Settings!$B$10*'History Y-1'!AE28*('History Y-1'!$S28&lt;&gt;"Y")+Settings!$B$11*'History Y-2'!AE28*('History Y-2'!$S28&lt;&gt;"Y")+Settings!$B$12*'History Y-3'!AE28*('History Y-3'!$S28&lt;&gt;"Y"))/(Settings!$B$10*('History Y-1'!$S28&lt;&gt;"Y")+Settings!$B$11*('History Y-2'!$S28&lt;&gt;"Y")+Settings!$B$12*('History Y-3'!$S28&lt;&gt;"Y")),'History Y-1'!AE28)</f>
        <v>0.019694158710572</v>
      </c>
      <c r="M28" s="29" t="n">
        <f aca="false">IFERROR((Settings!$B$10*'History Y-1'!AF28*('History Y-1'!$S28&lt;&gt;"Y")+Settings!$B$11*'History Y-2'!AF28*('History Y-2'!$S28&lt;&gt;"Y")+Settings!$B$12*'History Y-3'!AF28*('History Y-3'!$S28&lt;&gt;"Y"))/(Settings!$B$10*('History Y-1'!$S28&lt;&gt;"Y")+Settings!$B$11*('History Y-2'!$S28&lt;&gt;"Y")+Settings!$B$12*('History Y-3'!$S28&lt;&gt;"Y")),'History Y-1'!AF28)</f>
        <v>0.0218467648370396</v>
      </c>
      <c r="N28" s="29" t="n">
        <f aca="false">IFERROR((Settings!$B$10*'History Y-1'!AG28*('History Y-1'!$S28&lt;&gt;"Y")+Settings!$B$11*'History Y-2'!AG28*('History Y-2'!$S28&lt;&gt;"Y")+Settings!$B$12*'History Y-3'!AG28*('History Y-3'!$S28&lt;&gt;"Y"))/(Settings!$B$10*('History Y-1'!$S28&lt;&gt;"Y")+Settings!$B$11*('History Y-2'!$S28&lt;&gt;"Y")+Settings!$B$12*('History Y-3'!$S28&lt;&gt;"Y")),'History Y-1'!AG28)</f>
        <v>0.0226763565197019</v>
      </c>
      <c r="O28" s="29" t="n">
        <f aca="false">IFERROR((Settings!$B$10*'History Y-1'!AH28*('History Y-1'!$S28&lt;&gt;"Y")+Settings!$B$11*'History Y-2'!AH28*('History Y-2'!$S28&lt;&gt;"Y")+Settings!$B$12*'History Y-3'!AH28*('History Y-3'!$S28&lt;&gt;"Y"))/(Settings!$B$10*('History Y-1'!$S28&lt;&gt;"Y")+Settings!$B$11*('History Y-2'!$S28&lt;&gt;"Y")+Settings!$B$12*('History Y-3'!$S28&lt;&gt;"Y")),'History Y-1'!AH28)</f>
        <v>0.0225545043463012</v>
      </c>
      <c r="P28" s="29" t="n">
        <f aca="false">IFERROR((Settings!$B$10*'History Y-1'!AI28*('History Y-1'!$S28&lt;&gt;"Y")+Settings!$B$11*'History Y-2'!AI28*('History Y-2'!$S28&lt;&gt;"Y")+Settings!$B$12*'History Y-3'!AI28*('History Y-3'!$S28&lt;&gt;"Y"))/(Settings!$B$10*('History Y-1'!$S28&lt;&gt;"Y")+Settings!$B$11*('History Y-2'!$S28&lt;&gt;"Y")+Settings!$B$12*('History Y-3'!$S28&lt;&gt;"Y")),'History Y-1'!AI28)</f>
        <v>0.0223517595065481</v>
      </c>
      <c r="Q28" s="57" t="n">
        <f aca="false">IFERROR(K28/SUM(K$6:K$57),0)</f>
        <v>0.0226126771755496</v>
      </c>
      <c r="R28" s="57" t="n">
        <f aca="false">IFERROR(L28/SUM(L$6:L$57),0)</f>
        <v>0.019711056795017</v>
      </c>
      <c r="S28" s="57" t="n">
        <f aca="false">IFERROR(M28/SUM(M$6:M$57),0)</f>
        <v>0.021878595318856</v>
      </c>
      <c r="T28" s="57" t="n">
        <f aca="false">IFERROR(N28/SUM(N$6:N$57),0)</f>
        <v>0.022740631010661</v>
      </c>
      <c r="U28" s="57" t="n">
        <f aca="false">IFERROR(O28/SUM(O$6:O$57),0)</f>
        <v>0.022580134664871</v>
      </c>
      <c r="V28" s="57" t="n">
        <f aca="false">IFERROR(P28/SUM(P$6:P$57),0)</f>
        <v>0.0224112134896524</v>
      </c>
    </row>
    <row r="29" customFormat="false" ht="15" hidden="false" customHeight="false" outlineLevel="0" collapsed="false">
      <c r="A29" s="13" t="n">
        <v>24</v>
      </c>
      <c r="B29" s="29" t="n">
        <f aca="false">IFERROR((Settings!$B$10*'History Y-1'!U29*('History Y-1'!$S29&lt;&gt;"Y")+Settings!$B$11*'History Y-2'!U29*('History Y-2'!$S29&lt;&gt;"Y")+Settings!$B$12*'History Y-3'!U29*('History Y-3'!$S29&lt;&gt;"Y"))/(Settings!$B$10*('History Y-1'!$S29&lt;&gt;"Y")+Settings!$B$11*('History Y-2'!$S29&lt;&gt;"Y")+Settings!$B$12*('History Y-3'!$S29&lt;&gt;"Y")),'History Y-1'!U29)</f>
        <v>0.0215201642007762</v>
      </c>
      <c r="C29" s="23" t="n">
        <f aca="false">IFERROR((Settings!$B$10*'History Y-1'!V29*('History Y-1'!$S29&lt;&gt;"Y")+Settings!$B$11*'History Y-2'!V29*('History Y-2'!$S29&lt;&gt;"Y")+Settings!$B$12*'History Y-3'!V29*('History Y-3'!$S29&lt;&gt;"Y"))/(Settings!$B$10*('History Y-1'!$S29&lt;&gt;"Y")+Settings!$B$11*('History Y-2'!$S29&lt;&gt;"Y")+Settings!$B$12*('History Y-3'!$S29&lt;&gt;"Y")),'History Y-1'!V29)</f>
        <v>75.137812904277</v>
      </c>
      <c r="D29" s="36" t="n">
        <f aca="false">IFERROR((Settings!$B$10*'History Y-1'!W29*('History Y-1'!$S29&lt;&gt;"Y")+Settings!$B$11*'History Y-2'!W29*('History Y-2'!$S29&lt;&gt;"Y")+Settings!$B$12*'History Y-3'!W29*('History Y-3'!$S29&lt;&gt;"Y"))/(Settings!$B$10*('History Y-1'!$S29&lt;&gt;"Y")+Settings!$B$11*('History Y-2'!$S29&lt;&gt;"Y")+Settings!$B$12*('History Y-3'!$S29&lt;&gt;"Y")),'History Y-1'!W29)</f>
        <v>1.89405143556505</v>
      </c>
      <c r="E29" s="31" t="n">
        <f aca="false">IFERROR((Settings!$B$10*'History Y-1'!X29*('History Y-1'!$S29&lt;&gt;"Y")+Settings!$B$11*'History Y-2'!X29*('History Y-2'!$S29&lt;&gt;"Y")+Settings!$B$12*'History Y-3'!X29*('History Y-3'!$S29&lt;&gt;"Y"))/(Settings!$B$10*('History Y-1'!$S29&lt;&gt;"Y")+Settings!$B$11*('History Y-2'!$S29&lt;&gt;"Y")+Settings!$B$12*('History Y-3'!$S29&lt;&gt;"Y")),'History Y-1'!X29)</f>
        <v>0.0793164676105139</v>
      </c>
      <c r="F29" s="31" t="n">
        <f aca="false">IFERROR((Settings!$B$10*'History Y-1'!Y29*('History Y-1'!$S29&lt;&gt;"Y")+Settings!$B$11*'History Y-2'!Y29*('History Y-2'!$S29&lt;&gt;"Y")+Settings!$B$12*'History Y-3'!Y29*('History Y-3'!$S29&lt;&gt;"Y"))/(Settings!$B$10*('History Y-1'!$S29&lt;&gt;"Y")+Settings!$B$11*('History Y-2'!$S29&lt;&gt;"Y")+Settings!$B$12*('History Y-3'!$S29&lt;&gt;"Y")),'History Y-1'!Y29)</f>
        <v>0.265305443688819</v>
      </c>
      <c r="G29" s="31" t="n">
        <f aca="false">IFERROR((Settings!$B$10*'History Y-1'!Z29*('History Y-1'!$S29&lt;&gt;"Y")+Settings!$B$11*'History Y-2'!Z29*('History Y-2'!$S29&lt;&gt;"Y")+Settings!$B$12*'History Y-3'!Z29*('History Y-3'!$S29&lt;&gt;"Y"))/(Settings!$B$10*('History Y-1'!$S29&lt;&gt;"Y")+Settings!$B$11*('History Y-2'!$S29&lt;&gt;"Y")+Settings!$B$12*('History Y-3'!$S29&lt;&gt;"Y")),'History Y-1'!Z29)</f>
        <v>0.349936902530068</v>
      </c>
      <c r="H29" s="23" t="n">
        <f aca="false">IFERROR((Settings!$B$10*'History Y-1'!AA29*('History Y-1'!$S29&lt;&gt;"Y")+Settings!$B$11*'History Y-2'!AA29*('History Y-2'!$S29&lt;&gt;"Y")+Settings!$B$12*'History Y-3'!AA29*('History Y-3'!$S29&lt;&gt;"Y"))/(Settings!$B$10*('History Y-1'!$S29&lt;&gt;"Y")+Settings!$B$11*('History Y-2'!$S29&lt;&gt;"Y")+Settings!$B$12*('History Y-3'!$S29&lt;&gt;"Y")),'History Y-1'!AA29)</f>
        <v>0.456476918341833</v>
      </c>
      <c r="I29" s="23" t="n">
        <f aca="false">IFERROR((Settings!$B$10*'History Y-1'!AB29*('History Y-1'!$S29&lt;&gt;"Y")+Settings!$B$11*'History Y-2'!AB29*('History Y-2'!$S29&lt;&gt;"Y")+Settings!$B$12*'History Y-3'!AB29*('History Y-3'!$S29&lt;&gt;"Y"))/(Settings!$B$10*('History Y-1'!$S29&lt;&gt;"Y")+Settings!$B$11*('History Y-2'!$S29&lt;&gt;"Y")+Settings!$B$12*('History Y-3'!$S29&lt;&gt;"Y")),'History Y-1'!AB29)</f>
        <v>0.335191955255262</v>
      </c>
      <c r="J29" s="23" t="n">
        <f aca="false">IFERROR((Settings!$B$10*'History Y-1'!AC29*('History Y-1'!$S29&lt;&gt;"Y")+Settings!$B$11*'History Y-2'!AC29*('History Y-2'!$S29&lt;&gt;"Y")+Settings!$B$12*'History Y-3'!AC29*('History Y-3'!$S29&lt;&gt;"Y"))/(Settings!$B$10*('History Y-1'!$S29&lt;&gt;"Y")+Settings!$B$11*('History Y-2'!$S29&lt;&gt;"Y")+Settings!$B$12*('History Y-3'!$S29&lt;&gt;"Y")),'History Y-1'!AC29)</f>
        <v>0.208066482813021</v>
      </c>
      <c r="K29" s="29" t="n">
        <f aca="false">IFERROR((Settings!$B$10*'History Y-1'!AD29*('History Y-1'!$S29&lt;&gt;"Y")+Settings!$B$11*'History Y-2'!AD29*('History Y-2'!$S29&lt;&gt;"Y")+Settings!$B$12*'History Y-3'!AD29*('History Y-3'!$S29&lt;&gt;"Y"))/(Settings!$B$10*('History Y-1'!$S29&lt;&gt;"Y")+Settings!$B$11*('History Y-2'!$S29&lt;&gt;"Y")+Settings!$B$12*('History Y-3'!$S29&lt;&gt;"Y")),'History Y-1'!AD29)</f>
        <v>0.0178369002941547</v>
      </c>
      <c r="L29" s="29" t="n">
        <f aca="false">IFERROR((Settings!$B$10*'History Y-1'!AE29*('History Y-1'!$S29&lt;&gt;"Y")+Settings!$B$11*'History Y-2'!AE29*('History Y-2'!$S29&lt;&gt;"Y")+Settings!$B$12*'History Y-3'!AE29*('History Y-3'!$S29&lt;&gt;"Y"))/(Settings!$B$10*('History Y-1'!$S29&lt;&gt;"Y")+Settings!$B$11*('History Y-2'!$S29&lt;&gt;"Y")+Settings!$B$12*('History Y-3'!$S29&lt;&gt;"Y")),'History Y-1'!AE29)</f>
        <v>0.0163323371309208</v>
      </c>
      <c r="M29" s="29" t="n">
        <f aca="false">IFERROR((Settings!$B$10*'History Y-1'!AF29*('History Y-1'!$S29&lt;&gt;"Y")+Settings!$B$11*'History Y-2'!AF29*('History Y-2'!$S29&lt;&gt;"Y")+Settings!$B$12*'History Y-3'!AF29*('History Y-3'!$S29&lt;&gt;"Y"))/(Settings!$B$10*('History Y-1'!$S29&lt;&gt;"Y")+Settings!$B$11*('History Y-2'!$S29&lt;&gt;"Y")+Settings!$B$12*('History Y-3'!$S29&lt;&gt;"Y")),'History Y-1'!AF29)</f>
        <v>0.0187543874879268</v>
      </c>
      <c r="N29" s="29" t="n">
        <f aca="false">IFERROR((Settings!$B$10*'History Y-1'!AG29*('History Y-1'!$S29&lt;&gt;"Y")+Settings!$B$11*'History Y-2'!AG29*('History Y-2'!$S29&lt;&gt;"Y")+Settings!$B$12*'History Y-3'!AG29*('History Y-3'!$S29&lt;&gt;"Y"))/(Settings!$B$10*('History Y-1'!$S29&lt;&gt;"Y")+Settings!$B$11*('History Y-2'!$S29&lt;&gt;"Y")+Settings!$B$12*('History Y-3'!$S29&lt;&gt;"Y")),'History Y-1'!AG29)</f>
        <v>0.017654793530493</v>
      </c>
      <c r="O29" s="29" t="n">
        <f aca="false">IFERROR((Settings!$B$10*'History Y-1'!AH29*('History Y-1'!$S29&lt;&gt;"Y")+Settings!$B$11*'History Y-2'!AH29*('History Y-2'!$S29&lt;&gt;"Y")+Settings!$B$12*'History Y-3'!AH29*('History Y-3'!$S29&lt;&gt;"Y"))/(Settings!$B$10*('History Y-1'!$S29&lt;&gt;"Y")+Settings!$B$11*('History Y-2'!$S29&lt;&gt;"Y")+Settings!$B$12*('History Y-3'!$S29&lt;&gt;"Y")),'History Y-1'!AH29)</f>
        <v>0.0185954317091826</v>
      </c>
      <c r="P29" s="29" t="n">
        <f aca="false">IFERROR((Settings!$B$10*'History Y-1'!AI29*('History Y-1'!$S29&lt;&gt;"Y")+Settings!$B$11*'History Y-2'!AI29*('History Y-2'!$S29&lt;&gt;"Y")+Settings!$B$12*'History Y-3'!AI29*('History Y-3'!$S29&lt;&gt;"Y"))/(Settings!$B$10*('History Y-1'!$S29&lt;&gt;"Y")+Settings!$B$11*('History Y-2'!$S29&lt;&gt;"Y")+Settings!$B$12*('History Y-3'!$S29&lt;&gt;"Y")),'History Y-1'!AI29)</f>
        <v>0.0183333970203639</v>
      </c>
      <c r="Q29" s="57" t="n">
        <f aca="false">IFERROR(K29/SUM(K$6:K$57),0)</f>
        <v>0.0178465033134297</v>
      </c>
      <c r="R29" s="57" t="n">
        <f aca="false">IFERROR(L29/SUM(L$6:L$57),0)</f>
        <v>0.0163463506877362</v>
      </c>
      <c r="S29" s="57" t="n">
        <f aca="false">IFERROR(M29/SUM(M$6:M$57),0)</f>
        <v>0.0187817124119769</v>
      </c>
      <c r="T29" s="57" t="n">
        <f aca="false">IFERROR(N29/SUM(N$6:N$57),0)</f>
        <v>0.0177048347646821</v>
      </c>
      <c r="U29" s="57" t="n">
        <f aca="false">IFERROR(O29/SUM(O$6:O$57),0)</f>
        <v>0.0186165630464681</v>
      </c>
      <c r="V29" s="57" t="n">
        <f aca="false">IFERROR(P29/SUM(P$6:P$57),0)</f>
        <v>0.0183821624643718</v>
      </c>
    </row>
    <row r="30" customFormat="false" ht="15" hidden="false" customHeight="false" outlineLevel="0" collapsed="false">
      <c r="A30" s="13" t="n">
        <v>25</v>
      </c>
      <c r="B30" s="29" t="n">
        <f aca="false">IFERROR((Settings!$B$10*'History Y-1'!U30*('History Y-1'!$S30&lt;&gt;"Y")+Settings!$B$11*'History Y-2'!U30*('History Y-2'!$S30&lt;&gt;"Y")+Settings!$B$12*'History Y-3'!U30*('History Y-3'!$S30&lt;&gt;"Y"))/(Settings!$B$10*('History Y-1'!$S30&lt;&gt;"Y")+Settings!$B$11*('History Y-2'!$S30&lt;&gt;"Y")+Settings!$B$12*('History Y-3'!$S30&lt;&gt;"Y")),'History Y-1'!U30)</f>
        <v>0.0214172328822706</v>
      </c>
      <c r="C30" s="23" t="n">
        <f aca="false">IFERROR((Settings!$B$10*'History Y-1'!V30*('History Y-1'!$S30&lt;&gt;"Y")+Settings!$B$11*'History Y-2'!V30*('History Y-2'!$S30&lt;&gt;"Y")+Settings!$B$12*'History Y-3'!V30*('History Y-3'!$S30&lt;&gt;"Y"))/(Settings!$B$10*('History Y-1'!$S30&lt;&gt;"Y")+Settings!$B$11*('History Y-2'!$S30&lt;&gt;"Y")+Settings!$B$12*('History Y-3'!$S30&lt;&gt;"Y")),'History Y-1'!V30)</f>
        <v>74.4160726133801</v>
      </c>
      <c r="D30" s="36" t="n">
        <f aca="false">IFERROR((Settings!$B$10*'History Y-1'!W30*('History Y-1'!$S30&lt;&gt;"Y")+Settings!$B$11*'History Y-2'!W30*('History Y-2'!$S30&lt;&gt;"Y")+Settings!$B$12*'History Y-3'!W30*('History Y-3'!$S30&lt;&gt;"Y"))/(Settings!$B$10*('History Y-1'!$S30&lt;&gt;"Y")+Settings!$B$11*('History Y-2'!$S30&lt;&gt;"Y")+Settings!$B$12*('History Y-3'!$S30&lt;&gt;"Y")),'History Y-1'!W30)</f>
        <v>1.85807826705009</v>
      </c>
      <c r="E30" s="31" t="n">
        <f aca="false">IFERROR((Settings!$B$10*'History Y-1'!X30*('History Y-1'!$S30&lt;&gt;"Y")+Settings!$B$11*'History Y-2'!X30*('History Y-2'!$S30&lt;&gt;"Y")+Settings!$B$12*'History Y-3'!X30*('History Y-3'!$S30&lt;&gt;"Y"))/(Settings!$B$10*('History Y-1'!$S30&lt;&gt;"Y")+Settings!$B$11*('History Y-2'!$S30&lt;&gt;"Y")+Settings!$B$12*('History Y-3'!$S30&lt;&gt;"Y")),'History Y-1'!X30)</f>
        <v>0.0803434389459937</v>
      </c>
      <c r="F30" s="31" t="n">
        <f aca="false">IFERROR((Settings!$B$10*'History Y-1'!Y30*('History Y-1'!$S30&lt;&gt;"Y")+Settings!$B$11*'History Y-2'!Y30*('History Y-2'!$S30&lt;&gt;"Y")+Settings!$B$12*'History Y-3'!Y30*('History Y-3'!$S30&lt;&gt;"Y"))/(Settings!$B$10*('History Y-1'!$S30&lt;&gt;"Y")+Settings!$B$11*('History Y-2'!$S30&lt;&gt;"Y")+Settings!$B$12*('History Y-3'!$S30&lt;&gt;"Y")),'History Y-1'!Y30)</f>
        <v>0.262845116516355</v>
      </c>
      <c r="G30" s="31" t="n">
        <f aca="false">IFERROR((Settings!$B$10*'History Y-1'!Z30*('History Y-1'!$S30&lt;&gt;"Y")+Settings!$B$11*'History Y-2'!Z30*('History Y-2'!$S30&lt;&gt;"Y")+Settings!$B$12*'History Y-3'!Z30*('History Y-3'!$S30&lt;&gt;"Y"))/(Settings!$B$10*('History Y-1'!$S30&lt;&gt;"Y")+Settings!$B$11*('History Y-2'!$S30&lt;&gt;"Y")+Settings!$B$12*('History Y-3'!$S30&lt;&gt;"Y")),'History Y-1'!Z30)</f>
        <v>0.356435197518218</v>
      </c>
      <c r="H30" s="23" t="n">
        <f aca="false">IFERROR((Settings!$B$10*'History Y-1'!AA30*('History Y-1'!$S30&lt;&gt;"Y")+Settings!$B$11*'History Y-2'!AA30*('History Y-2'!$S30&lt;&gt;"Y")+Settings!$B$12*'History Y-3'!AA30*('History Y-3'!$S30&lt;&gt;"Y"))/(Settings!$B$10*('History Y-1'!$S30&lt;&gt;"Y")+Settings!$B$11*('History Y-2'!$S30&lt;&gt;"Y")+Settings!$B$12*('History Y-3'!$S30&lt;&gt;"Y")),'History Y-1'!AA30)</f>
        <v>0.474568697522019</v>
      </c>
      <c r="I30" s="23" t="n">
        <f aca="false">IFERROR((Settings!$B$10*'History Y-1'!AB30*('History Y-1'!$S30&lt;&gt;"Y")+Settings!$B$11*'History Y-2'!AB30*('History Y-2'!$S30&lt;&gt;"Y")+Settings!$B$12*'History Y-3'!AB30*('History Y-3'!$S30&lt;&gt;"Y"))/(Settings!$B$10*('History Y-1'!$S30&lt;&gt;"Y")+Settings!$B$11*('History Y-2'!$S30&lt;&gt;"Y")+Settings!$B$12*('History Y-3'!$S30&lt;&gt;"Y")),'History Y-1'!AB30)</f>
        <v>0.337670091903329</v>
      </c>
      <c r="J30" s="23" t="n">
        <f aca="false">IFERROR((Settings!$B$10*'History Y-1'!AC30*('History Y-1'!$S30&lt;&gt;"Y")+Settings!$B$11*'History Y-2'!AC30*('History Y-2'!$S30&lt;&gt;"Y")+Settings!$B$12*'History Y-3'!AC30*('History Y-3'!$S30&lt;&gt;"Y"))/(Settings!$B$10*('History Y-1'!$S30&lt;&gt;"Y")+Settings!$B$11*('History Y-2'!$S30&lt;&gt;"Y")+Settings!$B$12*('History Y-3'!$S30&lt;&gt;"Y")),'History Y-1'!AC30)</f>
        <v>0.205376082765116</v>
      </c>
      <c r="K30" s="29" t="n">
        <f aca="false">IFERROR((Settings!$B$10*'History Y-1'!AD30*('History Y-1'!$S30&lt;&gt;"Y")+Settings!$B$11*'History Y-2'!AD30*('History Y-2'!$S30&lt;&gt;"Y")+Settings!$B$12*'History Y-3'!AD30*('History Y-3'!$S30&lt;&gt;"Y"))/(Settings!$B$10*('History Y-1'!$S30&lt;&gt;"Y")+Settings!$B$11*('History Y-2'!$S30&lt;&gt;"Y")+Settings!$B$12*('History Y-3'!$S30&lt;&gt;"Y")),'History Y-1'!AD30)</f>
        <v>0.0163959375498759</v>
      </c>
      <c r="L30" s="29" t="n">
        <f aca="false">IFERROR((Settings!$B$10*'History Y-1'!AE30*('History Y-1'!$S30&lt;&gt;"Y")+Settings!$B$11*'History Y-2'!AE30*('History Y-2'!$S30&lt;&gt;"Y")+Settings!$B$12*'History Y-3'!AE30*('History Y-3'!$S30&lt;&gt;"Y"))/(Settings!$B$10*('History Y-1'!$S30&lt;&gt;"Y")+Settings!$B$11*('History Y-2'!$S30&lt;&gt;"Y")+Settings!$B$12*('History Y-3'!$S30&lt;&gt;"Y")),'History Y-1'!AE30)</f>
        <v>0.0157003463705196</v>
      </c>
      <c r="M30" s="29" t="n">
        <f aca="false">IFERROR((Settings!$B$10*'History Y-1'!AF30*('History Y-1'!$S30&lt;&gt;"Y")+Settings!$B$11*'History Y-2'!AF30*('History Y-2'!$S30&lt;&gt;"Y")+Settings!$B$12*'History Y-3'!AF30*('History Y-3'!$S30&lt;&gt;"Y"))/(Settings!$B$10*('History Y-1'!$S30&lt;&gt;"Y")+Settings!$B$11*('History Y-2'!$S30&lt;&gt;"Y")+Settings!$B$12*('History Y-3'!$S30&lt;&gt;"Y")),'History Y-1'!AF30)</f>
        <v>0.017073885809026</v>
      </c>
      <c r="N30" s="29" t="n">
        <f aca="false">IFERROR((Settings!$B$10*'History Y-1'!AG30*('History Y-1'!$S30&lt;&gt;"Y")+Settings!$B$11*'History Y-2'!AG30*('History Y-2'!$S30&lt;&gt;"Y")+Settings!$B$12*'History Y-3'!AG30*('History Y-3'!$S30&lt;&gt;"Y"))/(Settings!$B$10*('History Y-1'!$S30&lt;&gt;"Y")+Settings!$B$11*('History Y-2'!$S30&lt;&gt;"Y")+Settings!$B$12*('History Y-3'!$S30&lt;&gt;"Y")),'History Y-1'!AG30)</f>
        <v>0.017650356536977</v>
      </c>
      <c r="O30" s="29" t="n">
        <f aca="false">IFERROR((Settings!$B$10*'History Y-1'!AH30*('History Y-1'!$S30&lt;&gt;"Y")+Settings!$B$11*'History Y-2'!AH30*('History Y-2'!$S30&lt;&gt;"Y")+Settings!$B$12*'History Y-3'!AH30*('History Y-3'!$S30&lt;&gt;"Y"))/(Settings!$B$10*('History Y-1'!$S30&lt;&gt;"Y")+Settings!$B$11*('History Y-2'!$S30&lt;&gt;"Y")+Settings!$B$12*('History Y-3'!$S30&lt;&gt;"Y")),'History Y-1'!AH30)</f>
        <v>0.0174095453227479</v>
      </c>
      <c r="P30" s="29" t="n">
        <f aca="false">IFERROR((Settings!$B$10*'History Y-1'!AI30*('History Y-1'!$S30&lt;&gt;"Y")+Settings!$B$11*'History Y-2'!AI30*('History Y-2'!$S30&lt;&gt;"Y")+Settings!$B$12*'History Y-3'!AI30*('History Y-3'!$S30&lt;&gt;"Y"))/(Settings!$B$10*('History Y-1'!$S30&lt;&gt;"Y")+Settings!$B$11*('History Y-2'!$S30&lt;&gt;"Y")+Settings!$B$12*('History Y-3'!$S30&lt;&gt;"Y")),'History Y-1'!AI30)</f>
        <v>0.0165207626586938</v>
      </c>
      <c r="Q30" s="57" t="n">
        <f aca="false">IFERROR(K30/SUM(K$6:K$57),0)</f>
        <v>0.0164047647845258</v>
      </c>
      <c r="R30" s="57" t="n">
        <f aca="false">IFERROR(L30/SUM(L$6:L$57),0)</f>
        <v>0.0157138176633371</v>
      </c>
      <c r="S30" s="57" t="n">
        <f aca="false">IFERROR(M30/SUM(M$6:M$57),0)</f>
        <v>0.0170987622617106</v>
      </c>
      <c r="T30" s="57" t="n">
        <f aca="false">IFERROR(N30/SUM(N$6:N$57),0)</f>
        <v>0.0177003851948292</v>
      </c>
      <c r="U30" s="57" t="n">
        <f aca="false">IFERROR(O30/SUM(O$6:O$57),0)</f>
        <v>0.0174293290513516</v>
      </c>
      <c r="V30" s="57" t="n">
        <f aca="false">IFERROR(P30/SUM(P$6:P$57),0)</f>
        <v>0.0165647066329341</v>
      </c>
    </row>
    <row r="31" customFormat="false" ht="15" hidden="false" customHeight="false" outlineLevel="0" collapsed="false">
      <c r="A31" s="13" t="n">
        <v>26</v>
      </c>
      <c r="B31" s="29" t="n">
        <f aca="false">IFERROR((Settings!$B$10*'History Y-1'!U31*('History Y-1'!$S31&lt;&gt;"Y")+Settings!$B$11*'History Y-2'!U31*('History Y-2'!$S31&lt;&gt;"Y")+Settings!$B$12*'History Y-3'!U31*('History Y-3'!$S31&lt;&gt;"Y"))/(Settings!$B$10*('History Y-1'!$S31&lt;&gt;"Y")+Settings!$B$11*('History Y-2'!$S31&lt;&gt;"Y")+Settings!$B$12*('History Y-3'!$S31&lt;&gt;"Y")),'History Y-1'!U31)</f>
        <v>0.021313884429146</v>
      </c>
      <c r="C31" s="23" t="n">
        <f aca="false">IFERROR((Settings!$B$10*'History Y-1'!V31*('History Y-1'!$S31&lt;&gt;"Y")+Settings!$B$11*'History Y-2'!V31*('History Y-2'!$S31&lt;&gt;"Y")+Settings!$B$12*'History Y-3'!V31*('History Y-3'!$S31&lt;&gt;"Y"))/(Settings!$B$10*('History Y-1'!$S31&lt;&gt;"Y")+Settings!$B$11*('History Y-2'!$S31&lt;&gt;"Y")+Settings!$B$12*('History Y-3'!$S31&lt;&gt;"Y")),'History Y-1'!V31)</f>
        <v>73.1587431878809</v>
      </c>
      <c r="D31" s="36" t="n">
        <f aca="false">IFERROR((Settings!$B$10*'History Y-1'!W31*('History Y-1'!$S31&lt;&gt;"Y")+Settings!$B$11*'History Y-2'!W31*('History Y-2'!$S31&lt;&gt;"Y")+Settings!$B$12*'History Y-3'!W31*('History Y-3'!$S31&lt;&gt;"Y"))/(Settings!$B$10*('History Y-1'!$S31&lt;&gt;"Y")+Settings!$B$11*('History Y-2'!$S31&lt;&gt;"Y")+Settings!$B$12*('History Y-3'!$S31&lt;&gt;"Y")),'History Y-1'!W31)</f>
        <v>1.90067247083406</v>
      </c>
      <c r="E31" s="31" t="n">
        <f aca="false">IFERROR((Settings!$B$10*'History Y-1'!X31*('History Y-1'!$S31&lt;&gt;"Y")+Settings!$B$11*'History Y-2'!X31*('History Y-2'!$S31&lt;&gt;"Y")+Settings!$B$12*'History Y-3'!X31*('History Y-3'!$S31&lt;&gt;"Y"))/(Settings!$B$10*('History Y-1'!$S31&lt;&gt;"Y")+Settings!$B$11*('History Y-2'!$S31&lt;&gt;"Y")+Settings!$B$12*('History Y-3'!$S31&lt;&gt;"Y")),'History Y-1'!X31)</f>
        <v>0.0817133222325721</v>
      </c>
      <c r="F31" s="31" t="n">
        <f aca="false">IFERROR((Settings!$B$10*'History Y-1'!Y31*('History Y-1'!$S31&lt;&gt;"Y")+Settings!$B$11*'History Y-2'!Y31*('History Y-2'!$S31&lt;&gt;"Y")+Settings!$B$12*'History Y-3'!Y31*('History Y-3'!$S31&lt;&gt;"Y"))/(Settings!$B$10*('History Y-1'!$S31&lt;&gt;"Y")+Settings!$B$11*('History Y-2'!$S31&lt;&gt;"Y")+Settings!$B$12*('History Y-3'!$S31&lt;&gt;"Y")),'History Y-1'!Y31)</f>
        <v>0.26174463182299</v>
      </c>
      <c r="G31" s="31" t="n">
        <f aca="false">IFERROR((Settings!$B$10*'History Y-1'!Z31*('History Y-1'!$S31&lt;&gt;"Y")+Settings!$B$11*'History Y-2'!Z31*('History Y-2'!$S31&lt;&gt;"Y")+Settings!$B$12*'History Y-3'!Z31*('History Y-3'!$S31&lt;&gt;"Y"))/(Settings!$B$10*('History Y-1'!$S31&lt;&gt;"Y")+Settings!$B$11*('History Y-2'!$S31&lt;&gt;"Y")+Settings!$B$12*('History Y-3'!$S31&lt;&gt;"Y")),'History Y-1'!Z31)</f>
        <v>0.351914051889257</v>
      </c>
      <c r="H31" s="23" t="n">
        <f aca="false">IFERROR((Settings!$B$10*'History Y-1'!AA31*('History Y-1'!$S31&lt;&gt;"Y")+Settings!$B$11*'History Y-2'!AA31*('History Y-2'!$S31&lt;&gt;"Y")+Settings!$B$12*'History Y-3'!AA31*('History Y-3'!$S31&lt;&gt;"Y"))/(Settings!$B$10*('History Y-1'!$S31&lt;&gt;"Y")+Settings!$B$11*('History Y-2'!$S31&lt;&gt;"Y")+Settings!$B$12*('History Y-3'!$S31&lt;&gt;"Y")),'History Y-1'!AA31)</f>
        <v>0.434452640021337</v>
      </c>
      <c r="I31" s="23" t="n">
        <f aca="false">IFERROR((Settings!$B$10*'History Y-1'!AB31*('History Y-1'!$S31&lt;&gt;"Y")+Settings!$B$11*'History Y-2'!AB31*('History Y-2'!$S31&lt;&gt;"Y")+Settings!$B$12*'History Y-3'!AB31*('History Y-3'!$S31&lt;&gt;"Y"))/(Settings!$B$10*('History Y-1'!$S31&lt;&gt;"Y")+Settings!$B$11*('History Y-2'!$S31&lt;&gt;"Y")+Settings!$B$12*('History Y-3'!$S31&lt;&gt;"Y")),'History Y-1'!AB31)</f>
        <v>0.308822875238467</v>
      </c>
      <c r="J31" s="23" t="n">
        <f aca="false">IFERROR((Settings!$B$10*'History Y-1'!AC31*('History Y-1'!$S31&lt;&gt;"Y")+Settings!$B$11*'History Y-2'!AC31*('History Y-2'!$S31&lt;&gt;"Y")+Settings!$B$12*'History Y-3'!AC31*('History Y-3'!$S31&lt;&gt;"Y"))/(Settings!$B$10*('History Y-1'!$S31&lt;&gt;"Y")+Settings!$B$11*('History Y-2'!$S31&lt;&gt;"Y")+Settings!$B$12*('History Y-3'!$S31&lt;&gt;"Y")),'History Y-1'!AC31)</f>
        <v>0.196232411600404</v>
      </c>
      <c r="K31" s="29" t="n">
        <f aca="false">IFERROR((Settings!$B$10*'History Y-1'!AD31*('History Y-1'!$S31&lt;&gt;"Y")+Settings!$B$11*'History Y-2'!AD31*('History Y-2'!$S31&lt;&gt;"Y")+Settings!$B$12*'History Y-3'!AD31*('History Y-3'!$S31&lt;&gt;"Y"))/(Settings!$B$10*('History Y-1'!$S31&lt;&gt;"Y")+Settings!$B$11*('History Y-2'!$S31&lt;&gt;"Y")+Settings!$B$12*('History Y-3'!$S31&lt;&gt;"Y")),'History Y-1'!AD31)</f>
        <v>0.0170609549418776</v>
      </c>
      <c r="L31" s="29" t="n">
        <f aca="false">IFERROR((Settings!$B$10*'History Y-1'!AE31*('History Y-1'!$S31&lt;&gt;"Y")+Settings!$B$11*'History Y-2'!AE31*('History Y-2'!$S31&lt;&gt;"Y")+Settings!$B$12*'History Y-3'!AE31*('History Y-3'!$S31&lt;&gt;"Y"))/(Settings!$B$10*('History Y-1'!$S31&lt;&gt;"Y")+Settings!$B$11*('History Y-2'!$S31&lt;&gt;"Y")+Settings!$B$12*('History Y-3'!$S31&lt;&gt;"Y")),'History Y-1'!AE31)</f>
        <v>0.0148525124484921</v>
      </c>
      <c r="M31" s="29" t="n">
        <f aca="false">IFERROR((Settings!$B$10*'History Y-1'!AF31*('History Y-1'!$S31&lt;&gt;"Y")+Settings!$B$11*'History Y-2'!AF31*('History Y-2'!$S31&lt;&gt;"Y")+Settings!$B$12*'History Y-3'!AF31*('History Y-3'!$S31&lt;&gt;"Y"))/(Settings!$B$10*('History Y-1'!$S31&lt;&gt;"Y")+Settings!$B$11*('History Y-2'!$S31&lt;&gt;"Y")+Settings!$B$12*('History Y-3'!$S31&lt;&gt;"Y")),'History Y-1'!AF31)</f>
        <v>0.0161530195871084</v>
      </c>
      <c r="N31" s="29" t="n">
        <f aca="false">IFERROR((Settings!$B$10*'History Y-1'!AG31*('History Y-1'!$S31&lt;&gt;"Y")+Settings!$B$11*'History Y-2'!AG31*('History Y-2'!$S31&lt;&gt;"Y")+Settings!$B$12*'History Y-3'!AG31*('History Y-3'!$S31&lt;&gt;"Y"))/(Settings!$B$10*('History Y-1'!$S31&lt;&gt;"Y")+Settings!$B$11*('History Y-2'!$S31&lt;&gt;"Y")+Settings!$B$12*('History Y-3'!$S31&lt;&gt;"Y")),'History Y-1'!AG31)</f>
        <v>0.0166879469992931</v>
      </c>
      <c r="O31" s="29" t="n">
        <f aca="false">IFERROR((Settings!$B$10*'History Y-1'!AH31*('History Y-1'!$S31&lt;&gt;"Y")+Settings!$B$11*'History Y-2'!AH31*('History Y-2'!$S31&lt;&gt;"Y")+Settings!$B$12*'History Y-3'!AH31*('History Y-3'!$S31&lt;&gt;"Y"))/(Settings!$B$10*('History Y-1'!$S31&lt;&gt;"Y")+Settings!$B$11*('History Y-2'!$S31&lt;&gt;"Y")+Settings!$B$12*('History Y-3'!$S31&lt;&gt;"Y")),'History Y-1'!AH31)</f>
        <v>0.0162119270774744</v>
      </c>
      <c r="P31" s="29" t="n">
        <f aca="false">IFERROR((Settings!$B$10*'History Y-1'!AI31*('History Y-1'!$S31&lt;&gt;"Y")+Settings!$B$11*'History Y-2'!AI31*('History Y-2'!$S31&lt;&gt;"Y")+Settings!$B$12*'History Y-3'!AI31*('History Y-3'!$S31&lt;&gt;"Y"))/(Settings!$B$10*('History Y-1'!$S31&lt;&gt;"Y")+Settings!$B$11*('History Y-2'!$S31&lt;&gt;"Y")+Settings!$B$12*('History Y-3'!$S31&lt;&gt;"Y")),'History Y-1'!AI31)</f>
        <v>0.0170785255693626</v>
      </c>
      <c r="Q31" s="57" t="n">
        <f aca="false">IFERROR(K31/SUM(K$6:K$57),0)</f>
        <v>0.0170701402081769</v>
      </c>
      <c r="R31" s="57" t="n">
        <f aca="false">IFERROR(L31/SUM(L$6:L$57),0)</f>
        <v>0.0148652562784401</v>
      </c>
      <c r="S31" s="57" t="n">
        <f aca="false">IFERROR(M31/SUM(M$6:M$57),0)</f>
        <v>0.0161765543484373</v>
      </c>
      <c r="T31" s="57" t="n">
        <f aca="false">IFERROR(N31/SUM(N$6:N$57),0)</f>
        <v>0.0167352477769819</v>
      </c>
      <c r="U31" s="57" t="n">
        <f aca="false">IFERROR(O31/SUM(O$6:O$57),0)</f>
        <v>0.0162303498656345</v>
      </c>
      <c r="V31" s="57" t="n">
        <f aca="false">IFERROR(P31/SUM(P$6:P$57),0)</f>
        <v>0.017123953150594</v>
      </c>
    </row>
    <row r="32" customFormat="false" ht="15" hidden="false" customHeight="false" outlineLevel="0" collapsed="false">
      <c r="A32" s="13" t="n">
        <v>27</v>
      </c>
      <c r="B32" s="29" t="n">
        <f aca="false">IFERROR((Settings!$B$10*'History Y-1'!U32*('History Y-1'!$S32&lt;&gt;"Y")+Settings!$B$11*'History Y-2'!U32*('History Y-2'!$S32&lt;&gt;"Y")+Settings!$B$12*'History Y-3'!U32*('History Y-3'!$S32&lt;&gt;"Y"))/(Settings!$B$10*('History Y-1'!$S32&lt;&gt;"Y")+Settings!$B$11*('History Y-2'!$S32&lt;&gt;"Y")+Settings!$B$12*('History Y-3'!$S32&lt;&gt;"Y")),'History Y-1'!U32)</f>
        <v>0.0208813653835751</v>
      </c>
      <c r="C32" s="23" t="n">
        <f aca="false">IFERROR((Settings!$B$10*'History Y-1'!V32*('History Y-1'!$S32&lt;&gt;"Y")+Settings!$B$11*'History Y-2'!V32*('History Y-2'!$S32&lt;&gt;"Y")+Settings!$B$12*'History Y-3'!V32*('History Y-3'!$S32&lt;&gt;"Y"))/(Settings!$B$10*('History Y-1'!$S32&lt;&gt;"Y")+Settings!$B$11*('History Y-2'!$S32&lt;&gt;"Y")+Settings!$B$12*('History Y-3'!$S32&lt;&gt;"Y")),'History Y-1'!V32)</f>
        <v>74.4492420441199</v>
      </c>
      <c r="D32" s="36" t="n">
        <f aca="false">IFERROR((Settings!$B$10*'History Y-1'!W32*('History Y-1'!$S32&lt;&gt;"Y")+Settings!$B$11*'History Y-2'!W32*('History Y-2'!$S32&lt;&gt;"Y")+Settings!$B$12*'History Y-3'!W32*('History Y-3'!$S32&lt;&gt;"Y"))/(Settings!$B$10*('History Y-1'!$S32&lt;&gt;"Y")+Settings!$B$11*('History Y-2'!$S32&lt;&gt;"Y")+Settings!$B$12*('History Y-3'!$S32&lt;&gt;"Y")),'History Y-1'!W32)</f>
        <v>1.93222978382482</v>
      </c>
      <c r="E32" s="31" t="n">
        <f aca="false">IFERROR((Settings!$B$10*'History Y-1'!X32*('History Y-1'!$S32&lt;&gt;"Y")+Settings!$B$11*'History Y-2'!X32*('History Y-2'!$S32&lt;&gt;"Y")+Settings!$B$12*'History Y-3'!X32*('History Y-3'!$S32&lt;&gt;"Y"))/(Settings!$B$10*('History Y-1'!$S32&lt;&gt;"Y")+Settings!$B$11*('History Y-2'!$S32&lt;&gt;"Y")+Settings!$B$12*('History Y-3'!$S32&lt;&gt;"Y")),'History Y-1'!X32)</f>
        <v>0.0781086219025122</v>
      </c>
      <c r="F32" s="31" t="n">
        <f aca="false">IFERROR((Settings!$B$10*'History Y-1'!Y32*('History Y-1'!$S32&lt;&gt;"Y")+Settings!$B$11*'History Y-2'!Y32*('History Y-2'!$S32&lt;&gt;"Y")+Settings!$B$12*'History Y-3'!Y32*('History Y-3'!$S32&lt;&gt;"Y"))/(Settings!$B$10*('History Y-1'!$S32&lt;&gt;"Y")+Settings!$B$11*('History Y-2'!$S32&lt;&gt;"Y")+Settings!$B$12*('History Y-3'!$S32&lt;&gt;"Y")),'History Y-1'!Y32)</f>
        <v>0.270015834022456</v>
      </c>
      <c r="G32" s="31" t="n">
        <f aca="false">IFERROR((Settings!$B$10*'History Y-1'!Z32*('History Y-1'!$S32&lt;&gt;"Y")+Settings!$B$11*'History Y-2'!Z32*('History Y-2'!$S32&lt;&gt;"Y")+Settings!$B$12*'History Y-3'!Z32*('History Y-3'!$S32&lt;&gt;"Y"))/(Settings!$B$10*('History Y-1'!$S32&lt;&gt;"Y")+Settings!$B$11*('History Y-2'!$S32&lt;&gt;"Y")+Settings!$B$12*('History Y-3'!$S32&lt;&gt;"Y")),'History Y-1'!Z32)</f>
        <v>0.35641068248159</v>
      </c>
      <c r="H32" s="23" t="n">
        <f aca="false">IFERROR((Settings!$B$10*'History Y-1'!AA32*('History Y-1'!$S32&lt;&gt;"Y")+Settings!$B$11*'History Y-2'!AA32*('History Y-2'!$S32&lt;&gt;"Y")+Settings!$B$12*'History Y-3'!AA32*('History Y-3'!$S32&lt;&gt;"Y"))/(Settings!$B$10*('History Y-1'!$S32&lt;&gt;"Y")+Settings!$B$11*('History Y-2'!$S32&lt;&gt;"Y")+Settings!$B$12*('History Y-3'!$S32&lt;&gt;"Y")),'History Y-1'!AA32)</f>
        <v>0.448534715996027</v>
      </c>
      <c r="I32" s="23" t="n">
        <f aca="false">IFERROR((Settings!$B$10*'History Y-1'!AB32*('History Y-1'!$S32&lt;&gt;"Y")+Settings!$B$11*'History Y-2'!AB32*('History Y-2'!$S32&lt;&gt;"Y")+Settings!$B$12*'History Y-3'!AB32*('History Y-3'!$S32&lt;&gt;"Y"))/(Settings!$B$10*('History Y-1'!$S32&lt;&gt;"Y")+Settings!$B$11*('History Y-2'!$S32&lt;&gt;"Y")+Settings!$B$12*('History Y-3'!$S32&lt;&gt;"Y")),'History Y-1'!AB32)</f>
        <v>0.339144263940467</v>
      </c>
      <c r="J32" s="23" t="n">
        <f aca="false">IFERROR((Settings!$B$10*'History Y-1'!AC32*('History Y-1'!$S32&lt;&gt;"Y")+Settings!$B$11*'History Y-2'!AC32*('History Y-2'!$S32&lt;&gt;"Y")+Settings!$B$12*'History Y-3'!AC32*('History Y-3'!$S32&lt;&gt;"Y"))/(Settings!$B$10*('History Y-1'!$S32&lt;&gt;"Y")+Settings!$B$11*('History Y-2'!$S32&lt;&gt;"Y")+Settings!$B$12*('History Y-3'!$S32&lt;&gt;"Y")),'History Y-1'!AC32)</f>
        <v>0.200380886967167</v>
      </c>
      <c r="K32" s="29" t="n">
        <f aca="false">IFERROR((Settings!$B$10*'History Y-1'!AD32*('History Y-1'!$S32&lt;&gt;"Y")+Settings!$B$11*'History Y-2'!AD32*('History Y-2'!$S32&lt;&gt;"Y")+Settings!$B$12*'History Y-3'!AD32*('History Y-3'!$S32&lt;&gt;"Y"))/(Settings!$B$10*('History Y-1'!$S32&lt;&gt;"Y")+Settings!$B$11*('History Y-2'!$S32&lt;&gt;"Y")+Settings!$B$12*('History Y-3'!$S32&lt;&gt;"Y")),'History Y-1'!AD32)</f>
        <v>0.0164911633481595</v>
      </c>
      <c r="L32" s="29" t="n">
        <f aca="false">IFERROR((Settings!$B$10*'History Y-1'!AE32*('History Y-1'!$S32&lt;&gt;"Y")+Settings!$B$11*'History Y-2'!AE32*('History Y-2'!$S32&lt;&gt;"Y")+Settings!$B$12*'History Y-3'!AE32*('History Y-3'!$S32&lt;&gt;"Y"))/(Settings!$B$10*('History Y-1'!$S32&lt;&gt;"Y")+Settings!$B$11*('History Y-2'!$S32&lt;&gt;"Y")+Settings!$B$12*('History Y-3'!$S32&lt;&gt;"Y")),'History Y-1'!AE32)</f>
        <v>0.0148033589660352</v>
      </c>
      <c r="M32" s="29" t="n">
        <f aca="false">IFERROR((Settings!$B$10*'History Y-1'!AF32*('History Y-1'!$S32&lt;&gt;"Y")+Settings!$B$11*'History Y-2'!AF32*('History Y-2'!$S32&lt;&gt;"Y")+Settings!$B$12*'History Y-3'!AF32*('History Y-3'!$S32&lt;&gt;"Y"))/(Settings!$B$10*('History Y-1'!$S32&lt;&gt;"Y")+Settings!$B$11*('History Y-2'!$S32&lt;&gt;"Y")+Settings!$B$12*('History Y-3'!$S32&lt;&gt;"Y")),'History Y-1'!AF32)</f>
        <v>0.015796641613142</v>
      </c>
      <c r="N32" s="29" t="n">
        <f aca="false">IFERROR((Settings!$B$10*'History Y-1'!AG32*('History Y-1'!$S32&lt;&gt;"Y")+Settings!$B$11*'History Y-2'!AG32*('History Y-2'!$S32&lt;&gt;"Y")+Settings!$B$12*'History Y-3'!AG32*('History Y-3'!$S32&lt;&gt;"Y"))/(Settings!$B$10*('History Y-1'!$S32&lt;&gt;"Y")+Settings!$B$11*('History Y-2'!$S32&lt;&gt;"Y")+Settings!$B$12*('History Y-3'!$S32&lt;&gt;"Y")),'History Y-1'!AG32)</f>
        <v>0.0159922912497165</v>
      </c>
      <c r="O32" s="29" t="n">
        <f aca="false">IFERROR((Settings!$B$10*'History Y-1'!AH32*('History Y-1'!$S32&lt;&gt;"Y")+Settings!$B$11*'History Y-2'!AH32*('History Y-2'!$S32&lt;&gt;"Y")+Settings!$B$12*'History Y-3'!AH32*('History Y-3'!$S32&lt;&gt;"Y"))/(Settings!$B$10*('History Y-1'!$S32&lt;&gt;"Y")+Settings!$B$11*('History Y-2'!$S32&lt;&gt;"Y")+Settings!$B$12*('History Y-3'!$S32&lt;&gt;"Y")),'History Y-1'!AH32)</f>
        <v>0.0167515619753561</v>
      </c>
      <c r="P32" s="29" t="n">
        <f aca="false">IFERROR((Settings!$B$10*'History Y-1'!AI32*('History Y-1'!$S32&lt;&gt;"Y")+Settings!$B$11*'History Y-2'!AI32*('History Y-2'!$S32&lt;&gt;"Y")+Settings!$B$12*'History Y-3'!AI32*('History Y-3'!$S32&lt;&gt;"Y"))/(Settings!$B$10*('History Y-1'!$S32&lt;&gt;"Y")+Settings!$B$11*('History Y-2'!$S32&lt;&gt;"Y")+Settings!$B$12*('History Y-3'!$S32&lt;&gt;"Y")),'History Y-1'!AI32)</f>
        <v>0.0163227369666169</v>
      </c>
      <c r="Q32" s="57" t="n">
        <f aca="false">IFERROR(K32/SUM(K$6:K$57),0)</f>
        <v>0.0165000418504153</v>
      </c>
      <c r="R32" s="57" t="n">
        <f aca="false">IFERROR(L32/SUM(L$6:L$57),0)</f>
        <v>0.0148160606210566</v>
      </c>
      <c r="S32" s="57" t="n">
        <f aca="false">IFERROR(M32/SUM(M$6:M$57),0)</f>
        <v>0.0158196571359152</v>
      </c>
      <c r="T32" s="57" t="n">
        <f aca="false">IFERROR(N32/SUM(N$6:N$57),0)</f>
        <v>0.0160376202415434</v>
      </c>
      <c r="U32" s="57" t="n">
        <f aca="false">IFERROR(O32/SUM(O$6:O$57),0)</f>
        <v>0.016770597989776</v>
      </c>
      <c r="V32" s="57" t="n">
        <f aca="false">IFERROR(P32/SUM(P$6:P$57),0)</f>
        <v>0.0163661542075525</v>
      </c>
    </row>
    <row r="33" customFormat="false" ht="15" hidden="false" customHeight="false" outlineLevel="0" collapsed="false">
      <c r="A33" s="13" t="n">
        <v>28</v>
      </c>
      <c r="B33" s="29" t="n">
        <f aca="false">IFERROR((Settings!$B$10*'History Y-1'!U33*('History Y-1'!$S33&lt;&gt;"Y")+Settings!$B$11*'History Y-2'!U33*('History Y-2'!$S33&lt;&gt;"Y")+Settings!$B$12*'History Y-3'!U33*('History Y-3'!$S33&lt;&gt;"Y"))/(Settings!$B$10*('History Y-1'!$S33&lt;&gt;"Y")+Settings!$B$11*('History Y-2'!$S33&lt;&gt;"Y")+Settings!$B$12*('History Y-3'!$S33&lt;&gt;"Y")),'History Y-1'!U33)</f>
        <v>0.0217107000686506</v>
      </c>
      <c r="C33" s="23" t="n">
        <f aca="false">IFERROR((Settings!$B$10*'History Y-1'!V33*('History Y-1'!$S33&lt;&gt;"Y")+Settings!$B$11*'History Y-2'!V33*('History Y-2'!$S33&lt;&gt;"Y")+Settings!$B$12*'History Y-3'!V33*('History Y-3'!$S33&lt;&gt;"Y"))/(Settings!$B$10*('History Y-1'!$S33&lt;&gt;"Y")+Settings!$B$11*('History Y-2'!$S33&lt;&gt;"Y")+Settings!$B$12*('History Y-3'!$S33&lt;&gt;"Y")),'History Y-1'!V33)</f>
        <v>75.9195903301173</v>
      </c>
      <c r="D33" s="36" t="n">
        <f aca="false">IFERROR((Settings!$B$10*'History Y-1'!W33*('History Y-1'!$S33&lt;&gt;"Y")+Settings!$B$11*'History Y-2'!W33*('History Y-2'!$S33&lt;&gt;"Y")+Settings!$B$12*'History Y-3'!W33*('History Y-3'!$S33&lt;&gt;"Y"))/(Settings!$B$10*('History Y-1'!$S33&lt;&gt;"Y")+Settings!$B$11*('History Y-2'!$S33&lt;&gt;"Y")+Settings!$B$12*('History Y-3'!$S33&lt;&gt;"Y")),'History Y-1'!W33)</f>
        <v>1.87394006858806</v>
      </c>
      <c r="E33" s="31" t="n">
        <f aca="false">IFERROR((Settings!$B$10*'History Y-1'!X33*('History Y-1'!$S33&lt;&gt;"Y")+Settings!$B$11*'History Y-2'!X33*('History Y-2'!$S33&lt;&gt;"Y")+Settings!$B$12*'History Y-3'!X33*('History Y-3'!$S33&lt;&gt;"Y"))/(Settings!$B$10*('History Y-1'!$S33&lt;&gt;"Y")+Settings!$B$11*('History Y-2'!$S33&lt;&gt;"Y")+Settings!$B$12*('History Y-3'!$S33&lt;&gt;"Y")),'History Y-1'!X33)</f>
        <v>0.0789088636414021</v>
      </c>
      <c r="F33" s="31" t="n">
        <f aca="false">IFERROR((Settings!$B$10*'History Y-1'!Y33*('History Y-1'!$S33&lt;&gt;"Y")+Settings!$B$11*'History Y-2'!Y33*('History Y-2'!$S33&lt;&gt;"Y")+Settings!$B$12*'History Y-3'!Y33*('History Y-3'!$S33&lt;&gt;"Y"))/(Settings!$B$10*('History Y-1'!$S33&lt;&gt;"Y")+Settings!$B$11*('History Y-2'!$S33&lt;&gt;"Y")+Settings!$B$12*('History Y-3'!$S33&lt;&gt;"Y")),'History Y-1'!Y33)</f>
        <v>0.251476425566013</v>
      </c>
      <c r="G33" s="31" t="n">
        <f aca="false">IFERROR((Settings!$B$10*'History Y-1'!Z33*('History Y-1'!$S33&lt;&gt;"Y")+Settings!$B$11*'History Y-2'!Z33*('History Y-2'!$S33&lt;&gt;"Y")+Settings!$B$12*'History Y-3'!Z33*('History Y-3'!$S33&lt;&gt;"Y"))/(Settings!$B$10*('History Y-1'!$S33&lt;&gt;"Y")+Settings!$B$11*('History Y-2'!$S33&lt;&gt;"Y")+Settings!$B$12*('History Y-3'!$S33&lt;&gt;"Y")),'History Y-1'!Z33)</f>
        <v>0.340276337262879</v>
      </c>
      <c r="H33" s="23" t="n">
        <f aca="false">IFERROR((Settings!$B$10*'History Y-1'!AA33*('History Y-1'!$S33&lt;&gt;"Y")+Settings!$B$11*'History Y-2'!AA33*('History Y-2'!$S33&lt;&gt;"Y")+Settings!$B$12*'History Y-3'!AA33*('History Y-3'!$S33&lt;&gt;"Y"))/(Settings!$B$10*('History Y-1'!$S33&lt;&gt;"Y")+Settings!$B$11*('History Y-2'!$S33&lt;&gt;"Y")+Settings!$B$12*('History Y-3'!$S33&lt;&gt;"Y")),'History Y-1'!AA33)</f>
        <v>0.468107409113929</v>
      </c>
      <c r="I33" s="23" t="n">
        <f aca="false">IFERROR((Settings!$B$10*'History Y-1'!AB33*('History Y-1'!$S33&lt;&gt;"Y")+Settings!$B$11*'History Y-2'!AB33*('History Y-2'!$S33&lt;&gt;"Y")+Settings!$B$12*'History Y-3'!AB33*('History Y-3'!$S33&lt;&gt;"Y"))/(Settings!$B$10*('History Y-1'!$S33&lt;&gt;"Y")+Settings!$B$11*('History Y-2'!$S33&lt;&gt;"Y")+Settings!$B$12*('History Y-3'!$S33&lt;&gt;"Y")),'History Y-1'!AB33)</f>
        <v>0.345487902853119</v>
      </c>
      <c r="J33" s="23" t="n">
        <f aca="false">IFERROR((Settings!$B$10*'History Y-1'!AC33*('History Y-1'!$S33&lt;&gt;"Y")+Settings!$B$11*'History Y-2'!AC33*('History Y-2'!$S33&lt;&gt;"Y")+Settings!$B$12*'History Y-3'!AC33*('History Y-3'!$S33&lt;&gt;"Y"))/(Settings!$B$10*('History Y-1'!$S33&lt;&gt;"Y")+Settings!$B$11*('History Y-2'!$S33&lt;&gt;"Y")+Settings!$B$12*('History Y-3'!$S33&lt;&gt;"Y")),'History Y-1'!AC33)</f>
        <v>0.202965198302737</v>
      </c>
      <c r="K33" s="29" t="n">
        <f aca="false">IFERROR((Settings!$B$10*'History Y-1'!AD33*('History Y-1'!$S33&lt;&gt;"Y")+Settings!$B$11*'History Y-2'!AD33*('History Y-2'!$S33&lt;&gt;"Y")+Settings!$B$12*'History Y-3'!AD33*('History Y-3'!$S33&lt;&gt;"Y"))/(Settings!$B$10*('History Y-1'!$S33&lt;&gt;"Y")+Settings!$B$11*('History Y-2'!$S33&lt;&gt;"Y")+Settings!$B$12*('History Y-3'!$S33&lt;&gt;"Y")),'History Y-1'!AD33)</f>
        <v>0.0168051422641514</v>
      </c>
      <c r="L33" s="29" t="n">
        <f aca="false">IFERROR((Settings!$B$10*'History Y-1'!AE33*('History Y-1'!$S33&lt;&gt;"Y")+Settings!$B$11*'History Y-2'!AE33*('History Y-2'!$S33&lt;&gt;"Y")+Settings!$B$12*'History Y-3'!AE33*('History Y-3'!$S33&lt;&gt;"Y"))/(Settings!$B$10*('History Y-1'!$S33&lt;&gt;"Y")+Settings!$B$11*('History Y-2'!$S33&lt;&gt;"Y")+Settings!$B$12*('History Y-3'!$S33&lt;&gt;"Y")),'History Y-1'!AE33)</f>
        <v>0.0152948599256065</v>
      </c>
      <c r="M33" s="29" t="n">
        <f aca="false">IFERROR((Settings!$B$10*'History Y-1'!AF33*('History Y-1'!$S33&lt;&gt;"Y")+Settings!$B$11*'History Y-2'!AF33*('History Y-2'!$S33&lt;&gt;"Y")+Settings!$B$12*'History Y-3'!AF33*('History Y-3'!$S33&lt;&gt;"Y"))/(Settings!$B$10*('History Y-1'!$S33&lt;&gt;"Y")+Settings!$B$11*('History Y-2'!$S33&lt;&gt;"Y")+Settings!$B$12*('History Y-3'!$S33&lt;&gt;"Y")),'History Y-1'!AF33)</f>
        <v>0.0162953169699477</v>
      </c>
      <c r="N33" s="29" t="n">
        <f aca="false">IFERROR((Settings!$B$10*'History Y-1'!AG33*('History Y-1'!$S33&lt;&gt;"Y")+Settings!$B$11*'History Y-2'!AG33*('History Y-2'!$S33&lt;&gt;"Y")+Settings!$B$12*'History Y-3'!AG33*('History Y-3'!$S33&lt;&gt;"Y"))/(Settings!$B$10*('History Y-1'!$S33&lt;&gt;"Y")+Settings!$B$11*('History Y-2'!$S33&lt;&gt;"Y")+Settings!$B$12*('History Y-3'!$S33&lt;&gt;"Y")),'History Y-1'!AG33)</f>
        <v>0.0174976601551243</v>
      </c>
      <c r="O33" s="29" t="n">
        <f aca="false">IFERROR((Settings!$B$10*'History Y-1'!AH33*('History Y-1'!$S33&lt;&gt;"Y")+Settings!$B$11*'History Y-2'!AH33*('History Y-2'!$S33&lt;&gt;"Y")+Settings!$B$12*'History Y-3'!AH33*('History Y-3'!$S33&lt;&gt;"Y"))/(Settings!$B$10*('History Y-1'!$S33&lt;&gt;"Y")+Settings!$B$11*('History Y-2'!$S33&lt;&gt;"Y")+Settings!$B$12*('History Y-3'!$S33&lt;&gt;"Y")),'History Y-1'!AH33)</f>
        <v>0.0171567838526877</v>
      </c>
      <c r="P33" s="29" t="n">
        <f aca="false">IFERROR((Settings!$B$10*'History Y-1'!AI33*('History Y-1'!$S33&lt;&gt;"Y")+Settings!$B$11*'History Y-2'!AI33*('History Y-2'!$S33&lt;&gt;"Y")+Settings!$B$12*'History Y-3'!AI33*('History Y-3'!$S33&lt;&gt;"Y"))/(Settings!$B$10*('History Y-1'!$S33&lt;&gt;"Y")+Settings!$B$11*('History Y-2'!$S33&lt;&gt;"Y")+Settings!$B$12*('History Y-3'!$S33&lt;&gt;"Y")),'History Y-1'!AI33)</f>
        <v>0.0159796633541382</v>
      </c>
      <c r="Q33" s="57" t="n">
        <f aca="false">IFERROR(K33/SUM(K$6:K$57),0)</f>
        <v>0.0168141898061805</v>
      </c>
      <c r="R33" s="57" t="n">
        <f aca="false">IFERROR(L33/SUM(L$6:L$57),0)</f>
        <v>0.0153079833008365</v>
      </c>
      <c r="S33" s="57" t="n">
        <f aca="false">IFERROR(M33/SUM(M$6:M$57),0)</f>
        <v>0.0163190590569054</v>
      </c>
      <c r="T33" s="57" t="n">
        <f aca="false">IFERROR(N33/SUM(N$6:N$57),0)</f>
        <v>0.0175472560061362</v>
      </c>
      <c r="U33" s="57" t="n">
        <f aca="false">IFERROR(O33/SUM(O$6:O$57),0)</f>
        <v>0.0171762803501068</v>
      </c>
      <c r="V33" s="57" t="n">
        <f aca="false">IFERROR(P33/SUM(P$6:P$57),0)</f>
        <v>0.0160221680453144</v>
      </c>
    </row>
    <row r="34" customFormat="false" ht="15" hidden="false" customHeight="false" outlineLevel="0" collapsed="false">
      <c r="A34" s="13" t="n">
        <v>29</v>
      </c>
      <c r="B34" s="29" t="n">
        <f aca="false">IFERROR((Settings!$B$10*'History Y-1'!U34*('History Y-1'!$S34&lt;&gt;"Y")+Settings!$B$11*'History Y-2'!U34*('History Y-2'!$S34&lt;&gt;"Y")+Settings!$B$12*'History Y-3'!U34*('History Y-3'!$S34&lt;&gt;"Y"))/(Settings!$B$10*('History Y-1'!$S34&lt;&gt;"Y")+Settings!$B$11*('History Y-2'!$S34&lt;&gt;"Y")+Settings!$B$12*('History Y-3'!$S34&lt;&gt;"Y")),'History Y-1'!U34)</f>
        <v>0.0214950878043228</v>
      </c>
      <c r="C34" s="23" t="n">
        <f aca="false">IFERROR((Settings!$B$10*'History Y-1'!V34*('History Y-1'!$S34&lt;&gt;"Y")+Settings!$B$11*'History Y-2'!V34*('History Y-2'!$S34&lt;&gt;"Y")+Settings!$B$12*'History Y-3'!V34*('History Y-3'!$S34&lt;&gt;"Y"))/(Settings!$B$10*('History Y-1'!$S34&lt;&gt;"Y")+Settings!$B$11*('History Y-2'!$S34&lt;&gt;"Y")+Settings!$B$12*('History Y-3'!$S34&lt;&gt;"Y")),'History Y-1'!V34)</f>
        <v>74.247052417833</v>
      </c>
      <c r="D34" s="36" t="n">
        <f aca="false">IFERROR((Settings!$B$10*'History Y-1'!W34*('History Y-1'!$S34&lt;&gt;"Y")+Settings!$B$11*'History Y-2'!W34*('History Y-2'!$S34&lt;&gt;"Y")+Settings!$B$12*'History Y-3'!W34*('History Y-3'!$S34&lt;&gt;"Y"))/(Settings!$B$10*('History Y-1'!$S34&lt;&gt;"Y")+Settings!$B$11*('History Y-2'!$S34&lt;&gt;"Y")+Settings!$B$12*('History Y-3'!$S34&lt;&gt;"Y")),'History Y-1'!W34)</f>
        <v>1.95153601912614</v>
      </c>
      <c r="E34" s="31" t="n">
        <f aca="false">IFERROR((Settings!$B$10*'History Y-1'!X34*('History Y-1'!$S34&lt;&gt;"Y")+Settings!$B$11*'History Y-2'!X34*('History Y-2'!$S34&lt;&gt;"Y")+Settings!$B$12*'History Y-3'!X34*('History Y-3'!$S34&lt;&gt;"Y"))/(Settings!$B$10*('History Y-1'!$S34&lt;&gt;"Y")+Settings!$B$11*('History Y-2'!$S34&lt;&gt;"Y")+Settings!$B$12*('History Y-3'!$S34&lt;&gt;"Y")),'History Y-1'!X34)</f>
        <v>0.0823381157421977</v>
      </c>
      <c r="F34" s="31" t="n">
        <f aca="false">IFERROR((Settings!$B$10*'History Y-1'!Y34*('History Y-1'!$S34&lt;&gt;"Y")+Settings!$B$11*'History Y-2'!Y34*('History Y-2'!$S34&lt;&gt;"Y")+Settings!$B$12*'History Y-3'!Y34*('History Y-3'!$S34&lt;&gt;"Y"))/(Settings!$B$10*('History Y-1'!$S34&lt;&gt;"Y")+Settings!$B$11*('History Y-2'!$S34&lt;&gt;"Y")+Settings!$B$12*('History Y-3'!$S34&lt;&gt;"Y")),'History Y-1'!Y34)</f>
        <v>0.263445798809196</v>
      </c>
      <c r="G34" s="31" t="n">
        <f aca="false">IFERROR((Settings!$B$10*'History Y-1'!Z34*('History Y-1'!$S34&lt;&gt;"Y")+Settings!$B$11*'History Y-2'!Z34*('History Y-2'!$S34&lt;&gt;"Y")+Settings!$B$12*'History Y-3'!Z34*('History Y-3'!$S34&lt;&gt;"Y"))/(Settings!$B$10*('History Y-1'!$S34&lt;&gt;"Y")+Settings!$B$11*('History Y-2'!$S34&lt;&gt;"Y")+Settings!$B$12*('History Y-3'!$S34&lt;&gt;"Y")),'History Y-1'!Z34)</f>
        <v>0.353573093619421</v>
      </c>
      <c r="H34" s="23" t="n">
        <f aca="false">IFERROR((Settings!$B$10*'History Y-1'!AA34*('History Y-1'!$S34&lt;&gt;"Y")+Settings!$B$11*'History Y-2'!AA34*('History Y-2'!$S34&lt;&gt;"Y")+Settings!$B$12*'History Y-3'!AA34*('History Y-3'!$S34&lt;&gt;"Y"))/(Settings!$B$10*('History Y-1'!$S34&lt;&gt;"Y")+Settings!$B$11*('History Y-2'!$S34&lt;&gt;"Y")+Settings!$B$12*('History Y-3'!$S34&lt;&gt;"Y")),'History Y-1'!AA34)</f>
        <v>0.466709791093112</v>
      </c>
      <c r="I34" s="23" t="n">
        <f aca="false">IFERROR((Settings!$B$10*'History Y-1'!AB34*('History Y-1'!$S34&lt;&gt;"Y")+Settings!$B$11*'History Y-2'!AB34*('History Y-2'!$S34&lt;&gt;"Y")+Settings!$B$12*'History Y-3'!AB34*('History Y-3'!$S34&lt;&gt;"Y"))/(Settings!$B$10*('History Y-1'!$S34&lt;&gt;"Y")+Settings!$B$11*('History Y-2'!$S34&lt;&gt;"Y")+Settings!$B$12*('History Y-3'!$S34&lt;&gt;"Y")),'History Y-1'!AB34)</f>
        <v>0.337141867336717</v>
      </c>
      <c r="J34" s="23" t="n">
        <f aca="false">IFERROR((Settings!$B$10*'History Y-1'!AC34*('History Y-1'!$S34&lt;&gt;"Y")+Settings!$B$11*'History Y-2'!AC34*('History Y-2'!$S34&lt;&gt;"Y")+Settings!$B$12*'History Y-3'!AC34*('History Y-3'!$S34&lt;&gt;"Y"))/(Settings!$B$10*('History Y-1'!$S34&lt;&gt;"Y")+Settings!$B$11*('History Y-2'!$S34&lt;&gt;"Y")+Settings!$B$12*('History Y-3'!$S34&lt;&gt;"Y")),'History Y-1'!AC34)</f>
        <v>0.201958702312186</v>
      </c>
      <c r="K34" s="29" t="n">
        <f aca="false">IFERROR((Settings!$B$10*'History Y-1'!AD34*('History Y-1'!$S34&lt;&gt;"Y")+Settings!$B$11*'History Y-2'!AD34*('History Y-2'!$S34&lt;&gt;"Y")+Settings!$B$12*'History Y-3'!AD34*('History Y-3'!$S34&lt;&gt;"Y"))/(Settings!$B$10*('History Y-1'!$S34&lt;&gt;"Y")+Settings!$B$11*('History Y-2'!$S34&lt;&gt;"Y")+Settings!$B$12*('History Y-3'!$S34&lt;&gt;"Y")),'History Y-1'!AD34)</f>
        <v>0.0171356058248525</v>
      </c>
      <c r="L34" s="29" t="n">
        <f aca="false">IFERROR((Settings!$B$10*'History Y-1'!AE34*('History Y-1'!$S34&lt;&gt;"Y")+Settings!$B$11*'History Y-2'!AE34*('History Y-2'!$S34&lt;&gt;"Y")+Settings!$B$12*'History Y-3'!AE34*('History Y-3'!$S34&lt;&gt;"Y"))/(Settings!$B$10*('History Y-1'!$S34&lt;&gt;"Y")+Settings!$B$11*('History Y-2'!$S34&lt;&gt;"Y")+Settings!$B$12*('History Y-3'!$S34&lt;&gt;"Y")),'History Y-1'!AE34)</f>
        <v>0.014821300333596</v>
      </c>
      <c r="M34" s="29" t="n">
        <f aca="false">IFERROR((Settings!$B$10*'History Y-1'!AF34*('History Y-1'!$S34&lt;&gt;"Y")+Settings!$B$11*'History Y-2'!AF34*('History Y-2'!$S34&lt;&gt;"Y")+Settings!$B$12*'History Y-3'!AF34*('History Y-3'!$S34&lt;&gt;"Y"))/(Settings!$B$10*('History Y-1'!$S34&lt;&gt;"Y")+Settings!$B$11*('History Y-2'!$S34&lt;&gt;"Y")+Settings!$B$12*('History Y-3'!$S34&lt;&gt;"Y")),'History Y-1'!AF34)</f>
        <v>0.0160584737055301</v>
      </c>
      <c r="N34" s="29" t="n">
        <f aca="false">IFERROR((Settings!$B$10*'History Y-1'!AG34*('History Y-1'!$S34&lt;&gt;"Y")+Settings!$B$11*'History Y-2'!AG34*('History Y-2'!$S34&lt;&gt;"Y")+Settings!$B$12*'History Y-3'!AG34*('History Y-3'!$S34&lt;&gt;"Y"))/(Settings!$B$10*('History Y-1'!$S34&lt;&gt;"Y")+Settings!$B$11*('History Y-2'!$S34&lt;&gt;"Y")+Settings!$B$12*('History Y-3'!$S34&lt;&gt;"Y")),'History Y-1'!AG34)</f>
        <v>0.0170967425109943</v>
      </c>
      <c r="O34" s="29" t="n">
        <f aca="false">IFERROR((Settings!$B$10*'History Y-1'!AH34*('History Y-1'!$S34&lt;&gt;"Y")+Settings!$B$11*'History Y-2'!AH34*('History Y-2'!$S34&lt;&gt;"Y")+Settings!$B$12*'History Y-3'!AH34*('History Y-3'!$S34&lt;&gt;"Y"))/(Settings!$B$10*('History Y-1'!$S34&lt;&gt;"Y")+Settings!$B$11*('History Y-2'!$S34&lt;&gt;"Y")+Settings!$B$12*('History Y-3'!$S34&lt;&gt;"Y")),'History Y-1'!AH34)</f>
        <v>0.0162325627186657</v>
      </c>
      <c r="P34" s="29" t="n">
        <f aca="false">IFERROR((Settings!$B$10*'History Y-1'!AI34*('History Y-1'!$S34&lt;&gt;"Y")+Settings!$B$11*'History Y-2'!AI34*('History Y-2'!$S34&lt;&gt;"Y")+Settings!$B$12*'History Y-3'!AI34*('History Y-3'!$S34&lt;&gt;"Y"))/(Settings!$B$10*('History Y-1'!$S34&lt;&gt;"Y")+Settings!$B$11*('History Y-2'!$S34&lt;&gt;"Y")+Settings!$B$12*('History Y-3'!$S34&lt;&gt;"Y")),'History Y-1'!AI34)</f>
        <v>0.0158043624543027</v>
      </c>
      <c r="Q34" s="57" t="n">
        <f aca="false">IFERROR(K34/SUM(K$6:K$57),0)</f>
        <v>0.0171448312816477</v>
      </c>
      <c r="R34" s="57" t="n">
        <f aca="false">IFERROR(L34/SUM(L$6:L$57),0)</f>
        <v>0.0148340173827628</v>
      </c>
      <c r="S34" s="57" t="n">
        <f aca="false">IFERROR(M34/SUM(M$6:M$57),0)</f>
        <v>0.0160818707146111</v>
      </c>
      <c r="T34" s="57" t="n">
        <f aca="false">IFERROR(N34/SUM(N$6:N$57),0)</f>
        <v>0.0171452019899673</v>
      </c>
      <c r="U34" s="57" t="n">
        <f aca="false">IFERROR(O34/SUM(O$6:O$57),0)</f>
        <v>0.016251008956601</v>
      </c>
      <c r="V34" s="57" t="n">
        <f aca="false">IFERROR(P34/SUM(P$6:P$57),0)</f>
        <v>0.015846400858396</v>
      </c>
    </row>
    <row r="35" customFormat="false" ht="15" hidden="false" customHeight="false" outlineLevel="0" collapsed="false">
      <c r="A35" s="13" t="n">
        <v>30</v>
      </c>
      <c r="B35" s="29" t="n">
        <f aca="false">IFERROR((Settings!$B$10*'History Y-1'!U35*('History Y-1'!$S35&lt;&gt;"Y")+Settings!$B$11*'History Y-2'!U35*('History Y-2'!$S35&lt;&gt;"Y")+Settings!$B$12*'History Y-3'!U35*('History Y-3'!$S35&lt;&gt;"Y"))/(Settings!$B$10*('History Y-1'!$S35&lt;&gt;"Y")+Settings!$B$11*('History Y-2'!$S35&lt;&gt;"Y")+Settings!$B$12*('History Y-3'!$S35&lt;&gt;"Y")),'History Y-1'!U35)</f>
        <v>0.0215338348890598</v>
      </c>
      <c r="C35" s="23" t="n">
        <f aca="false">IFERROR((Settings!$B$10*'History Y-1'!V35*('History Y-1'!$S35&lt;&gt;"Y")+Settings!$B$11*'History Y-2'!V35*('History Y-2'!$S35&lt;&gt;"Y")+Settings!$B$12*'History Y-3'!V35*('History Y-3'!$S35&lt;&gt;"Y"))/(Settings!$B$10*('History Y-1'!$S35&lt;&gt;"Y")+Settings!$B$11*('History Y-2'!$S35&lt;&gt;"Y")+Settings!$B$12*('History Y-3'!$S35&lt;&gt;"Y")),'History Y-1'!V35)</f>
        <v>74.4248558900215</v>
      </c>
      <c r="D35" s="36" t="n">
        <f aca="false">IFERROR((Settings!$B$10*'History Y-1'!W35*('History Y-1'!$S35&lt;&gt;"Y")+Settings!$B$11*'History Y-2'!W35*('History Y-2'!$S35&lt;&gt;"Y")+Settings!$B$12*'History Y-3'!W35*('History Y-3'!$S35&lt;&gt;"Y"))/(Settings!$B$10*('History Y-1'!$S35&lt;&gt;"Y")+Settings!$B$11*('History Y-2'!$S35&lt;&gt;"Y")+Settings!$B$12*('History Y-3'!$S35&lt;&gt;"Y")),'History Y-1'!W35)</f>
        <v>1.92471961784452</v>
      </c>
      <c r="E35" s="31" t="n">
        <f aca="false">IFERROR((Settings!$B$10*'History Y-1'!X35*('History Y-1'!$S35&lt;&gt;"Y")+Settings!$B$11*'History Y-2'!X35*('History Y-2'!$S35&lt;&gt;"Y")+Settings!$B$12*'History Y-3'!X35*('History Y-3'!$S35&lt;&gt;"Y"))/(Settings!$B$10*('History Y-1'!$S35&lt;&gt;"Y")+Settings!$B$11*('History Y-2'!$S35&lt;&gt;"Y")+Settings!$B$12*('History Y-3'!$S35&lt;&gt;"Y")),'History Y-1'!X35)</f>
        <v>0.0754892189355552</v>
      </c>
      <c r="F35" s="31" t="n">
        <f aca="false">IFERROR((Settings!$B$10*'History Y-1'!Y35*('History Y-1'!$S35&lt;&gt;"Y")+Settings!$B$11*'History Y-2'!Y35*('History Y-2'!$S35&lt;&gt;"Y")+Settings!$B$12*'History Y-3'!Y35*('History Y-3'!$S35&lt;&gt;"Y"))/(Settings!$B$10*('History Y-1'!$S35&lt;&gt;"Y")+Settings!$B$11*('History Y-2'!$S35&lt;&gt;"Y")+Settings!$B$12*('History Y-3'!$S35&lt;&gt;"Y")),'History Y-1'!Y35)</f>
        <v>0.258790927758975</v>
      </c>
      <c r="G35" s="31" t="n">
        <f aca="false">IFERROR((Settings!$B$10*'History Y-1'!Z35*('History Y-1'!$S35&lt;&gt;"Y")+Settings!$B$11*'History Y-2'!Z35*('History Y-2'!$S35&lt;&gt;"Y")+Settings!$B$12*'History Y-3'!Z35*('History Y-3'!$S35&lt;&gt;"Y"))/(Settings!$B$10*('History Y-1'!$S35&lt;&gt;"Y")+Settings!$B$11*('History Y-2'!$S35&lt;&gt;"Y")+Settings!$B$12*('History Y-3'!$S35&lt;&gt;"Y")),'History Y-1'!Z35)</f>
        <v>0.34940731542668</v>
      </c>
      <c r="H35" s="23" t="n">
        <f aca="false">IFERROR((Settings!$B$10*'History Y-1'!AA35*('History Y-1'!$S35&lt;&gt;"Y")+Settings!$B$11*'History Y-2'!AA35*('History Y-2'!$S35&lt;&gt;"Y")+Settings!$B$12*'History Y-3'!AA35*('History Y-3'!$S35&lt;&gt;"Y"))/(Settings!$B$10*('History Y-1'!$S35&lt;&gt;"Y")+Settings!$B$11*('History Y-2'!$S35&lt;&gt;"Y")+Settings!$B$12*('History Y-3'!$S35&lt;&gt;"Y")),'History Y-1'!AA35)</f>
        <v>0.457037841235833</v>
      </c>
      <c r="I35" s="23" t="n">
        <f aca="false">IFERROR((Settings!$B$10*'History Y-1'!AB35*('History Y-1'!$S35&lt;&gt;"Y")+Settings!$B$11*'History Y-2'!AB35*('History Y-2'!$S35&lt;&gt;"Y")+Settings!$B$12*'History Y-3'!AB35*('History Y-3'!$S35&lt;&gt;"Y"))/(Settings!$B$10*('History Y-1'!$S35&lt;&gt;"Y")+Settings!$B$11*('History Y-2'!$S35&lt;&gt;"Y")+Settings!$B$12*('History Y-3'!$S35&lt;&gt;"Y")),'History Y-1'!AB35)</f>
        <v>0.348121959140179</v>
      </c>
      <c r="J35" s="23" t="n">
        <f aca="false">IFERROR((Settings!$B$10*'History Y-1'!AC35*('History Y-1'!$S35&lt;&gt;"Y")+Settings!$B$11*'History Y-2'!AC35*('History Y-2'!$S35&lt;&gt;"Y")+Settings!$B$12*'History Y-3'!AC35*('History Y-3'!$S35&lt;&gt;"Y"))/(Settings!$B$10*('History Y-1'!$S35&lt;&gt;"Y")+Settings!$B$11*('History Y-2'!$S35&lt;&gt;"Y")+Settings!$B$12*('History Y-3'!$S35&lt;&gt;"Y")),'History Y-1'!AC35)</f>
        <v>0.205398336451043</v>
      </c>
      <c r="K35" s="29" t="n">
        <f aca="false">IFERROR((Settings!$B$10*'History Y-1'!AD35*('History Y-1'!$S35&lt;&gt;"Y")+Settings!$B$11*'History Y-2'!AD35*('History Y-2'!$S35&lt;&gt;"Y")+Settings!$B$12*'History Y-3'!AD35*('History Y-3'!$S35&lt;&gt;"Y"))/(Settings!$B$10*('History Y-1'!$S35&lt;&gt;"Y")+Settings!$B$11*('History Y-2'!$S35&lt;&gt;"Y")+Settings!$B$12*('History Y-3'!$S35&lt;&gt;"Y")),'History Y-1'!AD35)</f>
        <v>0.0166486097377425</v>
      </c>
      <c r="L35" s="29" t="n">
        <f aca="false">IFERROR((Settings!$B$10*'History Y-1'!AE35*('History Y-1'!$S35&lt;&gt;"Y")+Settings!$B$11*'History Y-2'!AE35*('History Y-2'!$S35&lt;&gt;"Y")+Settings!$B$12*'History Y-3'!AE35*('History Y-3'!$S35&lt;&gt;"Y"))/(Settings!$B$10*('History Y-1'!$S35&lt;&gt;"Y")+Settings!$B$11*('History Y-2'!$S35&lt;&gt;"Y")+Settings!$B$12*('History Y-3'!$S35&lt;&gt;"Y")),'History Y-1'!AE35)</f>
        <v>0.014117343758296</v>
      </c>
      <c r="M35" s="29" t="n">
        <f aca="false">IFERROR((Settings!$B$10*'History Y-1'!AF35*('History Y-1'!$S35&lt;&gt;"Y")+Settings!$B$11*'History Y-2'!AF35*('History Y-2'!$S35&lt;&gt;"Y")+Settings!$B$12*'History Y-3'!AF35*('History Y-3'!$S35&lt;&gt;"Y"))/(Settings!$B$10*('History Y-1'!$S35&lt;&gt;"Y")+Settings!$B$11*('History Y-2'!$S35&lt;&gt;"Y")+Settings!$B$12*('History Y-3'!$S35&lt;&gt;"Y")),'History Y-1'!AF35)</f>
        <v>0.0162790823876032</v>
      </c>
      <c r="N35" s="29" t="n">
        <f aca="false">IFERROR((Settings!$B$10*'History Y-1'!AG35*('History Y-1'!$S35&lt;&gt;"Y")+Settings!$B$11*'History Y-2'!AG35*('History Y-2'!$S35&lt;&gt;"Y")+Settings!$B$12*'History Y-3'!AG35*('History Y-3'!$S35&lt;&gt;"Y"))/(Settings!$B$10*('History Y-1'!$S35&lt;&gt;"Y")+Settings!$B$11*('History Y-2'!$S35&lt;&gt;"Y")+Settings!$B$12*('History Y-3'!$S35&lt;&gt;"Y")),'History Y-1'!AG35)</f>
        <v>0.0158470631183982</v>
      </c>
      <c r="O35" s="29" t="n">
        <f aca="false">IFERROR((Settings!$B$10*'History Y-1'!AH35*('History Y-1'!$S35&lt;&gt;"Y")+Settings!$B$11*'History Y-2'!AH35*('History Y-2'!$S35&lt;&gt;"Y")+Settings!$B$12*'History Y-3'!AH35*('History Y-3'!$S35&lt;&gt;"Y"))/(Settings!$B$10*('History Y-1'!$S35&lt;&gt;"Y")+Settings!$B$11*('History Y-2'!$S35&lt;&gt;"Y")+Settings!$B$12*('History Y-3'!$S35&lt;&gt;"Y")),'History Y-1'!AH35)</f>
        <v>0.0166406944660611</v>
      </c>
      <c r="P35" s="29" t="n">
        <f aca="false">IFERROR((Settings!$B$10*'History Y-1'!AI35*('History Y-1'!$S35&lt;&gt;"Y")+Settings!$B$11*'History Y-2'!AI35*('History Y-2'!$S35&lt;&gt;"Y")+Settings!$B$12*'History Y-3'!AI35*('History Y-3'!$S35&lt;&gt;"Y"))/(Settings!$B$10*('History Y-1'!$S35&lt;&gt;"Y")+Settings!$B$11*('History Y-2'!$S35&lt;&gt;"Y")+Settings!$B$12*('History Y-3'!$S35&lt;&gt;"Y")),'History Y-1'!AI35)</f>
        <v>0.0158534588731202</v>
      </c>
      <c r="Q35" s="57" t="n">
        <f aca="false">IFERROR(K35/SUM(K$6:K$57),0)</f>
        <v>0.0166575730058876</v>
      </c>
      <c r="R35" s="57" t="n">
        <f aca="false">IFERROR(L35/SUM(L$6:L$57),0)</f>
        <v>0.0141294567949823</v>
      </c>
      <c r="S35" s="57" t="n">
        <f aca="false">IFERROR(M35/SUM(M$6:M$57),0)</f>
        <v>0.0163028008209635</v>
      </c>
      <c r="T35" s="57" t="n">
        <f aca="false">IFERROR(N35/SUM(N$6:N$57),0)</f>
        <v>0.0158919804716002</v>
      </c>
      <c r="U35" s="57" t="n">
        <f aca="false">IFERROR(O35/SUM(O$6:O$57),0)</f>
        <v>0.0166596044936919</v>
      </c>
      <c r="V35" s="57" t="n">
        <f aca="false">IFERROR(P35/SUM(P$6:P$57),0)</f>
        <v>0.0158956278699597</v>
      </c>
    </row>
    <row r="36" customFormat="false" ht="15" hidden="false" customHeight="false" outlineLevel="0" collapsed="false">
      <c r="A36" s="13" t="n">
        <v>31</v>
      </c>
      <c r="B36" s="29" t="n">
        <f aca="false">IFERROR((Settings!$B$10*'History Y-1'!U36*('History Y-1'!$S36&lt;&gt;"Y")+Settings!$B$11*'History Y-2'!U36*('History Y-2'!$S36&lt;&gt;"Y")+Settings!$B$12*'History Y-3'!U36*('History Y-3'!$S36&lt;&gt;"Y"))/(Settings!$B$10*('History Y-1'!$S36&lt;&gt;"Y")+Settings!$B$11*('History Y-2'!$S36&lt;&gt;"Y")+Settings!$B$12*('History Y-3'!$S36&lt;&gt;"Y")),'History Y-1'!U36)</f>
        <v>0.0216443170619504</v>
      </c>
      <c r="C36" s="23" t="n">
        <f aca="false">IFERROR((Settings!$B$10*'History Y-1'!V36*('History Y-1'!$S36&lt;&gt;"Y")+Settings!$B$11*'History Y-2'!V36*('History Y-2'!$S36&lt;&gt;"Y")+Settings!$B$12*'History Y-3'!V36*('History Y-3'!$S36&lt;&gt;"Y"))/(Settings!$B$10*('History Y-1'!$S36&lt;&gt;"Y")+Settings!$B$11*('History Y-2'!$S36&lt;&gt;"Y")+Settings!$B$12*('History Y-3'!$S36&lt;&gt;"Y")),'History Y-1'!V36)</f>
        <v>75.4834997338636</v>
      </c>
      <c r="D36" s="36" t="n">
        <f aca="false">IFERROR((Settings!$B$10*'History Y-1'!W36*('History Y-1'!$S36&lt;&gt;"Y")+Settings!$B$11*'History Y-2'!W36*('History Y-2'!$S36&lt;&gt;"Y")+Settings!$B$12*'History Y-3'!W36*('History Y-3'!$S36&lt;&gt;"Y"))/(Settings!$B$10*('History Y-1'!$S36&lt;&gt;"Y")+Settings!$B$11*('History Y-2'!$S36&lt;&gt;"Y")+Settings!$B$12*('History Y-3'!$S36&lt;&gt;"Y")),'History Y-1'!W36)</f>
        <v>1.8765876019286</v>
      </c>
      <c r="E36" s="31" t="n">
        <f aca="false">IFERROR((Settings!$B$10*'History Y-1'!X36*('History Y-1'!$S36&lt;&gt;"Y")+Settings!$B$11*'History Y-2'!X36*('History Y-2'!$S36&lt;&gt;"Y")+Settings!$B$12*'History Y-3'!X36*('History Y-3'!$S36&lt;&gt;"Y"))/(Settings!$B$10*('History Y-1'!$S36&lt;&gt;"Y")+Settings!$B$11*('History Y-2'!$S36&lt;&gt;"Y")+Settings!$B$12*('History Y-3'!$S36&lt;&gt;"Y")),'History Y-1'!X36)</f>
        <v>0.0805213762822993</v>
      </c>
      <c r="F36" s="31" t="n">
        <f aca="false">IFERROR((Settings!$B$10*'History Y-1'!Y36*('History Y-1'!$S36&lt;&gt;"Y")+Settings!$B$11*'History Y-2'!Y36*('History Y-2'!$S36&lt;&gt;"Y")+Settings!$B$12*'History Y-3'!Y36*('History Y-3'!$S36&lt;&gt;"Y"))/(Settings!$B$10*('History Y-1'!$S36&lt;&gt;"Y")+Settings!$B$11*('History Y-2'!$S36&lt;&gt;"Y")+Settings!$B$12*('History Y-3'!$S36&lt;&gt;"Y")),'History Y-1'!Y36)</f>
        <v>0.257414351755172</v>
      </c>
      <c r="G36" s="31" t="n">
        <f aca="false">IFERROR((Settings!$B$10*'History Y-1'!Z36*('History Y-1'!$S36&lt;&gt;"Y")+Settings!$B$11*'History Y-2'!Z36*('History Y-2'!$S36&lt;&gt;"Y")+Settings!$B$12*'History Y-3'!Z36*('History Y-3'!$S36&lt;&gt;"Y"))/(Settings!$B$10*('History Y-1'!$S36&lt;&gt;"Y")+Settings!$B$11*('History Y-2'!$S36&lt;&gt;"Y")+Settings!$B$12*('History Y-3'!$S36&lt;&gt;"Y")),'History Y-1'!Z36)</f>
        <v>0.347571672377801</v>
      </c>
      <c r="H36" s="23" t="n">
        <f aca="false">IFERROR((Settings!$B$10*'History Y-1'!AA36*('History Y-1'!$S36&lt;&gt;"Y")+Settings!$B$11*'History Y-2'!AA36*('History Y-2'!$S36&lt;&gt;"Y")+Settings!$B$12*'History Y-3'!AA36*('History Y-3'!$S36&lt;&gt;"Y"))/(Settings!$B$10*('History Y-1'!$S36&lt;&gt;"Y")+Settings!$B$11*('History Y-2'!$S36&lt;&gt;"Y")+Settings!$B$12*('History Y-3'!$S36&lt;&gt;"Y")),'History Y-1'!AA36)</f>
        <v>0.449490358091826</v>
      </c>
      <c r="I36" s="23" t="n">
        <f aca="false">IFERROR((Settings!$B$10*'History Y-1'!AB36*('History Y-1'!$S36&lt;&gt;"Y")+Settings!$B$11*'History Y-2'!AB36*('History Y-2'!$S36&lt;&gt;"Y")+Settings!$B$12*'History Y-3'!AB36*('History Y-3'!$S36&lt;&gt;"Y"))/(Settings!$B$10*('History Y-1'!$S36&lt;&gt;"Y")+Settings!$B$11*('History Y-2'!$S36&lt;&gt;"Y")+Settings!$B$12*('History Y-3'!$S36&lt;&gt;"Y")),'History Y-1'!AB36)</f>
        <v>0.335716699342412</v>
      </c>
      <c r="J36" s="23" t="n">
        <f aca="false">IFERROR((Settings!$B$10*'History Y-1'!AC36*('History Y-1'!$S36&lt;&gt;"Y")+Settings!$B$11*'History Y-2'!AC36*('History Y-2'!$S36&lt;&gt;"Y")+Settings!$B$12*'History Y-3'!AC36*('History Y-3'!$S36&lt;&gt;"Y"))/(Settings!$B$10*('History Y-1'!$S36&lt;&gt;"Y")+Settings!$B$11*('History Y-2'!$S36&lt;&gt;"Y")+Settings!$B$12*('History Y-3'!$S36&lt;&gt;"Y")),'History Y-1'!AC36)</f>
        <v>0.208205390797374</v>
      </c>
      <c r="K36" s="29" t="n">
        <f aca="false">IFERROR((Settings!$B$10*'History Y-1'!AD36*('History Y-1'!$S36&lt;&gt;"Y")+Settings!$B$11*'History Y-2'!AD36*('History Y-2'!$S36&lt;&gt;"Y")+Settings!$B$12*'History Y-3'!AD36*('History Y-3'!$S36&lt;&gt;"Y"))/(Settings!$B$10*('History Y-1'!$S36&lt;&gt;"Y")+Settings!$B$11*('History Y-2'!$S36&lt;&gt;"Y")+Settings!$B$12*('History Y-3'!$S36&lt;&gt;"Y")),'History Y-1'!AD36)</f>
        <v>0.0171747435809578</v>
      </c>
      <c r="L36" s="29" t="n">
        <f aca="false">IFERROR((Settings!$B$10*'History Y-1'!AE36*('History Y-1'!$S36&lt;&gt;"Y")+Settings!$B$11*'History Y-2'!AE36*('History Y-2'!$S36&lt;&gt;"Y")+Settings!$B$12*'History Y-3'!AE36*('History Y-3'!$S36&lt;&gt;"Y"))/(Settings!$B$10*('History Y-1'!$S36&lt;&gt;"Y")+Settings!$B$11*('History Y-2'!$S36&lt;&gt;"Y")+Settings!$B$12*('History Y-3'!$S36&lt;&gt;"Y")),'History Y-1'!AE36)</f>
        <v>0.0152159710420655</v>
      </c>
      <c r="M36" s="29" t="n">
        <f aca="false">IFERROR((Settings!$B$10*'History Y-1'!AF36*('History Y-1'!$S36&lt;&gt;"Y")+Settings!$B$11*'History Y-2'!AF36*('History Y-2'!$S36&lt;&gt;"Y")+Settings!$B$12*'History Y-3'!AF36*('History Y-3'!$S36&lt;&gt;"Y"))/(Settings!$B$10*('History Y-1'!$S36&lt;&gt;"Y")+Settings!$B$11*('History Y-2'!$S36&lt;&gt;"Y")+Settings!$B$12*('History Y-3'!$S36&lt;&gt;"Y")),'History Y-1'!AF36)</f>
        <v>0.0172910964351591</v>
      </c>
      <c r="N36" s="29" t="n">
        <f aca="false">IFERROR((Settings!$B$10*'History Y-1'!AG36*('History Y-1'!$S36&lt;&gt;"Y")+Settings!$B$11*'History Y-2'!AG36*('History Y-2'!$S36&lt;&gt;"Y")+Settings!$B$12*'History Y-3'!AG36*('History Y-3'!$S36&lt;&gt;"Y"))/(Settings!$B$10*('History Y-1'!$S36&lt;&gt;"Y")+Settings!$B$11*('History Y-2'!$S36&lt;&gt;"Y")+Settings!$B$12*('History Y-3'!$S36&lt;&gt;"Y")),'History Y-1'!AG36)</f>
        <v>0.0164947326017223</v>
      </c>
      <c r="O36" s="29" t="n">
        <f aca="false">IFERROR((Settings!$B$10*'History Y-1'!AH36*('History Y-1'!$S36&lt;&gt;"Y")+Settings!$B$11*'History Y-2'!AH36*('History Y-2'!$S36&lt;&gt;"Y")+Settings!$B$12*'History Y-3'!AH36*('History Y-3'!$S36&lt;&gt;"Y"))/(Settings!$B$10*('History Y-1'!$S36&lt;&gt;"Y")+Settings!$B$11*('History Y-2'!$S36&lt;&gt;"Y")+Settings!$B$12*('History Y-3'!$S36&lt;&gt;"Y")),'History Y-1'!AH36)</f>
        <v>0.0165446704719775</v>
      </c>
      <c r="P36" s="29" t="n">
        <f aca="false">IFERROR((Settings!$B$10*'History Y-1'!AI36*('History Y-1'!$S36&lt;&gt;"Y")+Settings!$B$11*'History Y-2'!AI36*('History Y-2'!$S36&lt;&gt;"Y")+Settings!$B$12*'History Y-3'!AI36*('History Y-3'!$S36&lt;&gt;"Y"))/(Settings!$B$10*('History Y-1'!$S36&lt;&gt;"Y")+Settings!$B$11*('History Y-2'!$S36&lt;&gt;"Y")+Settings!$B$12*('History Y-3'!$S36&lt;&gt;"Y")),'History Y-1'!AI36)</f>
        <v>0.0174537671384954</v>
      </c>
      <c r="Q36" s="57" t="n">
        <f aca="false">IFERROR(K36/SUM(K$6:K$57),0)</f>
        <v>0.0171839901087138</v>
      </c>
      <c r="R36" s="57" t="n">
        <f aca="false">IFERROR(L36/SUM(L$6:L$57),0)</f>
        <v>0.0152290267286455</v>
      </c>
      <c r="S36" s="57" t="n">
        <f aca="false">IFERROR(M36/SUM(M$6:M$57),0)</f>
        <v>0.0173162893611951</v>
      </c>
      <c r="T36" s="57" t="n">
        <f aca="false">IFERROR(N36/SUM(N$6:N$57),0)</f>
        <v>0.0165414857271884</v>
      </c>
      <c r="U36" s="57" t="n">
        <f aca="false">IFERROR(O36/SUM(O$6:O$57),0)</f>
        <v>0.0165634713805818</v>
      </c>
      <c r="V36" s="57" t="n">
        <f aca="false">IFERROR(P36/SUM(P$6:P$57),0)</f>
        <v>0.0175001928338084</v>
      </c>
    </row>
    <row r="37" customFormat="false" ht="15" hidden="false" customHeight="false" outlineLevel="0" collapsed="false">
      <c r="A37" s="13" t="n">
        <v>32</v>
      </c>
      <c r="B37" s="29" t="n">
        <f aca="false">IFERROR((Settings!$B$10*'History Y-1'!U37*('History Y-1'!$S37&lt;&gt;"Y")+Settings!$B$11*'History Y-2'!U37*('History Y-2'!$S37&lt;&gt;"Y")+Settings!$B$12*'History Y-3'!U37*('History Y-3'!$S37&lt;&gt;"Y"))/(Settings!$B$10*('History Y-1'!$S37&lt;&gt;"Y")+Settings!$B$11*('History Y-2'!$S37&lt;&gt;"Y")+Settings!$B$12*('History Y-3'!$S37&lt;&gt;"Y")),'History Y-1'!U37)</f>
        <v>0.0217063484929189</v>
      </c>
      <c r="C37" s="23" t="n">
        <f aca="false">IFERROR((Settings!$B$10*'History Y-1'!V37*('History Y-1'!$S37&lt;&gt;"Y")+Settings!$B$11*'History Y-2'!V37*('History Y-2'!$S37&lt;&gt;"Y")+Settings!$B$12*'History Y-3'!V37*('History Y-3'!$S37&lt;&gt;"Y"))/(Settings!$B$10*('History Y-1'!$S37&lt;&gt;"Y")+Settings!$B$11*('History Y-2'!$S37&lt;&gt;"Y")+Settings!$B$12*('History Y-3'!$S37&lt;&gt;"Y")),'History Y-1'!V37)</f>
        <v>74.1693683902397</v>
      </c>
      <c r="D37" s="36" t="n">
        <f aca="false">IFERROR((Settings!$B$10*'History Y-1'!W37*('History Y-1'!$S37&lt;&gt;"Y")+Settings!$B$11*'History Y-2'!W37*('History Y-2'!$S37&lt;&gt;"Y")+Settings!$B$12*'History Y-3'!W37*('History Y-3'!$S37&lt;&gt;"Y"))/(Settings!$B$10*('History Y-1'!$S37&lt;&gt;"Y")+Settings!$B$11*('History Y-2'!$S37&lt;&gt;"Y")+Settings!$B$12*('History Y-3'!$S37&lt;&gt;"Y")),'History Y-1'!W37)</f>
        <v>1.8865180624504</v>
      </c>
      <c r="E37" s="31" t="n">
        <f aca="false">IFERROR((Settings!$B$10*'History Y-1'!X37*('History Y-1'!$S37&lt;&gt;"Y")+Settings!$B$11*'History Y-2'!X37*('History Y-2'!$S37&lt;&gt;"Y")+Settings!$B$12*'History Y-3'!X37*('History Y-3'!$S37&lt;&gt;"Y"))/(Settings!$B$10*('History Y-1'!$S37&lt;&gt;"Y")+Settings!$B$11*('History Y-2'!$S37&lt;&gt;"Y")+Settings!$B$12*('History Y-3'!$S37&lt;&gt;"Y")),'History Y-1'!X37)</f>
        <v>0.080986075860196</v>
      </c>
      <c r="F37" s="31" t="n">
        <f aca="false">IFERROR((Settings!$B$10*'History Y-1'!Y37*('History Y-1'!$S37&lt;&gt;"Y")+Settings!$B$11*'History Y-2'!Y37*('History Y-2'!$S37&lt;&gt;"Y")+Settings!$B$12*'History Y-3'!Y37*('History Y-3'!$S37&lt;&gt;"Y"))/(Settings!$B$10*('History Y-1'!$S37&lt;&gt;"Y")+Settings!$B$11*('History Y-2'!$S37&lt;&gt;"Y")+Settings!$B$12*('History Y-3'!$S37&lt;&gt;"Y")),'History Y-1'!Y37)</f>
        <v>0.261753859014964</v>
      </c>
      <c r="G37" s="31" t="n">
        <f aca="false">IFERROR((Settings!$B$10*'History Y-1'!Z37*('History Y-1'!$S37&lt;&gt;"Y")+Settings!$B$11*'History Y-2'!Z37*('History Y-2'!$S37&lt;&gt;"Y")+Settings!$B$12*'History Y-3'!Z37*('History Y-3'!$S37&lt;&gt;"Y"))/(Settings!$B$10*('History Y-1'!$S37&lt;&gt;"Y")+Settings!$B$11*('History Y-2'!$S37&lt;&gt;"Y")+Settings!$B$12*('History Y-3'!$S37&lt;&gt;"Y")),'History Y-1'!Z37)</f>
        <v>0.338997940474332</v>
      </c>
      <c r="H37" s="23" t="n">
        <f aca="false">IFERROR((Settings!$B$10*'History Y-1'!AA37*('History Y-1'!$S37&lt;&gt;"Y")+Settings!$B$11*'History Y-2'!AA37*('History Y-2'!$S37&lt;&gt;"Y")+Settings!$B$12*'History Y-3'!AA37*('History Y-3'!$S37&lt;&gt;"Y"))/(Settings!$B$10*('History Y-1'!$S37&lt;&gt;"Y")+Settings!$B$11*('History Y-2'!$S37&lt;&gt;"Y")+Settings!$B$12*('History Y-3'!$S37&lt;&gt;"Y")),'History Y-1'!AA37)</f>
        <v>0.447681732807288</v>
      </c>
      <c r="I37" s="23" t="n">
        <f aca="false">IFERROR((Settings!$B$10*'History Y-1'!AB37*('History Y-1'!$S37&lt;&gt;"Y")+Settings!$B$11*'History Y-2'!AB37*('History Y-2'!$S37&lt;&gt;"Y")+Settings!$B$12*'History Y-3'!AB37*('History Y-3'!$S37&lt;&gt;"Y"))/(Settings!$B$10*('History Y-1'!$S37&lt;&gt;"Y")+Settings!$B$11*('History Y-2'!$S37&lt;&gt;"Y")+Settings!$B$12*('History Y-3'!$S37&lt;&gt;"Y")),'History Y-1'!AB37)</f>
        <v>0.350877667083202</v>
      </c>
      <c r="J37" s="23" t="n">
        <f aca="false">IFERROR((Settings!$B$10*'History Y-1'!AC37*('History Y-1'!$S37&lt;&gt;"Y")+Settings!$B$11*'History Y-2'!AC37*('History Y-2'!$S37&lt;&gt;"Y")+Settings!$B$12*'History Y-3'!AC37*('History Y-3'!$S37&lt;&gt;"Y"))/(Settings!$B$10*('History Y-1'!$S37&lt;&gt;"Y")+Settings!$B$11*('History Y-2'!$S37&lt;&gt;"Y")+Settings!$B$12*('History Y-3'!$S37&lt;&gt;"Y")),'History Y-1'!AC37)</f>
        <v>0.211241189295379</v>
      </c>
      <c r="K37" s="29" t="n">
        <f aca="false">IFERROR((Settings!$B$10*'History Y-1'!AD37*('History Y-1'!$S37&lt;&gt;"Y")+Settings!$B$11*'History Y-2'!AD37*('History Y-2'!$S37&lt;&gt;"Y")+Settings!$B$12*'History Y-3'!AD37*('History Y-3'!$S37&lt;&gt;"Y"))/(Settings!$B$10*('History Y-1'!$S37&lt;&gt;"Y")+Settings!$B$11*('History Y-2'!$S37&lt;&gt;"Y")+Settings!$B$12*('History Y-3'!$S37&lt;&gt;"Y")),'History Y-1'!AD37)</f>
        <v>0.0166117127793383</v>
      </c>
      <c r="L37" s="29" t="n">
        <f aca="false">IFERROR((Settings!$B$10*'History Y-1'!AE37*('History Y-1'!$S37&lt;&gt;"Y")+Settings!$B$11*'History Y-2'!AE37*('History Y-2'!$S37&lt;&gt;"Y")+Settings!$B$12*'History Y-3'!AE37*('History Y-3'!$S37&lt;&gt;"Y"))/(Settings!$B$10*('History Y-1'!$S37&lt;&gt;"Y")+Settings!$B$11*('History Y-2'!$S37&lt;&gt;"Y")+Settings!$B$12*('History Y-3'!$S37&lt;&gt;"Y")),'History Y-1'!AE37)</f>
        <v>0.015922622845252</v>
      </c>
      <c r="M37" s="29" t="n">
        <f aca="false">IFERROR((Settings!$B$10*'History Y-1'!AF37*('History Y-1'!$S37&lt;&gt;"Y")+Settings!$B$11*'History Y-2'!AF37*('History Y-2'!$S37&lt;&gt;"Y")+Settings!$B$12*'History Y-3'!AF37*('History Y-3'!$S37&lt;&gt;"Y"))/(Settings!$B$10*('History Y-1'!$S37&lt;&gt;"Y")+Settings!$B$11*('History Y-2'!$S37&lt;&gt;"Y")+Settings!$B$12*('History Y-3'!$S37&lt;&gt;"Y")),'History Y-1'!AF37)</f>
        <v>0.0163530085911659</v>
      </c>
      <c r="N37" s="29" t="n">
        <f aca="false">IFERROR((Settings!$B$10*'History Y-1'!AG37*('History Y-1'!$S37&lt;&gt;"Y")+Settings!$B$11*'History Y-2'!AG37*('History Y-2'!$S37&lt;&gt;"Y")+Settings!$B$12*'History Y-3'!AG37*('History Y-3'!$S37&lt;&gt;"Y"))/(Settings!$B$10*('History Y-1'!$S37&lt;&gt;"Y")+Settings!$B$11*('History Y-2'!$S37&lt;&gt;"Y")+Settings!$B$12*('History Y-3'!$S37&lt;&gt;"Y")),'History Y-1'!AG37)</f>
        <v>0.0166640714951261</v>
      </c>
      <c r="O37" s="29" t="n">
        <f aca="false">IFERROR((Settings!$B$10*'History Y-1'!AH37*('History Y-1'!$S37&lt;&gt;"Y")+Settings!$B$11*'History Y-2'!AH37*('History Y-2'!$S37&lt;&gt;"Y")+Settings!$B$12*'History Y-3'!AH37*('History Y-3'!$S37&lt;&gt;"Y"))/(Settings!$B$10*('History Y-1'!$S37&lt;&gt;"Y")+Settings!$B$11*('History Y-2'!$S37&lt;&gt;"Y")+Settings!$B$12*('History Y-3'!$S37&lt;&gt;"Y")),'History Y-1'!AH37)</f>
        <v>0.0169226202712149</v>
      </c>
      <c r="P37" s="29" t="n">
        <f aca="false">IFERROR((Settings!$B$10*'History Y-1'!AI37*('History Y-1'!$S37&lt;&gt;"Y")+Settings!$B$11*'History Y-2'!AI37*('History Y-2'!$S37&lt;&gt;"Y")+Settings!$B$12*'History Y-3'!AI37*('History Y-3'!$S37&lt;&gt;"Y"))/(Settings!$B$10*('History Y-1'!$S37&lt;&gt;"Y")+Settings!$B$11*('History Y-2'!$S37&lt;&gt;"Y")+Settings!$B$12*('History Y-3'!$S37&lt;&gt;"Y")),'History Y-1'!AI37)</f>
        <v>0.0173403935855337</v>
      </c>
      <c r="Q37" s="57" t="n">
        <f aca="false">IFERROR(K37/SUM(K$6:K$57),0)</f>
        <v>0.0166206561829218</v>
      </c>
      <c r="R37" s="57" t="n">
        <f aca="false">IFERROR(L37/SUM(L$6:L$57),0)</f>
        <v>0.015936284856886</v>
      </c>
      <c r="S37" s="57" t="n">
        <f aca="false">IFERROR(M37/SUM(M$6:M$57),0)</f>
        <v>0.0163768347341435</v>
      </c>
      <c r="T37" s="57" t="n">
        <f aca="false">IFERROR(N37/SUM(N$6:N$57),0)</f>
        <v>0.0167113045994267</v>
      </c>
      <c r="U37" s="57" t="n">
        <f aca="false">IFERROR(O37/SUM(O$6:O$57),0)</f>
        <v>0.0169418506715788</v>
      </c>
      <c r="V37" s="57" t="n">
        <f aca="false">IFERROR(P37/SUM(P$6:P$57),0)</f>
        <v>0.0173865177158043</v>
      </c>
    </row>
    <row r="38" customFormat="false" ht="15" hidden="false" customHeight="false" outlineLevel="0" collapsed="false">
      <c r="A38" s="13" t="n">
        <v>33</v>
      </c>
      <c r="B38" s="29" t="n">
        <f aca="false">IFERROR((Settings!$B$10*'History Y-1'!U38*('History Y-1'!$S38&lt;&gt;"Y")+Settings!$B$11*'History Y-2'!U38*('History Y-2'!$S38&lt;&gt;"Y")+Settings!$B$12*'History Y-3'!U38*('History Y-3'!$S38&lt;&gt;"Y"))/(Settings!$B$10*('History Y-1'!$S38&lt;&gt;"Y")+Settings!$B$11*('History Y-2'!$S38&lt;&gt;"Y")+Settings!$B$12*('History Y-3'!$S38&lt;&gt;"Y")),'History Y-1'!U38)</f>
        <v>0.0218732569489102</v>
      </c>
      <c r="C38" s="23" t="n">
        <f aca="false">IFERROR((Settings!$B$10*'History Y-1'!V38*('History Y-1'!$S38&lt;&gt;"Y")+Settings!$B$11*'History Y-2'!V38*('History Y-2'!$S38&lt;&gt;"Y")+Settings!$B$12*'History Y-3'!V38*('History Y-3'!$S38&lt;&gt;"Y"))/(Settings!$B$10*('History Y-1'!$S38&lt;&gt;"Y")+Settings!$B$11*('History Y-2'!$S38&lt;&gt;"Y")+Settings!$B$12*('History Y-3'!$S38&lt;&gt;"Y")),'History Y-1'!V38)</f>
        <v>75.638786610172</v>
      </c>
      <c r="D38" s="36" t="n">
        <f aca="false">IFERROR((Settings!$B$10*'History Y-1'!W38*('History Y-1'!$S38&lt;&gt;"Y")+Settings!$B$11*'History Y-2'!W38*('History Y-2'!$S38&lt;&gt;"Y")+Settings!$B$12*'History Y-3'!W38*('History Y-3'!$S38&lt;&gt;"Y"))/(Settings!$B$10*('History Y-1'!$S38&lt;&gt;"Y")+Settings!$B$11*('History Y-2'!$S38&lt;&gt;"Y")+Settings!$B$12*('History Y-3'!$S38&lt;&gt;"Y")),'History Y-1'!W38)</f>
        <v>1.90754087953796</v>
      </c>
      <c r="E38" s="31" t="n">
        <f aca="false">IFERROR((Settings!$B$10*'History Y-1'!X38*('History Y-1'!$S38&lt;&gt;"Y")+Settings!$B$11*'History Y-2'!X38*('History Y-2'!$S38&lt;&gt;"Y")+Settings!$B$12*'History Y-3'!X38*('History Y-3'!$S38&lt;&gt;"Y"))/(Settings!$B$10*('History Y-1'!$S38&lt;&gt;"Y")+Settings!$B$11*('History Y-2'!$S38&lt;&gt;"Y")+Settings!$B$12*('History Y-3'!$S38&lt;&gt;"Y")),'History Y-1'!X38)</f>
        <v>0.0838004019382567</v>
      </c>
      <c r="F38" s="31" t="n">
        <f aca="false">IFERROR((Settings!$B$10*'History Y-1'!Y38*('History Y-1'!$S38&lt;&gt;"Y")+Settings!$B$11*'History Y-2'!Y38*('History Y-2'!$S38&lt;&gt;"Y")+Settings!$B$12*'History Y-3'!Y38*('History Y-3'!$S38&lt;&gt;"Y"))/(Settings!$B$10*('History Y-1'!$S38&lt;&gt;"Y")+Settings!$B$11*('History Y-2'!$S38&lt;&gt;"Y")+Settings!$B$12*('History Y-3'!$S38&lt;&gt;"Y")),'History Y-1'!Y38)</f>
        <v>0.263412153329654</v>
      </c>
      <c r="G38" s="31" t="n">
        <f aca="false">IFERROR((Settings!$B$10*'History Y-1'!Z38*('History Y-1'!$S38&lt;&gt;"Y")+Settings!$B$11*'History Y-2'!Z38*('History Y-2'!$S38&lt;&gt;"Y")+Settings!$B$12*'History Y-3'!Z38*('History Y-3'!$S38&lt;&gt;"Y"))/(Settings!$B$10*('History Y-1'!$S38&lt;&gt;"Y")+Settings!$B$11*('History Y-2'!$S38&lt;&gt;"Y")+Settings!$B$12*('History Y-3'!$S38&lt;&gt;"Y")),'History Y-1'!Z38)</f>
        <v>0.359163802757599</v>
      </c>
      <c r="H38" s="23" t="n">
        <f aca="false">IFERROR((Settings!$B$10*'History Y-1'!AA38*('History Y-1'!$S38&lt;&gt;"Y")+Settings!$B$11*'History Y-2'!AA38*('History Y-2'!$S38&lt;&gt;"Y")+Settings!$B$12*'History Y-3'!AA38*('History Y-3'!$S38&lt;&gt;"Y"))/(Settings!$B$10*('History Y-1'!$S38&lt;&gt;"Y")+Settings!$B$11*('History Y-2'!$S38&lt;&gt;"Y")+Settings!$B$12*('History Y-3'!$S38&lt;&gt;"Y")),'History Y-1'!AA38)</f>
        <v>0.458152340158634</v>
      </c>
      <c r="I38" s="23" t="n">
        <f aca="false">IFERROR((Settings!$B$10*'History Y-1'!AB38*('History Y-1'!$S38&lt;&gt;"Y")+Settings!$B$11*'History Y-2'!AB38*('History Y-2'!$S38&lt;&gt;"Y")+Settings!$B$12*'History Y-3'!AB38*('History Y-3'!$S38&lt;&gt;"Y"))/(Settings!$B$10*('History Y-1'!$S38&lt;&gt;"Y")+Settings!$B$11*('History Y-2'!$S38&lt;&gt;"Y")+Settings!$B$12*('History Y-3'!$S38&lt;&gt;"Y")),'History Y-1'!AB38)</f>
        <v>0.33065766989199</v>
      </c>
      <c r="J38" s="23" t="n">
        <f aca="false">IFERROR((Settings!$B$10*'History Y-1'!AC38*('History Y-1'!$S38&lt;&gt;"Y")+Settings!$B$11*'History Y-2'!AC38*('History Y-2'!$S38&lt;&gt;"Y")+Settings!$B$12*'History Y-3'!AC38*('History Y-3'!$S38&lt;&gt;"Y"))/(Settings!$B$10*('History Y-1'!$S38&lt;&gt;"Y")+Settings!$B$11*('History Y-2'!$S38&lt;&gt;"Y")+Settings!$B$12*('History Y-3'!$S38&lt;&gt;"Y")),'History Y-1'!AC38)</f>
        <v>0.204058804741296</v>
      </c>
      <c r="K38" s="29" t="n">
        <f aca="false">IFERROR((Settings!$B$10*'History Y-1'!AD38*('History Y-1'!$S38&lt;&gt;"Y")+Settings!$B$11*'History Y-2'!AD38*('History Y-2'!$S38&lt;&gt;"Y")+Settings!$B$12*'History Y-3'!AD38*('History Y-3'!$S38&lt;&gt;"Y"))/(Settings!$B$10*('History Y-1'!$S38&lt;&gt;"Y")+Settings!$B$11*('History Y-2'!$S38&lt;&gt;"Y")+Settings!$B$12*('History Y-3'!$S38&lt;&gt;"Y")),'History Y-1'!AD38)</f>
        <v>0.0166589501776379</v>
      </c>
      <c r="L38" s="29" t="n">
        <f aca="false">IFERROR((Settings!$B$10*'History Y-1'!AE38*('History Y-1'!$S38&lt;&gt;"Y")+Settings!$B$11*'History Y-2'!AE38*('History Y-2'!$S38&lt;&gt;"Y")+Settings!$B$12*'History Y-3'!AE38*('History Y-3'!$S38&lt;&gt;"Y"))/(Settings!$B$10*('History Y-1'!$S38&lt;&gt;"Y")+Settings!$B$11*('History Y-2'!$S38&lt;&gt;"Y")+Settings!$B$12*('History Y-3'!$S38&lt;&gt;"Y")),'History Y-1'!AE38)</f>
        <v>0.0151973223513739</v>
      </c>
      <c r="M38" s="29" t="n">
        <f aca="false">IFERROR((Settings!$B$10*'History Y-1'!AF38*('History Y-1'!$S38&lt;&gt;"Y")+Settings!$B$11*'History Y-2'!AF38*('History Y-2'!$S38&lt;&gt;"Y")+Settings!$B$12*'History Y-3'!AF38*('History Y-3'!$S38&lt;&gt;"Y"))/(Settings!$B$10*('History Y-1'!$S38&lt;&gt;"Y")+Settings!$B$11*('History Y-2'!$S38&lt;&gt;"Y")+Settings!$B$12*('History Y-3'!$S38&lt;&gt;"Y")),'History Y-1'!AF38)</f>
        <v>0.016368122117628</v>
      </c>
      <c r="N38" s="29" t="n">
        <f aca="false">IFERROR((Settings!$B$10*'History Y-1'!AG38*('History Y-1'!$S38&lt;&gt;"Y")+Settings!$B$11*'History Y-2'!AG38*('History Y-2'!$S38&lt;&gt;"Y")+Settings!$B$12*'History Y-3'!AG38*('History Y-3'!$S38&lt;&gt;"Y"))/(Settings!$B$10*('History Y-1'!$S38&lt;&gt;"Y")+Settings!$B$11*('History Y-2'!$S38&lt;&gt;"Y")+Settings!$B$12*('History Y-3'!$S38&lt;&gt;"Y")),'History Y-1'!AG38)</f>
        <v>0.0165130915163577</v>
      </c>
      <c r="O38" s="29" t="n">
        <f aca="false">IFERROR((Settings!$B$10*'History Y-1'!AH38*('History Y-1'!$S38&lt;&gt;"Y")+Settings!$B$11*'History Y-2'!AH38*('History Y-2'!$S38&lt;&gt;"Y")+Settings!$B$12*'History Y-3'!AH38*('History Y-3'!$S38&lt;&gt;"Y"))/(Settings!$B$10*('History Y-1'!$S38&lt;&gt;"Y")+Settings!$B$11*('History Y-2'!$S38&lt;&gt;"Y")+Settings!$B$12*('History Y-3'!$S38&lt;&gt;"Y")),'History Y-1'!AH38)</f>
        <v>0.0161142143337236</v>
      </c>
      <c r="P38" s="29" t="n">
        <f aca="false">IFERROR((Settings!$B$10*'History Y-1'!AI38*('History Y-1'!$S38&lt;&gt;"Y")+Settings!$B$11*'History Y-2'!AI38*('History Y-2'!$S38&lt;&gt;"Y")+Settings!$B$12*'History Y-3'!AI38*('History Y-3'!$S38&lt;&gt;"Y"))/(Settings!$B$10*('History Y-1'!$S38&lt;&gt;"Y")+Settings!$B$11*('History Y-2'!$S38&lt;&gt;"Y")+Settings!$B$12*('History Y-3'!$S38&lt;&gt;"Y")),'History Y-1'!AI38)</f>
        <v>0.0162632777595156</v>
      </c>
      <c r="Q38" s="57" t="n">
        <f aca="false">IFERROR(K38/SUM(K$6:K$57),0)</f>
        <v>0.0166679190128625</v>
      </c>
      <c r="R38" s="57" t="n">
        <f aca="false">IFERROR(L38/SUM(L$6:L$57),0)</f>
        <v>0.0152103620369074</v>
      </c>
      <c r="S38" s="57" t="n">
        <f aca="false">IFERROR(M38/SUM(M$6:M$57),0)</f>
        <v>0.0163919702808375</v>
      </c>
      <c r="T38" s="57" t="n">
        <f aca="false">IFERROR(N38/SUM(N$6:N$57),0)</f>
        <v>0.0165598966788383</v>
      </c>
      <c r="U38" s="57" t="n">
        <f aca="false">IFERROR(O38/SUM(O$6:O$57),0)</f>
        <v>0.0161325260838083</v>
      </c>
      <c r="V38" s="57" t="n">
        <f aca="false">IFERROR(P38/SUM(P$6:P$57),0)</f>
        <v>0.0163065368434751</v>
      </c>
    </row>
    <row r="39" customFormat="false" ht="15" hidden="false" customHeight="false" outlineLevel="0" collapsed="false">
      <c r="A39" s="13" t="n">
        <v>34</v>
      </c>
      <c r="B39" s="29" t="n">
        <f aca="false">IFERROR((Settings!$B$10*'History Y-1'!U39*('History Y-1'!$S39&lt;&gt;"Y")+Settings!$B$11*'History Y-2'!U39*('History Y-2'!$S39&lt;&gt;"Y")+Settings!$B$12*'History Y-3'!U39*('History Y-3'!$S39&lt;&gt;"Y"))/(Settings!$B$10*('History Y-1'!$S39&lt;&gt;"Y")+Settings!$B$11*('History Y-2'!$S39&lt;&gt;"Y")+Settings!$B$12*('History Y-3'!$S39&lt;&gt;"Y")),'History Y-1'!U39)</f>
        <v>0.0211940724888339</v>
      </c>
      <c r="C39" s="23" t="n">
        <f aca="false">IFERROR((Settings!$B$10*'History Y-1'!V39*('History Y-1'!$S39&lt;&gt;"Y")+Settings!$B$11*'History Y-2'!V39*('History Y-2'!$S39&lt;&gt;"Y")+Settings!$B$12*'History Y-3'!V39*('History Y-3'!$S39&lt;&gt;"Y"))/(Settings!$B$10*('History Y-1'!$S39&lt;&gt;"Y")+Settings!$B$11*('History Y-2'!$S39&lt;&gt;"Y")+Settings!$B$12*('History Y-3'!$S39&lt;&gt;"Y")),'History Y-1'!V39)</f>
        <v>75.1349439712034</v>
      </c>
      <c r="D39" s="36" t="n">
        <f aca="false">IFERROR((Settings!$B$10*'History Y-1'!W39*('History Y-1'!$S39&lt;&gt;"Y")+Settings!$B$11*'History Y-2'!W39*('History Y-2'!$S39&lt;&gt;"Y")+Settings!$B$12*'History Y-3'!W39*('History Y-3'!$S39&lt;&gt;"Y"))/(Settings!$B$10*('History Y-1'!$S39&lt;&gt;"Y")+Settings!$B$11*('History Y-2'!$S39&lt;&gt;"Y")+Settings!$B$12*('History Y-3'!$S39&lt;&gt;"Y")),'History Y-1'!W39)</f>
        <v>1.92281240234465</v>
      </c>
      <c r="E39" s="31" t="n">
        <f aca="false">IFERROR((Settings!$B$10*'History Y-1'!X39*('History Y-1'!$S39&lt;&gt;"Y")+Settings!$B$11*'History Y-2'!X39*('History Y-2'!$S39&lt;&gt;"Y")+Settings!$B$12*'History Y-3'!X39*('History Y-3'!$S39&lt;&gt;"Y"))/(Settings!$B$10*('History Y-1'!$S39&lt;&gt;"Y")+Settings!$B$11*('History Y-2'!$S39&lt;&gt;"Y")+Settings!$B$12*('History Y-3'!$S39&lt;&gt;"Y")),'History Y-1'!X39)</f>
        <v>0.0772506852430277</v>
      </c>
      <c r="F39" s="31" t="n">
        <f aca="false">IFERROR((Settings!$B$10*'History Y-1'!Y39*('History Y-1'!$S39&lt;&gt;"Y")+Settings!$B$11*'History Y-2'!Y39*('History Y-2'!$S39&lt;&gt;"Y")+Settings!$B$12*'History Y-3'!Y39*('History Y-3'!$S39&lt;&gt;"Y"))/(Settings!$B$10*('History Y-1'!$S39&lt;&gt;"Y")+Settings!$B$11*('History Y-2'!$S39&lt;&gt;"Y")+Settings!$B$12*('History Y-3'!$S39&lt;&gt;"Y")),'History Y-1'!Y39)</f>
        <v>0.251878705960027</v>
      </c>
      <c r="G39" s="31" t="n">
        <f aca="false">IFERROR((Settings!$B$10*'History Y-1'!Z39*('History Y-1'!$S39&lt;&gt;"Y")+Settings!$B$11*'History Y-2'!Z39*('History Y-2'!$S39&lt;&gt;"Y")+Settings!$B$12*'History Y-3'!Z39*('History Y-3'!$S39&lt;&gt;"Y"))/(Settings!$B$10*('History Y-1'!$S39&lt;&gt;"Y")+Settings!$B$11*('History Y-2'!$S39&lt;&gt;"Y")+Settings!$B$12*('History Y-3'!$S39&lt;&gt;"Y")),'History Y-1'!Z39)</f>
        <v>0.346027823289819</v>
      </c>
      <c r="H39" s="23" t="n">
        <f aca="false">IFERROR((Settings!$B$10*'History Y-1'!AA39*('History Y-1'!$S39&lt;&gt;"Y")+Settings!$B$11*'History Y-2'!AA39*('History Y-2'!$S39&lt;&gt;"Y")+Settings!$B$12*'History Y-3'!AA39*('History Y-3'!$S39&lt;&gt;"Y"))/(Settings!$B$10*('History Y-1'!$S39&lt;&gt;"Y")+Settings!$B$11*('History Y-2'!$S39&lt;&gt;"Y")+Settings!$B$12*('History Y-3'!$S39&lt;&gt;"Y")),'History Y-1'!AA39)</f>
        <v>0.456090570280564</v>
      </c>
      <c r="I39" s="23" t="n">
        <f aca="false">IFERROR((Settings!$B$10*'History Y-1'!AB39*('History Y-1'!$S39&lt;&gt;"Y")+Settings!$B$11*'History Y-2'!AB39*('History Y-2'!$S39&lt;&gt;"Y")+Settings!$B$12*'History Y-3'!AB39*('History Y-3'!$S39&lt;&gt;"Y"))/(Settings!$B$10*('History Y-1'!$S39&lt;&gt;"Y")+Settings!$B$11*('History Y-2'!$S39&lt;&gt;"Y")+Settings!$B$12*('History Y-3'!$S39&lt;&gt;"Y")),'History Y-1'!AB39)</f>
        <v>0.336877760568264</v>
      </c>
      <c r="J39" s="23" t="n">
        <f aca="false">IFERROR((Settings!$B$10*'History Y-1'!AC39*('History Y-1'!$S39&lt;&gt;"Y")+Settings!$B$11*'History Y-2'!AC39*('History Y-2'!$S39&lt;&gt;"Y")+Settings!$B$12*'History Y-3'!AC39*('History Y-3'!$S39&lt;&gt;"Y"))/(Settings!$B$10*('History Y-1'!$S39&lt;&gt;"Y")+Settings!$B$11*('History Y-2'!$S39&lt;&gt;"Y")+Settings!$B$12*('History Y-3'!$S39&lt;&gt;"Y")),'History Y-1'!AC39)</f>
        <v>0.209700651682682</v>
      </c>
      <c r="K39" s="29" t="n">
        <f aca="false">IFERROR((Settings!$B$10*'History Y-1'!AD39*('History Y-1'!$S39&lt;&gt;"Y")+Settings!$B$11*'History Y-2'!AD39*('History Y-2'!$S39&lt;&gt;"Y")+Settings!$B$12*'History Y-3'!AD39*('History Y-3'!$S39&lt;&gt;"Y"))/(Settings!$B$10*('History Y-1'!$S39&lt;&gt;"Y")+Settings!$B$11*('History Y-2'!$S39&lt;&gt;"Y")+Settings!$B$12*('History Y-3'!$S39&lt;&gt;"Y")),'History Y-1'!AD39)</f>
        <v>0.0163435550870458</v>
      </c>
      <c r="L39" s="29" t="n">
        <f aca="false">IFERROR((Settings!$B$10*'History Y-1'!AE39*('History Y-1'!$S39&lt;&gt;"Y")+Settings!$B$11*'History Y-2'!AE39*('History Y-2'!$S39&lt;&gt;"Y")+Settings!$B$12*'History Y-3'!AE39*('History Y-3'!$S39&lt;&gt;"Y"))/(Settings!$B$10*('History Y-1'!$S39&lt;&gt;"Y")+Settings!$B$11*('History Y-2'!$S39&lt;&gt;"Y")+Settings!$B$12*('History Y-3'!$S39&lt;&gt;"Y")),'History Y-1'!AE39)</f>
        <v>0.0148922100258649</v>
      </c>
      <c r="M39" s="29" t="n">
        <f aca="false">IFERROR((Settings!$B$10*'History Y-1'!AF39*('History Y-1'!$S39&lt;&gt;"Y")+Settings!$B$11*'History Y-2'!AF39*('History Y-2'!$S39&lt;&gt;"Y")+Settings!$B$12*'History Y-3'!AF39*('History Y-3'!$S39&lt;&gt;"Y"))/(Settings!$B$10*('History Y-1'!$S39&lt;&gt;"Y")+Settings!$B$11*('History Y-2'!$S39&lt;&gt;"Y")+Settings!$B$12*('History Y-3'!$S39&lt;&gt;"Y")),'History Y-1'!AF39)</f>
        <v>0.0169268618104971</v>
      </c>
      <c r="N39" s="29" t="n">
        <f aca="false">IFERROR((Settings!$B$10*'History Y-1'!AG39*('History Y-1'!$S39&lt;&gt;"Y")+Settings!$B$11*'History Y-2'!AG39*('History Y-2'!$S39&lt;&gt;"Y")+Settings!$B$12*'History Y-3'!AG39*('History Y-3'!$S39&lt;&gt;"Y"))/(Settings!$B$10*('History Y-1'!$S39&lt;&gt;"Y")+Settings!$B$11*('History Y-2'!$S39&lt;&gt;"Y")+Settings!$B$12*('History Y-3'!$S39&lt;&gt;"Y")),'History Y-1'!AG39)</f>
        <v>0.0166354975520251</v>
      </c>
      <c r="O39" s="29" t="n">
        <f aca="false">IFERROR((Settings!$B$10*'History Y-1'!AH39*('History Y-1'!$S39&lt;&gt;"Y")+Settings!$B$11*'History Y-2'!AH39*('History Y-2'!$S39&lt;&gt;"Y")+Settings!$B$12*'History Y-3'!AH39*('History Y-3'!$S39&lt;&gt;"Y"))/(Settings!$B$10*('History Y-1'!$S39&lt;&gt;"Y")+Settings!$B$11*('History Y-2'!$S39&lt;&gt;"Y")+Settings!$B$12*('History Y-3'!$S39&lt;&gt;"Y")),'History Y-1'!AH39)</f>
        <v>0.017127927478389</v>
      </c>
      <c r="P39" s="29" t="n">
        <f aca="false">IFERROR((Settings!$B$10*'History Y-1'!AI39*('History Y-1'!$S39&lt;&gt;"Y")+Settings!$B$11*'History Y-2'!AI39*('History Y-2'!$S39&lt;&gt;"Y")+Settings!$B$12*'History Y-3'!AI39*('History Y-3'!$S39&lt;&gt;"Y"))/(Settings!$B$10*('History Y-1'!$S39&lt;&gt;"Y")+Settings!$B$11*('History Y-2'!$S39&lt;&gt;"Y")+Settings!$B$12*('History Y-3'!$S39&lt;&gt;"Y")),'History Y-1'!AI39)</f>
        <v>0.0168183732349317</v>
      </c>
      <c r="Q39" s="57" t="n">
        <f aca="false">IFERROR(K39/SUM(K$6:K$57),0)</f>
        <v>0.016352354120058</v>
      </c>
      <c r="R39" s="57" t="n">
        <f aca="false">IFERROR(L39/SUM(L$6:L$57),0)</f>
        <v>0.0149049879173346</v>
      </c>
      <c r="S39" s="57" t="n">
        <f aca="false">IFERROR(M39/SUM(M$6:M$57),0)</f>
        <v>0.0169515240509288</v>
      </c>
      <c r="T39" s="57" t="n">
        <f aca="false">IFERROR(N39/SUM(N$6:N$57),0)</f>
        <v>0.0166826496655526</v>
      </c>
      <c r="U39" s="57" t="n">
        <f aca="false">IFERROR(O39/SUM(O$6:O$57),0)</f>
        <v>0.0171473911842178</v>
      </c>
      <c r="V39" s="57" t="n">
        <f aca="false">IFERROR(P39/SUM(P$6:P$57),0)</f>
        <v>0.0168631088307071</v>
      </c>
    </row>
    <row r="40" customFormat="false" ht="15" hidden="false" customHeight="false" outlineLevel="0" collapsed="false">
      <c r="A40" s="13" t="n">
        <v>35</v>
      </c>
      <c r="B40" s="29" t="n">
        <f aca="false">IFERROR((Settings!$B$10*'History Y-1'!U40*('History Y-1'!$S40&lt;&gt;"Y")+Settings!$B$11*'History Y-2'!U40*('History Y-2'!$S40&lt;&gt;"Y")+Settings!$B$12*'History Y-3'!U40*('History Y-3'!$S40&lt;&gt;"Y"))/(Settings!$B$10*('History Y-1'!$S40&lt;&gt;"Y")+Settings!$B$11*('History Y-2'!$S40&lt;&gt;"Y")+Settings!$B$12*('History Y-3'!$S40&lt;&gt;"Y")),'History Y-1'!U40)</f>
        <v>0.0219171141220423</v>
      </c>
      <c r="C40" s="23" t="n">
        <f aca="false">IFERROR((Settings!$B$10*'History Y-1'!V40*('History Y-1'!$S40&lt;&gt;"Y")+Settings!$B$11*'History Y-2'!V40*('History Y-2'!$S40&lt;&gt;"Y")+Settings!$B$12*'History Y-3'!V40*('History Y-3'!$S40&lt;&gt;"Y"))/(Settings!$B$10*('History Y-1'!$S40&lt;&gt;"Y")+Settings!$B$11*('History Y-2'!$S40&lt;&gt;"Y")+Settings!$B$12*('History Y-3'!$S40&lt;&gt;"Y")),'History Y-1'!V40)</f>
        <v>74.4199284800132</v>
      </c>
      <c r="D40" s="36" t="n">
        <f aca="false">IFERROR((Settings!$B$10*'History Y-1'!W40*('History Y-1'!$S40&lt;&gt;"Y")+Settings!$B$11*'History Y-2'!W40*('History Y-2'!$S40&lt;&gt;"Y")+Settings!$B$12*'History Y-3'!W40*('History Y-3'!$S40&lt;&gt;"Y"))/(Settings!$B$10*('History Y-1'!$S40&lt;&gt;"Y")+Settings!$B$11*('History Y-2'!$S40&lt;&gt;"Y")+Settings!$B$12*('History Y-3'!$S40&lt;&gt;"Y")),'History Y-1'!W40)</f>
        <v>1.88319888043991</v>
      </c>
      <c r="E40" s="31" t="n">
        <f aca="false">IFERROR((Settings!$B$10*'History Y-1'!X40*('History Y-1'!$S40&lt;&gt;"Y")+Settings!$B$11*'History Y-2'!X40*('History Y-2'!$S40&lt;&gt;"Y")+Settings!$B$12*'History Y-3'!X40*('History Y-3'!$S40&lt;&gt;"Y"))/(Settings!$B$10*('History Y-1'!$S40&lt;&gt;"Y")+Settings!$B$11*('History Y-2'!$S40&lt;&gt;"Y")+Settings!$B$12*('History Y-3'!$S40&lt;&gt;"Y")),'History Y-1'!X40)</f>
        <v>0.0811043008517297</v>
      </c>
      <c r="F40" s="31" t="n">
        <f aca="false">IFERROR((Settings!$B$10*'History Y-1'!Y40*('History Y-1'!$S40&lt;&gt;"Y")+Settings!$B$11*'History Y-2'!Y40*('History Y-2'!$S40&lt;&gt;"Y")+Settings!$B$12*'History Y-3'!Y40*('History Y-3'!$S40&lt;&gt;"Y"))/(Settings!$B$10*('History Y-1'!$S40&lt;&gt;"Y")+Settings!$B$11*('History Y-2'!$S40&lt;&gt;"Y")+Settings!$B$12*('History Y-3'!$S40&lt;&gt;"Y")),'History Y-1'!Y40)</f>
        <v>0.260004387651849</v>
      </c>
      <c r="G40" s="31" t="n">
        <f aca="false">IFERROR((Settings!$B$10*'History Y-1'!Z40*('History Y-1'!$S40&lt;&gt;"Y")+Settings!$B$11*'History Y-2'!Z40*('History Y-2'!$S40&lt;&gt;"Y")+Settings!$B$12*'History Y-3'!Z40*('History Y-3'!$S40&lt;&gt;"Y"))/(Settings!$B$10*('History Y-1'!$S40&lt;&gt;"Y")+Settings!$B$11*('History Y-2'!$S40&lt;&gt;"Y")+Settings!$B$12*('History Y-3'!$S40&lt;&gt;"Y")),'History Y-1'!Z40)</f>
        <v>0.356237299638312</v>
      </c>
      <c r="H40" s="23" t="n">
        <f aca="false">IFERROR((Settings!$B$10*'History Y-1'!AA40*('History Y-1'!$S40&lt;&gt;"Y")+Settings!$B$11*'History Y-2'!AA40*('History Y-2'!$S40&lt;&gt;"Y")+Settings!$B$12*'History Y-3'!AA40*('History Y-3'!$S40&lt;&gt;"Y"))/(Settings!$B$10*('History Y-1'!$S40&lt;&gt;"Y")+Settings!$B$11*('History Y-2'!$S40&lt;&gt;"Y")+Settings!$B$12*('History Y-3'!$S40&lt;&gt;"Y")),'History Y-1'!AA40)</f>
        <v>0.450555689459959</v>
      </c>
      <c r="I40" s="23" t="n">
        <f aca="false">IFERROR((Settings!$B$10*'History Y-1'!AB40*('History Y-1'!$S40&lt;&gt;"Y")+Settings!$B$11*'History Y-2'!AB40*('History Y-2'!$S40&lt;&gt;"Y")+Settings!$B$12*'History Y-3'!AB40*('History Y-3'!$S40&lt;&gt;"Y"))/(Settings!$B$10*('History Y-1'!$S40&lt;&gt;"Y")+Settings!$B$11*('History Y-2'!$S40&lt;&gt;"Y")+Settings!$B$12*('History Y-3'!$S40&lt;&gt;"Y")),'History Y-1'!AB40)</f>
        <v>0.34475901874489</v>
      </c>
      <c r="J40" s="23" t="n">
        <f aca="false">IFERROR((Settings!$B$10*'History Y-1'!AC40*('History Y-1'!$S40&lt;&gt;"Y")+Settings!$B$11*'History Y-2'!AC40*('History Y-2'!$S40&lt;&gt;"Y")+Settings!$B$12*'History Y-3'!AC40*('History Y-3'!$S40&lt;&gt;"Y"))/(Settings!$B$10*('History Y-1'!$S40&lt;&gt;"Y")+Settings!$B$11*('History Y-2'!$S40&lt;&gt;"Y")+Settings!$B$12*('History Y-3'!$S40&lt;&gt;"Y")),'History Y-1'!AC40)</f>
        <v>0.208945305014056</v>
      </c>
      <c r="K40" s="29" t="n">
        <f aca="false">IFERROR((Settings!$B$10*'History Y-1'!AD40*('History Y-1'!$S40&lt;&gt;"Y")+Settings!$B$11*'History Y-2'!AD40*('History Y-2'!$S40&lt;&gt;"Y")+Settings!$B$12*'History Y-3'!AD40*('History Y-3'!$S40&lt;&gt;"Y"))/(Settings!$B$10*('History Y-1'!$S40&lt;&gt;"Y")+Settings!$B$11*('History Y-2'!$S40&lt;&gt;"Y")+Settings!$B$12*('History Y-3'!$S40&lt;&gt;"Y")),'History Y-1'!AD40)</f>
        <v>0.0162074145145402</v>
      </c>
      <c r="L40" s="29" t="n">
        <f aca="false">IFERROR((Settings!$B$10*'History Y-1'!AE40*('History Y-1'!$S40&lt;&gt;"Y")+Settings!$B$11*'History Y-2'!AE40*('History Y-2'!$S40&lt;&gt;"Y")+Settings!$B$12*'History Y-3'!AE40*('History Y-3'!$S40&lt;&gt;"Y"))/(Settings!$B$10*('History Y-1'!$S40&lt;&gt;"Y")+Settings!$B$11*('History Y-2'!$S40&lt;&gt;"Y")+Settings!$B$12*('History Y-3'!$S40&lt;&gt;"Y")),'History Y-1'!AE40)</f>
        <v>0.0148168031034468</v>
      </c>
      <c r="M40" s="29" t="n">
        <f aca="false">IFERROR((Settings!$B$10*'History Y-1'!AF40*('History Y-1'!$S40&lt;&gt;"Y")+Settings!$B$11*'History Y-2'!AF40*('History Y-2'!$S40&lt;&gt;"Y")+Settings!$B$12*'History Y-3'!AF40*('History Y-3'!$S40&lt;&gt;"Y"))/(Settings!$B$10*('History Y-1'!$S40&lt;&gt;"Y")+Settings!$B$11*('History Y-2'!$S40&lt;&gt;"Y")+Settings!$B$12*('History Y-3'!$S40&lt;&gt;"Y")),'History Y-1'!AF40)</f>
        <v>0.0165109828664987</v>
      </c>
      <c r="N40" s="29" t="n">
        <f aca="false">IFERROR((Settings!$B$10*'History Y-1'!AG40*('History Y-1'!$S40&lt;&gt;"Y")+Settings!$B$11*'History Y-2'!AG40*('History Y-2'!$S40&lt;&gt;"Y")+Settings!$B$12*'History Y-3'!AG40*('History Y-3'!$S40&lt;&gt;"Y"))/(Settings!$B$10*('History Y-1'!$S40&lt;&gt;"Y")+Settings!$B$11*('History Y-2'!$S40&lt;&gt;"Y")+Settings!$B$12*('History Y-3'!$S40&lt;&gt;"Y")),'History Y-1'!AG40)</f>
        <v>0.0159724731852448</v>
      </c>
      <c r="O40" s="29" t="n">
        <f aca="false">IFERROR((Settings!$B$10*'History Y-1'!AH40*('History Y-1'!$S40&lt;&gt;"Y")+Settings!$B$11*'History Y-2'!AH40*('History Y-2'!$S40&lt;&gt;"Y")+Settings!$B$12*'History Y-3'!AH40*('History Y-3'!$S40&lt;&gt;"Y"))/(Settings!$B$10*('History Y-1'!$S40&lt;&gt;"Y")+Settings!$B$11*('History Y-2'!$S40&lt;&gt;"Y")+Settings!$B$12*('History Y-3'!$S40&lt;&gt;"Y")),'History Y-1'!AH40)</f>
        <v>0.0162967633355853</v>
      </c>
      <c r="P40" s="29" t="n">
        <f aca="false">IFERROR((Settings!$B$10*'History Y-1'!AI40*('History Y-1'!$S40&lt;&gt;"Y")+Settings!$B$11*'History Y-2'!AI40*('History Y-2'!$S40&lt;&gt;"Y")+Settings!$B$12*'History Y-3'!AI40*('History Y-3'!$S40&lt;&gt;"Y"))/(Settings!$B$10*('History Y-1'!$S40&lt;&gt;"Y")+Settings!$B$11*('History Y-2'!$S40&lt;&gt;"Y")+Settings!$B$12*('History Y-3'!$S40&lt;&gt;"Y")),'History Y-1'!AI40)</f>
        <v>0.0163662937369918</v>
      </c>
      <c r="Q40" s="57" t="n">
        <f aca="false">IFERROR(K40/SUM(K$6:K$57),0)</f>
        <v>0.0162161402522757</v>
      </c>
      <c r="R40" s="57" t="n">
        <f aca="false">IFERROR(L40/SUM(L$6:L$57),0)</f>
        <v>0.0148295162938769</v>
      </c>
      <c r="S40" s="57" t="n">
        <f aca="false">IFERROR(M40/SUM(M$6:M$57),0)</f>
        <v>0.0165350391761548</v>
      </c>
      <c r="T40" s="57" t="n">
        <f aca="false">IFERROR(N40/SUM(N$6:N$57),0)</f>
        <v>0.0160177460042026</v>
      </c>
      <c r="U40" s="57" t="n">
        <f aca="false">IFERROR(O40/SUM(O$6:O$57),0)</f>
        <v>0.0163152825293363</v>
      </c>
      <c r="V40" s="57" t="n">
        <f aca="false">IFERROR(P40/SUM(P$6:P$57),0)</f>
        <v>0.0164098268356293</v>
      </c>
    </row>
    <row r="41" customFormat="false" ht="15" hidden="false" customHeight="false" outlineLevel="0" collapsed="false">
      <c r="A41" s="13" t="n">
        <v>36</v>
      </c>
      <c r="B41" s="29" t="n">
        <f aca="false">IFERROR((Settings!$B$10*'History Y-1'!U41*('History Y-1'!$S41&lt;&gt;"Y")+Settings!$B$11*'History Y-2'!U41*('History Y-2'!$S41&lt;&gt;"Y")+Settings!$B$12*'History Y-3'!U41*('History Y-3'!$S41&lt;&gt;"Y"))/(Settings!$B$10*('History Y-1'!$S41&lt;&gt;"Y")+Settings!$B$11*('History Y-2'!$S41&lt;&gt;"Y")+Settings!$B$12*('History Y-3'!$S41&lt;&gt;"Y")),'History Y-1'!U41)</f>
        <v>0.0242261806741422</v>
      </c>
      <c r="C41" s="23" t="n">
        <f aca="false">IFERROR((Settings!$B$10*'History Y-1'!V41*('History Y-1'!$S41&lt;&gt;"Y")+Settings!$B$11*'History Y-2'!V41*('History Y-2'!$S41&lt;&gt;"Y")+Settings!$B$12*'History Y-3'!V41*('History Y-3'!$S41&lt;&gt;"Y"))/(Settings!$B$10*('History Y-1'!$S41&lt;&gt;"Y")+Settings!$B$11*('History Y-2'!$S41&lt;&gt;"Y")+Settings!$B$12*('History Y-3'!$S41&lt;&gt;"Y")),'History Y-1'!V41)</f>
        <v>69.6384670217422</v>
      </c>
      <c r="D41" s="36" t="n">
        <f aca="false">IFERROR((Settings!$B$10*'History Y-1'!W41*('History Y-1'!$S41&lt;&gt;"Y")+Settings!$B$11*'History Y-2'!W41*('History Y-2'!$S41&lt;&gt;"Y")+Settings!$B$12*'History Y-3'!W41*('History Y-3'!$S41&lt;&gt;"Y"))/(Settings!$B$10*('History Y-1'!$S41&lt;&gt;"Y")+Settings!$B$11*('History Y-2'!$S41&lt;&gt;"Y")+Settings!$B$12*('History Y-3'!$S41&lt;&gt;"Y")),'History Y-1'!W41)</f>
        <v>1.89415185402381</v>
      </c>
      <c r="E41" s="31" t="n">
        <f aca="false">IFERROR((Settings!$B$10*'History Y-1'!X41*('History Y-1'!$S41&lt;&gt;"Y")+Settings!$B$11*'History Y-2'!X41*('History Y-2'!$S41&lt;&gt;"Y")+Settings!$B$12*'History Y-3'!X41*('History Y-3'!$S41&lt;&gt;"Y"))/(Settings!$B$10*('History Y-1'!$S41&lt;&gt;"Y")+Settings!$B$11*('History Y-2'!$S41&lt;&gt;"Y")+Settings!$B$12*('History Y-3'!$S41&lt;&gt;"Y")),'History Y-1'!X41)</f>
        <v>0.224314363051865</v>
      </c>
      <c r="F41" s="31" t="n">
        <f aca="false">IFERROR((Settings!$B$10*'History Y-1'!Y41*('History Y-1'!$S41&lt;&gt;"Y")+Settings!$B$11*'History Y-2'!Y41*('History Y-2'!$S41&lt;&gt;"Y")+Settings!$B$12*'History Y-3'!Y41*('History Y-3'!$S41&lt;&gt;"Y"))/(Settings!$B$10*('History Y-1'!$S41&lt;&gt;"Y")+Settings!$B$11*('History Y-2'!$S41&lt;&gt;"Y")+Settings!$B$12*('History Y-3'!$S41&lt;&gt;"Y")),'History Y-1'!Y41)</f>
        <v>0.255857706324971</v>
      </c>
      <c r="G41" s="31" t="n">
        <f aca="false">IFERROR((Settings!$B$10*'History Y-1'!Z41*('History Y-1'!$S41&lt;&gt;"Y")+Settings!$B$11*'History Y-2'!Z41*('History Y-2'!$S41&lt;&gt;"Y")+Settings!$B$12*'History Y-3'!Z41*('History Y-3'!$S41&lt;&gt;"Y"))/(Settings!$B$10*('History Y-1'!$S41&lt;&gt;"Y")+Settings!$B$11*('History Y-2'!$S41&lt;&gt;"Y")+Settings!$B$12*('History Y-3'!$S41&lt;&gt;"Y")),'History Y-1'!Z41)</f>
        <v>0.457301379812492</v>
      </c>
      <c r="H41" s="23" t="n">
        <f aca="false">IFERROR((Settings!$B$10*'History Y-1'!AA41*('History Y-1'!$S41&lt;&gt;"Y")+Settings!$B$11*'History Y-2'!AA41*('History Y-2'!$S41&lt;&gt;"Y")+Settings!$B$12*'History Y-3'!AA41*('History Y-3'!$S41&lt;&gt;"Y"))/(Settings!$B$10*('History Y-1'!$S41&lt;&gt;"Y")+Settings!$B$11*('History Y-2'!$S41&lt;&gt;"Y")+Settings!$B$12*('History Y-3'!$S41&lt;&gt;"Y")),'History Y-1'!AA41)</f>
        <v>0.45724072167719</v>
      </c>
      <c r="I41" s="23" t="n">
        <f aca="false">IFERROR((Settings!$B$10*'History Y-1'!AB41*('History Y-1'!$S41&lt;&gt;"Y")+Settings!$B$11*'History Y-2'!AB41*('History Y-2'!$S41&lt;&gt;"Y")+Settings!$B$12*'History Y-3'!AB41*('History Y-3'!$S41&lt;&gt;"Y"))/(Settings!$B$10*('History Y-1'!$S41&lt;&gt;"Y")+Settings!$B$11*('History Y-2'!$S41&lt;&gt;"Y")+Settings!$B$12*('History Y-3'!$S41&lt;&gt;"Y")),'History Y-1'!AB41)</f>
        <v>0.333225248492349</v>
      </c>
      <c r="J41" s="23" t="n">
        <f aca="false">IFERROR((Settings!$B$10*'History Y-1'!AC41*('History Y-1'!$S41&lt;&gt;"Y")+Settings!$B$11*'History Y-2'!AC41*('History Y-2'!$S41&lt;&gt;"Y")+Settings!$B$12*'History Y-3'!AC41*('History Y-3'!$S41&lt;&gt;"Y"))/(Settings!$B$10*('History Y-1'!$S41&lt;&gt;"Y")+Settings!$B$11*('History Y-2'!$S41&lt;&gt;"Y")+Settings!$B$12*('History Y-3'!$S41&lt;&gt;"Y")),'History Y-1'!AC41)</f>
        <v>0.209850430416493</v>
      </c>
      <c r="K41" s="29" t="n">
        <f aca="false">IFERROR((Settings!$B$10*'History Y-1'!AD41*('History Y-1'!$S41&lt;&gt;"Y")+Settings!$B$11*'History Y-2'!AD41*('History Y-2'!$S41&lt;&gt;"Y")+Settings!$B$12*'History Y-3'!AD41*('History Y-3'!$S41&lt;&gt;"Y"))/(Settings!$B$10*('History Y-1'!$S41&lt;&gt;"Y")+Settings!$B$11*('History Y-2'!$S41&lt;&gt;"Y")+Settings!$B$12*('History Y-3'!$S41&lt;&gt;"Y")),'History Y-1'!AD41)</f>
        <v>0.0202778481178321</v>
      </c>
      <c r="L41" s="29" t="n">
        <f aca="false">IFERROR((Settings!$B$10*'History Y-1'!AE41*('History Y-1'!$S41&lt;&gt;"Y")+Settings!$B$11*'History Y-2'!AE41*('History Y-2'!$S41&lt;&gt;"Y")+Settings!$B$12*'History Y-3'!AE41*('History Y-3'!$S41&lt;&gt;"Y"))/(Settings!$B$10*('History Y-1'!$S41&lt;&gt;"Y")+Settings!$B$11*('History Y-2'!$S41&lt;&gt;"Y")+Settings!$B$12*('History Y-3'!$S41&lt;&gt;"Y")),'History Y-1'!AE41)</f>
        <v>0.0308383329088599</v>
      </c>
      <c r="M41" s="29" t="n">
        <f aca="false">IFERROR((Settings!$B$10*'History Y-1'!AF41*('History Y-1'!$S41&lt;&gt;"Y")+Settings!$B$11*'History Y-2'!AF41*('History Y-2'!$S41&lt;&gt;"Y")+Settings!$B$12*'History Y-3'!AF41*('History Y-3'!$S41&lt;&gt;"Y"))/(Settings!$B$10*('History Y-1'!$S41&lt;&gt;"Y")+Settings!$B$11*('History Y-2'!$S41&lt;&gt;"Y")+Settings!$B$12*('History Y-3'!$S41&lt;&gt;"Y")),'History Y-1'!AF41)</f>
        <v>0.0199336389145567</v>
      </c>
      <c r="N41" s="29" t="n">
        <f aca="false">IFERROR((Settings!$B$10*'History Y-1'!AG41*('History Y-1'!$S41&lt;&gt;"Y")+Settings!$B$11*'History Y-2'!AG41*('History Y-2'!$S41&lt;&gt;"Y")+Settings!$B$12*'History Y-3'!AG41*('History Y-3'!$S41&lt;&gt;"Y"))/(Settings!$B$10*('History Y-1'!$S41&lt;&gt;"Y")+Settings!$B$11*('History Y-2'!$S41&lt;&gt;"Y")+Settings!$B$12*('History Y-3'!$S41&lt;&gt;"Y")),'History Y-1'!AG41)</f>
        <v>0.0197669296914047</v>
      </c>
      <c r="O41" s="29" t="n">
        <f aca="false">IFERROR((Settings!$B$10*'History Y-1'!AH41*('History Y-1'!$S41&lt;&gt;"Y")+Settings!$B$11*'History Y-2'!AH41*('History Y-2'!$S41&lt;&gt;"Y")+Settings!$B$12*'History Y-3'!AH41*('History Y-3'!$S41&lt;&gt;"Y"))/(Settings!$B$10*('History Y-1'!$S41&lt;&gt;"Y")+Settings!$B$11*('History Y-2'!$S41&lt;&gt;"Y")+Settings!$B$12*('History Y-3'!$S41&lt;&gt;"Y")),'History Y-1'!AH41)</f>
        <v>0.0201692769848477</v>
      </c>
      <c r="P41" s="29" t="n">
        <f aca="false">IFERROR((Settings!$B$10*'History Y-1'!AI41*('History Y-1'!$S41&lt;&gt;"Y")+Settings!$B$11*'History Y-2'!AI41*('History Y-2'!$S41&lt;&gt;"Y")+Settings!$B$12*'History Y-3'!AI41*('History Y-3'!$S41&lt;&gt;"Y"))/(Settings!$B$10*('History Y-1'!$S41&lt;&gt;"Y")+Settings!$B$11*('History Y-2'!$S41&lt;&gt;"Y")+Settings!$B$12*('History Y-3'!$S41&lt;&gt;"Y")),'History Y-1'!AI41)</f>
        <v>0.0209130027448868</v>
      </c>
      <c r="Q41" s="57" t="n">
        <f aca="false">IFERROR(K41/SUM(K$6:K$57),0)</f>
        <v>0.0202887652930766</v>
      </c>
      <c r="R41" s="57" t="n">
        <f aca="false">IFERROR(L41/SUM(L$6:L$57),0)</f>
        <v>0.0308647929755881</v>
      </c>
      <c r="S41" s="57" t="n">
        <f aca="false">IFERROR(M41/SUM(M$6:M$57),0)</f>
        <v>0.0199626819941951</v>
      </c>
      <c r="T41" s="57" t="n">
        <f aca="false">IFERROR(N41/SUM(N$6:N$57),0)</f>
        <v>0.0198229576226393</v>
      </c>
      <c r="U41" s="57" t="n">
        <f aca="false">IFERROR(O41/SUM(O$6:O$57),0)</f>
        <v>0.0201921967966294</v>
      </c>
      <c r="V41" s="57" t="n">
        <f aca="false">IFERROR(P41/SUM(P$6:P$57),0)</f>
        <v>0.0209686297442508</v>
      </c>
    </row>
    <row r="42" customFormat="false" ht="15" hidden="false" customHeight="false" outlineLevel="0" collapsed="false">
      <c r="A42" s="13" t="n">
        <v>37</v>
      </c>
      <c r="B42" s="29" t="n">
        <f aca="false">IFERROR((Settings!$B$10*'History Y-1'!U42*('History Y-1'!$S42&lt;&gt;"Y")+Settings!$B$11*'History Y-2'!U42*('History Y-2'!$S42&lt;&gt;"Y")+Settings!$B$12*'History Y-3'!U42*('History Y-3'!$S42&lt;&gt;"Y"))/(Settings!$B$10*('History Y-1'!$S42&lt;&gt;"Y")+Settings!$B$11*('History Y-2'!$S42&lt;&gt;"Y")+Settings!$B$12*('History Y-3'!$S42&lt;&gt;"Y")),'History Y-1'!U42)</f>
        <v>0.0220257146690153</v>
      </c>
      <c r="C42" s="23" t="n">
        <f aca="false">IFERROR((Settings!$B$10*'History Y-1'!V42*('History Y-1'!$S42&lt;&gt;"Y")+Settings!$B$11*'History Y-2'!V42*('History Y-2'!$S42&lt;&gt;"Y")+Settings!$B$12*'History Y-3'!V42*('History Y-3'!$S42&lt;&gt;"Y"))/(Settings!$B$10*('History Y-1'!$S42&lt;&gt;"Y")+Settings!$B$11*('History Y-2'!$S42&lt;&gt;"Y")+Settings!$B$12*('History Y-3'!$S42&lt;&gt;"Y")),'History Y-1'!V42)</f>
        <v>75.5882199874796</v>
      </c>
      <c r="D42" s="36" t="n">
        <f aca="false">IFERROR((Settings!$B$10*'History Y-1'!W42*('History Y-1'!$S42&lt;&gt;"Y")+Settings!$B$11*'History Y-2'!W42*('History Y-2'!$S42&lt;&gt;"Y")+Settings!$B$12*'History Y-3'!W42*('History Y-3'!$S42&lt;&gt;"Y"))/(Settings!$B$10*('History Y-1'!$S42&lt;&gt;"Y")+Settings!$B$11*('History Y-2'!$S42&lt;&gt;"Y")+Settings!$B$12*('History Y-3'!$S42&lt;&gt;"Y")),'History Y-1'!W42)</f>
        <v>1.93197294982394</v>
      </c>
      <c r="E42" s="31" t="n">
        <f aca="false">IFERROR((Settings!$B$10*'History Y-1'!X42*('History Y-1'!$S42&lt;&gt;"Y")+Settings!$B$11*'History Y-2'!X42*('History Y-2'!$S42&lt;&gt;"Y")+Settings!$B$12*'History Y-3'!X42*('History Y-3'!$S42&lt;&gt;"Y"))/(Settings!$B$10*('History Y-1'!$S42&lt;&gt;"Y")+Settings!$B$11*('History Y-2'!$S42&lt;&gt;"Y")+Settings!$B$12*('History Y-3'!$S42&lt;&gt;"Y")),'History Y-1'!X42)</f>
        <v>0.0808958328972984</v>
      </c>
      <c r="F42" s="31" t="n">
        <f aca="false">IFERROR((Settings!$B$10*'History Y-1'!Y42*('History Y-1'!$S42&lt;&gt;"Y")+Settings!$B$11*'History Y-2'!Y42*('History Y-2'!$S42&lt;&gt;"Y")+Settings!$B$12*'History Y-3'!Y42*('History Y-3'!$S42&lt;&gt;"Y"))/(Settings!$B$10*('History Y-1'!$S42&lt;&gt;"Y")+Settings!$B$11*('History Y-2'!$S42&lt;&gt;"Y")+Settings!$B$12*('History Y-3'!$S42&lt;&gt;"Y")),'History Y-1'!Y42)</f>
        <v>0.256566036503427</v>
      </c>
      <c r="G42" s="31" t="n">
        <f aca="false">IFERROR((Settings!$B$10*'History Y-1'!Z42*('History Y-1'!$S42&lt;&gt;"Y")+Settings!$B$11*'History Y-2'!Z42*('History Y-2'!$S42&lt;&gt;"Y")+Settings!$B$12*'History Y-3'!Z42*('History Y-3'!$S42&lt;&gt;"Y"))/(Settings!$B$10*('History Y-1'!$S42&lt;&gt;"Y")+Settings!$B$11*('History Y-2'!$S42&lt;&gt;"Y")+Settings!$B$12*('History Y-3'!$S42&lt;&gt;"Y")),'History Y-1'!Z42)</f>
        <v>0.343348466855249</v>
      </c>
      <c r="H42" s="23" t="n">
        <f aca="false">IFERROR((Settings!$B$10*'History Y-1'!AA42*('History Y-1'!$S42&lt;&gt;"Y")+Settings!$B$11*'History Y-2'!AA42*('History Y-2'!$S42&lt;&gt;"Y")+Settings!$B$12*'History Y-3'!AA42*('History Y-3'!$S42&lt;&gt;"Y"))/(Settings!$B$10*('History Y-1'!$S42&lt;&gt;"Y")+Settings!$B$11*('History Y-2'!$S42&lt;&gt;"Y")+Settings!$B$12*('History Y-3'!$S42&lt;&gt;"Y")),'History Y-1'!AA42)</f>
        <v>0.450919293026318</v>
      </c>
      <c r="I42" s="23" t="n">
        <f aca="false">IFERROR((Settings!$B$10*'History Y-1'!AB42*('History Y-1'!$S42&lt;&gt;"Y")+Settings!$B$11*'History Y-2'!AB42*('History Y-2'!$S42&lt;&gt;"Y")+Settings!$B$12*'History Y-3'!AB42*('History Y-3'!$S42&lt;&gt;"Y"))/(Settings!$B$10*('History Y-1'!$S42&lt;&gt;"Y")+Settings!$B$11*('History Y-2'!$S42&lt;&gt;"Y")+Settings!$B$12*('History Y-3'!$S42&lt;&gt;"Y")),'History Y-1'!AB42)</f>
        <v>0.340357153159526</v>
      </c>
      <c r="J42" s="23" t="n">
        <f aca="false">IFERROR((Settings!$B$10*'History Y-1'!AC42*('History Y-1'!$S42&lt;&gt;"Y")+Settings!$B$11*'History Y-2'!AC42*('History Y-2'!$S42&lt;&gt;"Y")+Settings!$B$12*'History Y-3'!AC42*('History Y-3'!$S42&lt;&gt;"Y"))/(Settings!$B$10*('History Y-1'!$S42&lt;&gt;"Y")+Settings!$B$11*('History Y-2'!$S42&lt;&gt;"Y")+Settings!$B$12*('History Y-3'!$S42&lt;&gt;"Y")),'History Y-1'!AC42)</f>
        <v>0.198525902739259</v>
      </c>
      <c r="K42" s="29" t="n">
        <f aca="false">IFERROR((Settings!$B$10*'History Y-1'!AD42*('History Y-1'!$S42&lt;&gt;"Y")+Settings!$B$11*'History Y-2'!AD42*('History Y-2'!$S42&lt;&gt;"Y")+Settings!$B$12*'History Y-3'!AD42*('History Y-3'!$S42&lt;&gt;"Y"))/(Settings!$B$10*('History Y-1'!$S42&lt;&gt;"Y")+Settings!$B$11*('History Y-2'!$S42&lt;&gt;"Y")+Settings!$B$12*('History Y-3'!$S42&lt;&gt;"Y")),'History Y-1'!AD42)</f>
        <v>0.0182926925530465</v>
      </c>
      <c r="L42" s="29" t="n">
        <f aca="false">IFERROR((Settings!$B$10*'History Y-1'!AE42*('History Y-1'!$S42&lt;&gt;"Y")+Settings!$B$11*'History Y-2'!AE42*('History Y-2'!$S42&lt;&gt;"Y")+Settings!$B$12*'History Y-3'!AE42*('History Y-3'!$S42&lt;&gt;"Y"))/(Settings!$B$10*('History Y-1'!$S42&lt;&gt;"Y")+Settings!$B$11*('History Y-2'!$S42&lt;&gt;"Y")+Settings!$B$12*('History Y-3'!$S42&lt;&gt;"Y")),'History Y-1'!AE42)</f>
        <v>0.0170725605265519</v>
      </c>
      <c r="M42" s="29" t="n">
        <f aca="false">IFERROR((Settings!$B$10*'History Y-1'!AF42*('History Y-1'!$S42&lt;&gt;"Y")+Settings!$B$11*'History Y-2'!AF42*('History Y-2'!$S42&lt;&gt;"Y")+Settings!$B$12*'History Y-3'!AF42*('History Y-3'!$S42&lt;&gt;"Y"))/(Settings!$B$10*('History Y-1'!$S42&lt;&gt;"Y")+Settings!$B$11*('History Y-2'!$S42&lt;&gt;"Y")+Settings!$B$12*('History Y-3'!$S42&lt;&gt;"Y")),'History Y-1'!AF42)</f>
        <v>0.0179276813487291</v>
      </c>
      <c r="N42" s="29" t="n">
        <f aca="false">IFERROR((Settings!$B$10*'History Y-1'!AG42*('History Y-1'!$S42&lt;&gt;"Y")+Settings!$B$11*'History Y-2'!AG42*('History Y-2'!$S42&lt;&gt;"Y")+Settings!$B$12*'History Y-3'!AG42*('History Y-3'!$S42&lt;&gt;"Y"))/(Settings!$B$10*('History Y-1'!$S42&lt;&gt;"Y")+Settings!$B$11*('History Y-2'!$S42&lt;&gt;"Y")+Settings!$B$12*('History Y-3'!$S42&lt;&gt;"Y")),'History Y-1'!AG42)</f>
        <v>0.0170354993620983</v>
      </c>
      <c r="O42" s="29" t="n">
        <f aca="false">IFERROR((Settings!$B$10*'History Y-1'!AH42*('History Y-1'!$S42&lt;&gt;"Y")+Settings!$B$11*'History Y-2'!AH42*('History Y-2'!$S42&lt;&gt;"Y")+Settings!$B$12*'History Y-3'!AH42*('History Y-3'!$S42&lt;&gt;"Y"))/(Settings!$B$10*('History Y-1'!$S42&lt;&gt;"Y")+Settings!$B$11*('History Y-2'!$S42&lt;&gt;"Y")+Settings!$B$12*('History Y-3'!$S42&lt;&gt;"Y")),'History Y-1'!AH42)</f>
        <v>0.0184288465958363</v>
      </c>
      <c r="P42" s="29" t="n">
        <f aca="false">IFERROR((Settings!$B$10*'History Y-1'!AI42*('History Y-1'!$S42&lt;&gt;"Y")+Settings!$B$11*'History Y-2'!AI42*('History Y-2'!$S42&lt;&gt;"Y")+Settings!$B$12*'History Y-3'!AI42*('History Y-3'!$S42&lt;&gt;"Y"))/(Settings!$B$10*('History Y-1'!$S42&lt;&gt;"Y")+Settings!$B$11*('History Y-2'!$S42&lt;&gt;"Y")+Settings!$B$12*('History Y-3'!$S42&lt;&gt;"Y")),'History Y-1'!AI42)</f>
        <v>0.0175121869731122</v>
      </c>
      <c r="Q42" s="57" t="n">
        <f aca="false">IFERROR(K42/SUM(K$6:K$57),0)</f>
        <v>0.018302540961474</v>
      </c>
      <c r="R42" s="57" t="n">
        <f aca="false">IFERROR(L42/SUM(L$6:L$57),0)</f>
        <v>0.0170872092136936</v>
      </c>
      <c r="S42" s="57" t="n">
        <f aca="false">IFERROR(M42/SUM(M$6:M$57),0)</f>
        <v>0.0179538017715669</v>
      </c>
      <c r="T42" s="57" t="n">
        <f aca="false">IFERROR(N42/SUM(N$6:N$57),0)</f>
        <v>0.0170837852517994</v>
      </c>
      <c r="U42" s="57" t="n">
        <f aca="false">IFERROR(O42/SUM(O$6:O$57),0)</f>
        <v>0.0184497886303796</v>
      </c>
      <c r="V42" s="57" t="n">
        <f aca="false">IFERROR(P42/SUM(P$6:P$57),0)</f>
        <v>0.0175587680607494</v>
      </c>
    </row>
    <row r="43" customFormat="false" ht="15" hidden="false" customHeight="false" outlineLevel="0" collapsed="false">
      <c r="A43" s="13" t="n">
        <v>38</v>
      </c>
      <c r="B43" s="29" t="n">
        <f aca="false">IFERROR((Settings!$B$10*'History Y-1'!U43*('History Y-1'!$S43&lt;&gt;"Y")+Settings!$B$11*'History Y-2'!U43*('History Y-2'!$S43&lt;&gt;"Y")+Settings!$B$12*'History Y-3'!U43*('History Y-3'!$S43&lt;&gt;"Y"))/(Settings!$B$10*('History Y-1'!$S43&lt;&gt;"Y")+Settings!$B$11*('History Y-2'!$S43&lt;&gt;"Y")+Settings!$B$12*('History Y-3'!$S43&lt;&gt;"Y")),'History Y-1'!U43)</f>
        <v>0.0210349134280099</v>
      </c>
      <c r="C43" s="23" t="n">
        <f aca="false">IFERROR((Settings!$B$10*'History Y-1'!V43*('History Y-1'!$S43&lt;&gt;"Y")+Settings!$B$11*'History Y-2'!V43*('History Y-2'!$S43&lt;&gt;"Y")+Settings!$B$12*'History Y-3'!V43*('History Y-3'!$S43&lt;&gt;"Y"))/(Settings!$B$10*('History Y-1'!$S43&lt;&gt;"Y")+Settings!$B$11*('History Y-2'!$S43&lt;&gt;"Y")+Settings!$B$12*('History Y-3'!$S43&lt;&gt;"Y")),'History Y-1'!V43)</f>
        <v>74.4546797347105</v>
      </c>
      <c r="D43" s="36" t="n">
        <f aca="false">IFERROR((Settings!$B$10*'History Y-1'!W43*('History Y-1'!$S43&lt;&gt;"Y")+Settings!$B$11*'History Y-2'!W43*('History Y-2'!$S43&lt;&gt;"Y")+Settings!$B$12*'History Y-3'!W43*('History Y-3'!$S43&lt;&gt;"Y"))/(Settings!$B$10*('History Y-1'!$S43&lt;&gt;"Y")+Settings!$B$11*('History Y-2'!$S43&lt;&gt;"Y")+Settings!$B$12*('History Y-3'!$S43&lt;&gt;"Y")),'History Y-1'!W43)</f>
        <v>1.93839921703667</v>
      </c>
      <c r="E43" s="31" t="n">
        <f aca="false">IFERROR((Settings!$B$10*'History Y-1'!X43*('History Y-1'!$S43&lt;&gt;"Y")+Settings!$B$11*'History Y-2'!X43*('History Y-2'!$S43&lt;&gt;"Y")+Settings!$B$12*'History Y-3'!X43*('History Y-3'!$S43&lt;&gt;"Y"))/(Settings!$B$10*('History Y-1'!$S43&lt;&gt;"Y")+Settings!$B$11*('History Y-2'!$S43&lt;&gt;"Y")+Settings!$B$12*('History Y-3'!$S43&lt;&gt;"Y")),'History Y-1'!X43)</f>
        <v>0.0777627051224132</v>
      </c>
      <c r="F43" s="31" t="n">
        <f aca="false">IFERROR((Settings!$B$10*'History Y-1'!Y43*('History Y-1'!$S43&lt;&gt;"Y")+Settings!$B$11*'History Y-2'!Y43*('History Y-2'!$S43&lt;&gt;"Y")+Settings!$B$12*'History Y-3'!Y43*('History Y-3'!$S43&lt;&gt;"Y"))/(Settings!$B$10*('History Y-1'!$S43&lt;&gt;"Y")+Settings!$B$11*('History Y-2'!$S43&lt;&gt;"Y")+Settings!$B$12*('History Y-3'!$S43&lt;&gt;"Y")),'History Y-1'!Y43)</f>
        <v>0.263650323188229</v>
      </c>
      <c r="G43" s="31" t="n">
        <f aca="false">IFERROR((Settings!$B$10*'History Y-1'!Z43*('History Y-1'!$S43&lt;&gt;"Y")+Settings!$B$11*'History Y-2'!Z43*('History Y-2'!$S43&lt;&gt;"Y")+Settings!$B$12*'History Y-3'!Z43*('History Y-3'!$S43&lt;&gt;"Y"))/(Settings!$B$10*('History Y-1'!$S43&lt;&gt;"Y")+Settings!$B$11*('History Y-2'!$S43&lt;&gt;"Y")+Settings!$B$12*('History Y-3'!$S43&lt;&gt;"Y")),'History Y-1'!Z43)</f>
        <v>0.336740704721298</v>
      </c>
      <c r="H43" s="23" t="n">
        <f aca="false">IFERROR((Settings!$B$10*'History Y-1'!AA43*('History Y-1'!$S43&lt;&gt;"Y")+Settings!$B$11*'History Y-2'!AA43*('History Y-2'!$S43&lt;&gt;"Y")+Settings!$B$12*'History Y-3'!AA43*('History Y-3'!$S43&lt;&gt;"Y"))/(Settings!$B$10*('History Y-1'!$S43&lt;&gt;"Y")+Settings!$B$11*('History Y-2'!$S43&lt;&gt;"Y")+Settings!$B$12*('History Y-3'!$S43&lt;&gt;"Y")),'History Y-1'!AA43)</f>
        <v>0.442147518862445</v>
      </c>
      <c r="I43" s="23" t="n">
        <f aca="false">IFERROR((Settings!$B$10*'History Y-1'!AB43*('History Y-1'!$S43&lt;&gt;"Y")+Settings!$B$11*'History Y-2'!AB43*('History Y-2'!$S43&lt;&gt;"Y")+Settings!$B$12*'History Y-3'!AB43*('History Y-3'!$S43&lt;&gt;"Y"))/(Settings!$B$10*('History Y-1'!$S43&lt;&gt;"Y")+Settings!$B$11*('History Y-2'!$S43&lt;&gt;"Y")+Settings!$B$12*('History Y-3'!$S43&lt;&gt;"Y")),'History Y-1'!AB43)</f>
        <v>0.335607029506216</v>
      </c>
      <c r="J43" s="23" t="n">
        <f aca="false">IFERROR((Settings!$B$10*'History Y-1'!AC43*('History Y-1'!$S43&lt;&gt;"Y")+Settings!$B$11*'History Y-2'!AC43*('History Y-2'!$S43&lt;&gt;"Y")+Settings!$B$12*'History Y-3'!AC43*('History Y-3'!$S43&lt;&gt;"Y"))/(Settings!$B$10*('History Y-1'!$S43&lt;&gt;"Y")+Settings!$B$11*('History Y-2'!$S43&lt;&gt;"Y")+Settings!$B$12*('History Y-3'!$S43&lt;&gt;"Y")),'History Y-1'!AC43)</f>
        <v>0.201852763383216</v>
      </c>
      <c r="K43" s="29" t="n">
        <f aca="false">IFERROR((Settings!$B$10*'History Y-1'!AD43*('History Y-1'!$S43&lt;&gt;"Y")+Settings!$B$11*'History Y-2'!AD43*('History Y-2'!$S43&lt;&gt;"Y")+Settings!$B$12*'History Y-3'!AD43*('History Y-3'!$S43&lt;&gt;"Y"))/(Settings!$B$10*('History Y-1'!$S43&lt;&gt;"Y")+Settings!$B$11*('History Y-2'!$S43&lt;&gt;"Y")+Settings!$B$12*('History Y-3'!$S43&lt;&gt;"Y")),'History Y-1'!AD43)</f>
        <v>0.019417088377042</v>
      </c>
      <c r="L43" s="29" t="n">
        <f aca="false">IFERROR((Settings!$B$10*'History Y-1'!AE43*('History Y-1'!$S43&lt;&gt;"Y")+Settings!$B$11*'History Y-2'!AE43*('History Y-2'!$S43&lt;&gt;"Y")+Settings!$B$12*'History Y-3'!AE43*('History Y-3'!$S43&lt;&gt;"Y"))/(Settings!$B$10*('History Y-1'!$S43&lt;&gt;"Y")+Settings!$B$11*('History Y-2'!$S43&lt;&gt;"Y")+Settings!$B$12*('History Y-3'!$S43&lt;&gt;"Y")),'History Y-1'!AE43)</f>
        <v>0.0170019342124385</v>
      </c>
      <c r="M43" s="29" t="n">
        <f aca="false">IFERROR((Settings!$B$10*'History Y-1'!AF43*('History Y-1'!$S43&lt;&gt;"Y")+Settings!$B$11*'History Y-2'!AF43*('History Y-2'!$S43&lt;&gt;"Y")+Settings!$B$12*'History Y-3'!AF43*('History Y-3'!$S43&lt;&gt;"Y"))/(Settings!$B$10*('History Y-1'!$S43&lt;&gt;"Y")+Settings!$B$11*('History Y-2'!$S43&lt;&gt;"Y")+Settings!$B$12*('History Y-3'!$S43&lt;&gt;"Y")),'History Y-1'!AF43)</f>
        <v>0.0201101942968794</v>
      </c>
      <c r="N43" s="29" t="n">
        <f aca="false">IFERROR((Settings!$B$10*'History Y-1'!AG43*('History Y-1'!$S43&lt;&gt;"Y")+Settings!$B$11*'History Y-2'!AG43*('History Y-2'!$S43&lt;&gt;"Y")+Settings!$B$12*'History Y-3'!AG43*('History Y-3'!$S43&lt;&gt;"Y"))/(Settings!$B$10*('History Y-1'!$S43&lt;&gt;"Y")+Settings!$B$11*('History Y-2'!$S43&lt;&gt;"Y")+Settings!$B$12*('History Y-3'!$S43&lt;&gt;"Y")),'History Y-1'!AG43)</f>
        <v>0.0191303176969828</v>
      </c>
      <c r="O43" s="29" t="n">
        <f aca="false">IFERROR((Settings!$B$10*'History Y-1'!AH43*('History Y-1'!$S43&lt;&gt;"Y")+Settings!$B$11*'History Y-2'!AH43*('History Y-2'!$S43&lt;&gt;"Y")+Settings!$B$12*'History Y-3'!AH43*('History Y-3'!$S43&lt;&gt;"Y"))/(Settings!$B$10*('History Y-1'!$S43&lt;&gt;"Y")+Settings!$B$11*('History Y-2'!$S43&lt;&gt;"Y")+Settings!$B$12*('History Y-3'!$S43&lt;&gt;"Y")),'History Y-1'!AH43)</f>
        <v>0.0197302594125736</v>
      </c>
      <c r="P43" s="29" t="n">
        <f aca="false">IFERROR((Settings!$B$10*'History Y-1'!AI43*('History Y-1'!$S43&lt;&gt;"Y")+Settings!$B$11*'History Y-2'!AI43*('History Y-2'!$S43&lt;&gt;"Y")+Settings!$B$12*'History Y-3'!AI43*('History Y-3'!$S43&lt;&gt;"Y"))/(Settings!$B$10*('History Y-1'!$S43&lt;&gt;"Y")+Settings!$B$11*('History Y-2'!$S43&lt;&gt;"Y")+Settings!$B$12*('History Y-3'!$S43&lt;&gt;"Y")),'History Y-1'!AI43)</f>
        <v>0.018696270439362</v>
      </c>
      <c r="Q43" s="57" t="n">
        <f aca="false">IFERROR(K43/SUM(K$6:K$57),0)</f>
        <v>0.0194275421369932</v>
      </c>
      <c r="R43" s="57" t="n">
        <f aca="false">IFERROR(L43/SUM(L$6:L$57),0)</f>
        <v>0.017016522300423</v>
      </c>
      <c r="S43" s="57" t="n">
        <f aca="false">IFERROR(M43/SUM(M$6:M$57),0)</f>
        <v>0.0201394946156528</v>
      </c>
      <c r="T43" s="57" t="n">
        <f aca="false">IFERROR(N43/SUM(N$6:N$57),0)</f>
        <v>0.0191845411976051</v>
      </c>
      <c r="U43" s="57" t="n">
        <f aca="false">IFERROR(O43/SUM(O$6:O$57),0)</f>
        <v>0.0197526803368575</v>
      </c>
      <c r="V43" s="57" t="n">
        <f aca="false">IFERROR(P43/SUM(P$6:P$57),0)</f>
        <v>0.0187460010991113</v>
      </c>
    </row>
    <row r="44" customFormat="false" ht="15" hidden="false" customHeight="false" outlineLevel="0" collapsed="false">
      <c r="A44" s="13" t="n">
        <v>39</v>
      </c>
      <c r="B44" s="29" t="n">
        <f aca="false">IFERROR((Settings!$B$10*'History Y-1'!U44*('History Y-1'!$S44&lt;&gt;"Y")+Settings!$B$11*'History Y-2'!U44*('History Y-2'!$S44&lt;&gt;"Y")+Settings!$B$12*'History Y-3'!U44*('History Y-3'!$S44&lt;&gt;"Y"))/(Settings!$B$10*('History Y-1'!$S44&lt;&gt;"Y")+Settings!$B$11*('History Y-2'!$S44&lt;&gt;"Y")+Settings!$B$12*('History Y-3'!$S44&lt;&gt;"Y")),'History Y-1'!U44)</f>
        <v>0.0214843722339286</v>
      </c>
      <c r="C44" s="23" t="n">
        <f aca="false">IFERROR((Settings!$B$10*'History Y-1'!V44*('History Y-1'!$S44&lt;&gt;"Y")+Settings!$B$11*'History Y-2'!V44*('History Y-2'!$S44&lt;&gt;"Y")+Settings!$B$12*'History Y-3'!V44*('History Y-3'!$S44&lt;&gt;"Y"))/(Settings!$B$10*('History Y-1'!$S44&lt;&gt;"Y")+Settings!$B$11*('History Y-2'!$S44&lt;&gt;"Y")+Settings!$B$12*('History Y-3'!$S44&lt;&gt;"Y")),'History Y-1'!V44)</f>
        <v>75.9265417686884</v>
      </c>
      <c r="D44" s="36" t="n">
        <f aca="false">IFERROR((Settings!$B$10*'History Y-1'!W44*('History Y-1'!$S44&lt;&gt;"Y")+Settings!$B$11*'History Y-2'!W44*('History Y-2'!$S44&lt;&gt;"Y")+Settings!$B$12*'History Y-3'!W44*('History Y-3'!$S44&lt;&gt;"Y"))/(Settings!$B$10*('History Y-1'!$S44&lt;&gt;"Y")+Settings!$B$11*('History Y-2'!$S44&lt;&gt;"Y")+Settings!$B$12*('History Y-3'!$S44&lt;&gt;"Y")),'History Y-1'!W44)</f>
        <v>1.87041938734245</v>
      </c>
      <c r="E44" s="31" t="n">
        <f aca="false">IFERROR((Settings!$B$10*'History Y-1'!X44*('History Y-1'!$S44&lt;&gt;"Y")+Settings!$B$11*'History Y-2'!X44*('History Y-2'!$S44&lt;&gt;"Y")+Settings!$B$12*'History Y-3'!X44*('History Y-3'!$S44&lt;&gt;"Y"))/(Settings!$B$10*('History Y-1'!$S44&lt;&gt;"Y")+Settings!$B$11*('History Y-2'!$S44&lt;&gt;"Y")+Settings!$B$12*('History Y-3'!$S44&lt;&gt;"Y")),'History Y-1'!X44)</f>
        <v>0.0833703783589324</v>
      </c>
      <c r="F44" s="31" t="n">
        <f aca="false">IFERROR((Settings!$B$10*'History Y-1'!Y44*('History Y-1'!$S44&lt;&gt;"Y")+Settings!$B$11*'History Y-2'!Y44*('History Y-2'!$S44&lt;&gt;"Y")+Settings!$B$12*'History Y-3'!Y44*('History Y-3'!$S44&lt;&gt;"Y"))/(Settings!$B$10*('History Y-1'!$S44&lt;&gt;"Y")+Settings!$B$11*('History Y-2'!$S44&lt;&gt;"Y")+Settings!$B$12*('History Y-3'!$S44&lt;&gt;"Y")),'History Y-1'!Y44)</f>
        <v>0.268034380017755</v>
      </c>
      <c r="G44" s="31" t="n">
        <f aca="false">IFERROR((Settings!$B$10*'History Y-1'!Z44*('History Y-1'!$S44&lt;&gt;"Y")+Settings!$B$11*'History Y-2'!Z44*('History Y-2'!$S44&lt;&gt;"Y")+Settings!$B$12*'History Y-3'!Z44*('History Y-3'!$S44&lt;&gt;"Y"))/(Settings!$B$10*('History Y-1'!$S44&lt;&gt;"Y")+Settings!$B$11*('History Y-2'!$S44&lt;&gt;"Y")+Settings!$B$12*('History Y-3'!$S44&lt;&gt;"Y")),'History Y-1'!Z44)</f>
        <v>0.341203759854595</v>
      </c>
      <c r="H44" s="23" t="n">
        <f aca="false">IFERROR((Settings!$B$10*'History Y-1'!AA44*('History Y-1'!$S44&lt;&gt;"Y")+Settings!$B$11*'History Y-2'!AA44*('History Y-2'!$S44&lt;&gt;"Y")+Settings!$B$12*'History Y-3'!AA44*('History Y-3'!$S44&lt;&gt;"Y"))/(Settings!$B$10*('History Y-1'!$S44&lt;&gt;"Y")+Settings!$B$11*('History Y-2'!$S44&lt;&gt;"Y")+Settings!$B$12*('History Y-3'!$S44&lt;&gt;"Y")),'History Y-1'!AA44)</f>
        <v>0.461611057046474</v>
      </c>
      <c r="I44" s="23" t="n">
        <f aca="false">IFERROR((Settings!$B$10*'History Y-1'!AB44*('History Y-1'!$S44&lt;&gt;"Y")+Settings!$B$11*'History Y-2'!AB44*('History Y-2'!$S44&lt;&gt;"Y")+Settings!$B$12*'History Y-3'!AB44*('History Y-3'!$S44&lt;&gt;"Y"))/(Settings!$B$10*('History Y-1'!$S44&lt;&gt;"Y")+Settings!$B$11*('History Y-2'!$S44&lt;&gt;"Y")+Settings!$B$12*('History Y-3'!$S44&lt;&gt;"Y")),'History Y-1'!AB44)</f>
        <v>0.33351725845048</v>
      </c>
      <c r="J44" s="23" t="n">
        <f aca="false">IFERROR((Settings!$B$10*'History Y-1'!AC44*('History Y-1'!$S44&lt;&gt;"Y")+Settings!$B$11*'History Y-2'!AC44*('History Y-2'!$S44&lt;&gt;"Y")+Settings!$B$12*'History Y-3'!AC44*('History Y-3'!$S44&lt;&gt;"Y"))/(Settings!$B$10*('History Y-1'!$S44&lt;&gt;"Y")+Settings!$B$11*('History Y-2'!$S44&lt;&gt;"Y")+Settings!$B$12*('History Y-3'!$S44&lt;&gt;"Y")),'History Y-1'!AC44)</f>
        <v>0.203215958942248</v>
      </c>
      <c r="K44" s="29" t="n">
        <f aca="false">IFERROR((Settings!$B$10*'History Y-1'!AD44*('History Y-1'!$S44&lt;&gt;"Y")+Settings!$B$11*'History Y-2'!AD44*('History Y-2'!$S44&lt;&gt;"Y")+Settings!$B$12*'History Y-3'!AD44*('History Y-3'!$S44&lt;&gt;"Y"))/(Settings!$B$10*('History Y-1'!$S44&lt;&gt;"Y")+Settings!$B$11*('History Y-2'!$S44&lt;&gt;"Y")+Settings!$B$12*('History Y-3'!$S44&lt;&gt;"Y")),'History Y-1'!AD44)</f>
        <v>0.0187822646531278</v>
      </c>
      <c r="L44" s="29" t="n">
        <f aca="false">IFERROR((Settings!$B$10*'History Y-1'!AE44*('History Y-1'!$S44&lt;&gt;"Y")+Settings!$B$11*'History Y-2'!AE44*('History Y-2'!$S44&lt;&gt;"Y")+Settings!$B$12*'History Y-3'!AE44*('History Y-3'!$S44&lt;&gt;"Y"))/(Settings!$B$10*('History Y-1'!$S44&lt;&gt;"Y")+Settings!$B$11*('History Y-2'!$S44&lt;&gt;"Y")+Settings!$B$12*('History Y-3'!$S44&lt;&gt;"Y")),'History Y-1'!AE44)</f>
        <v>0.0172048327280716</v>
      </c>
      <c r="M44" s="29" t="n">
        <f aca="false">IFERROR((Settings!$B$10*'History Y-1'!AF44*('History Y-1'!$S44&lt;&gt;"Y")+Settings!$B$11*'History Y-2'!AF44*('History Y-2'!$S44&lt;&gt;"Y")+Settings!$B$12*'History Y-3'!AF44*('History Y-3'!$S44&lt;&gt;"Y"))/(Settings!$B$10*('History Y-1'!$S44&lt;&gt;"Y")+Settings!$B$11*('History Y-2'!$S44&lt;&gt;"Y")+Settings!$B$12*('History Y-3'!$S44&lt;&gt;"Y")),'History Y-1'!AF44)</f>
        <v>0.0192816552100116</v>
      </c>
      <c r="N44" s="29" t="n">
        <f aca="false">IFERROR((Settings!$B$10*'History Y-1'!AG44*('History Y-1'!$S44&lt;&gt;"Y")+Settings!$B$11*'History Y-2'!AG44*('History Y-2'!$S44&lt;&gt;"Y")+Settings!$B$12*'History Y-3'!AG44*('History Y-3'!$S44&lt;&gt;"Y"))/(Settings!$B$10*('History Y-1'!$S44&lt;&gt;"Y")+Settings!$B$11*('History Y-2'!$S44&lt;&gt;"Y")+Settings!$B$12*('History Y-3'!$S44&lt;&gt;"Y")),'History Y-1'!AG44)</f>
        <v>0.0191956621236491</v>
      </c>
      <c r="O44" s="29" t="n">
        <f aca="false">IFERROR((Settings!$B$10*'History Y-1'!AH44*('History Y-1'!$S44&lt;&gt;"Y")+Settings!$B$11*'History Y-2'!AH44*('History Y-2'!$S44&lt;&gt;"Y")+Settings!$B$12*'History Y-3'!AH44*('History Y-3'!$S44&lt;&gt;"Y"))/(Settings!$B$10*('History Y-1'!$S44&lt;&gt;"Y")+Settings!$B$11*('History Y-2'!$S44&lt;&gt;"Y")+Settings!$B$12*('History Y-3'!$S44&lt;&gt;"Y")),'History Y-1'!AH44)</f>
        <v>0.0194904390600129</v>
      </c>
      <c r="P44" s="29" t="n">
        <f aca="false">IFERROR((Settings!$B$10*'History Y-1'!AI44*('History Y-1'!$S44&lt;&gt;"Y")+Settings!$B$11*'History Y-2'!AI44*('History Y-2'!$S44&lt;&gt;"Y")+Settings!$B$12*'History Y-3'!AI44*('History Y-3'!$S44&lt;&gt;"Y"))/(Settings!$B$10*('History Y-1'!$S44&lt;&gt;"Y")+Settings!$B$11*('History Y-2'!$S44&lt;&gt;"Y")+Settings!$B$12*('History Y-3'!$S44&lt;&gt;"Y")),'History Y-1'!AI44)</f>
        <v>0.0191427992795815</v>
      </c>
      <c r="Q44" s="57" t="n">
        <f aca="false">IFERROR(K44/SUM(K$6:K$57),0)</f>
        <v>0.0187923766370778</v>
      </c>
      <c r="R44" s="57" t="n">
        <f aca="false">IFERROR(L44/SUM(L$6:L$57),0)</f>
        <v>0.0172195949080953</v>
      </c>
      <c r="S44" s="57" t="n">
        <f aca="false">IFERROR(M44/SUM(M$6:M$57),0)</f>
        <v>0.0193097483569892</v>
      </c>
      <c r="T44" s="57" t="n">
        <f aca="false">IFERROR(N44/SUM(N$6:N$57),0)</f>
        <v>0.0192500708383183</v>
      </c>
      <c r="U44" s="57" t="n">
        <f aca="false">IFERROR(O44/SUM(O$6:O$57),0)</f>
        <v>0.0195125874590423</v>
      </c>
      <c r="V44" s="57" t="n">
        <f aca="false">IFERROR(P44/SUM(P$6:P$57),0)</f>
        <v>0.0191937176721405</v>
      </c>
    </row>
    <row r="45" customFormat="false" ht="15" hidden="false" customHeight="false" outlineLevel="0" collapsed="false">
      <c r="A45" s="13" t="n">
        <v>40</v>
      </c>
      <c r="B45" s="29" t="n">
        <f aca="false">IFERROR((Settings!$B$10*'History Y-1'!U45*('History Y-1'!$S45&lt;&gt;"Y")+Settings!$B$11*'History Y-2'!U45*('History Y-2'!$S45&lt;&gt;"Y")+Settings!$B$12*'History Y-3'!U45*('History Y-3'!$S45&lt;&gt;"Y"))/(Settings!$B$10*('History Y-1'!$S45&lt;&gt;"Y")+Settings!$B$11*('History Y-2'!$S45&lt;&gt;"Y")+Settings!$B$12*('History Y-3'!$S45&lt;&gt;"Y")),'History Y-1'!U45)</f>
        <v>0.0216371943386716</v>
      </c>
      <c r="C45" s="23" t="n">
        <f aca="false">IFERROR((Settings!$B$10*'History Y-1'!V45*('History Y-1'!$S45&lt;&gt;"Y")+Settings!$B$11*'History Y-2'!V45*('History Y-2'!$S45&lt;&gt;"Y")+Settings!$B$12*'History Y-3'!V45*('History Y-3'!$S45&lt;&gt;"Y"))/(Settings!$B$10*('History Y-1'!$S45&lt;&gt;"Y")+Settings!$B$11*('History Y-2'!$S45&lt;&gt;"Y")+Settings!$B$12*('History Y-3'!$S45&lt;&gt;"Y")),'History Y-1'!V45)</f>
        <v>74.4333878039918</v>
      </c>
      <c r="D45" s="36" t="n">
        <f aca="false">IFERROR((Settings!$B$10*'History Y-1'!W45*('History Y-1'!$S45&lt;&gt;"Y")+Settings!$B$11*'History Y-2'!W45*('History Y-2'!$S45&lt;&gt;"Y")+Settings!$B$12*'History Y-3'!W45*('History Y-3'!$S45&lt;&gt;"Y"))/(Settings!$B$10*('History Y-1'!$S45&lt;&gt;"Y")+Settings!$B$11*('History Y-2'!$S45&lt;&gt;"Y")+Settings!$B$12*('History Y-3'!$S45&lt;&gt;"Y")),'History Y-1'!W45)</f>
        <v>1.92982272272313</v>
      </c>
      <c r="E45" s="31" t="n">
        <f aca="false">IFERROR((Settings!$B$10*'History Y-1'!X45*('History Y-1'!$S45&lt;&gt;"Y")+Settings!$B$11*'History Y-2'!X45*('History Y-2'!$S45&lt;&gt;"Y")+Settings!$B$12*'History Y-3'!X45*('History Y-3'!$S45&lt;&gt;"Y"))/(Settings!$B$10*('History Y-1'!$S45&lt;&gt;"Y")+Settings!$B$11*('History Y-2'!$S45&lt;&gt;"Y")+Settings!$B$12*('History Y-3'!$S45&lt;&gt;"Y")),'History Y-1'!X45)</f>
        <v>0.0849437450166834</v>
      </c>
      <c r="F45" s="31" t="n">
        <f aca="false">IFERROR((Settings!$B$10*'History Y-1'!Y45*('History Y-1'!$S45&lt;&gt;"Y")+Settings!$B$11*'History Y-2'!Y45*('History Y-2'!$S45&lt;&gt;"Y")+Settings!$B$12*'History Y-3'!Y45*('History Y-3'!$S45&lt;&gt;"Y"))/(Settings!$B$10*('History Y-1'!$S45&lt;&gt;"Y")+Settings!$B$11*('History Y-2'!$S45&lt;&gt;"Y")+Settings!$B$12*('History Y-3'!$S45&lt;&gt;"Y")),'History Y-1'!Y45)</f>
        <v>0.260198023202177</v>
      </c>
      <c r="G45" s="31" t="n">
        <f aca="false">IFERROR((Settings!$B$10*'History Y-1'!Z45*('History Y-1'!$S45&lt;&gt;"Y")+Settings!$B$11*'History Y-2'!Z45*('History Y-2'!$S45&lt;&gt;"Y")+Settings!$B$12*'History Y-3'!Z45*('History Y-3'!$S45&lt;&gt;"Y"))/(Settings!$B$10*('History Y-1'!$S45&lt;&gt;"Y")+Settings!$B$11*('History Y-2'!$S45&lt;&gt;"Y")+Settings!$B$12*('History Y-3'!$S45&lt;&gt;"Y")),'History Y-1'!Z45)</f>
        <v>0.338393161774337</v>
      </c>
      <c r="H45" s="23" t="n">
        <f aca="false">IFERROR((Settings!$B$10*'History Y-1'!AA45*('History Y-1'!$S45&lt;&gt;"Y")+Settings!$B$11*'History Y-2'!AA45*('History Y-2'!$S45&lt;&gt;"Y")+Settings!$B$12*'History Y-3'!AA45*('History Y-3'!$S45&lt;&gt;"Y"))/(Settings!$B$10*('History Y-1'!$S45&lt;&gt;"Y")+Settings!$B$11*('History Y-2'!$S45&lt;&gt;"Y")+Settings!$B$12*('History Y-3'!$S45&lt;&gt;"Y")),'History Y-1'!AA45)</f>
        <v>0.459512780932849</v>
      </c>
      <c r="I45" s="23" t="n">
        <f aca="false">IFERROR((Settings!$B$10*'History Y-1'!AB45*('History Y-1'!$S45&lt;&gt;"Y")+Settings!$B$11*'History Y-2'!AB45*('History Y-2'!$S45&lt;&gt;"Y")+Settings!$B$12*'History Y-3'!AB45*('History Y-3'!$S45&lt;&gt;"Y"))/(Settings!$B$10*('History Y-1'!$S45&lt;&gt;"Y")+Settings!$B$11*('History Y-2'!$S45&lt;&gt;"Y")+Settings!$B$12*('History Y-3'!$S45&lt;&gt;"Y")),'History Y-1'!AB45)</f>
        <v>0.331506160396541</v>
      </c>
      <c r="J45" s="23" t="n">
        <f aca="false">IFERROR((Settings!$B$10*'History Y-1'!AC45*('History Y-1'!$S45&lt;&gt;"Y")+Settings!$B$11*'History Y-2'!AC45*('History Y-2'!$S45&lt;&gt;"Y")+Settings!$B$12*'History Y-3'!AC45*('History Y-3'!$S45&lt;&gt;"Y"))/(Settings!$B$10*('History Y-1'!$S45&lt;&gt;"Y")+Settings!$B$11*('History Y-2'!$S45&lt;&gt;"Y")+Settings!$B$12*('History Y-3'!$S45&lt;&gt;"Y")),'History Y-1'!AC45)</f>
        <v>0.207598200101025</v>
      </c>
      <c r="K45" s="29" t="n">
        <f aca="false">IFERROR((Settings!$B$10*'History Y-1'!AD45*('History Y-1'!$S45&lt;&gt;"Y")+Settings!$B$11*'History Y-2'!AD45*('History Y-2'!$S45&lt;&gt;"Y")+Settings!$B$12*'History Y-3'!AD45*('History Y-3'!$S45&lt;&gt;"Y"))/(Settings!$B$10*('History Y-1'!$S45&lt;&gt;"Y")+Settings!$B$11*('History Y-2'!$S45&lt;&gt;"Y")+Settings!$B$12*('History Y-3'!$S45&lt;&gt;"Y")),'History Y-1'!AD45)</f>
        <v>0.0189443815193095</v>
      </c>
      <c r="L45" s="29" t="n">
        <f aca="false">IFERROR((Settings!$B$10*'History Y-1'!AE45*('History Y-1'!$S45&lt;&gt;"Y")+Settings!$B$11*'History Y-2'!AE45*('History Y-2'!$S45&lt;&gt;"Y")+Settings!$B$12*'History Y-3'!AE45*('History Y-3'!$S45&lt;&gt;"Y"))/(Settings!$B$10*('History Y-1'!$S45&lt;&gt;"Y")+Settings!$B$11*('History Y-2'!$S45&lt;&gt;"Y")+Settings!$B$12*('History Y-3'!$S45&lt;&gt;"Y")),'History Y-1'!AE45)</f>
        <v>0.0172547966336205</v>
      </c>
      <c r="M45" s="29" t="n">
        <f aca="false">IFERROR((Settings!$B$10*'History Y-1'!AF45*('History Y-1'!$S45&lt;&gt;"Y")+Settings!$B$11*'History Y-2'!AF45*('History Y-2'!$S45&lt;&gt;"Y")+Settings!$B$12*'History Y-3'!AF45*('History Y-3'!$S45&lt;&gt;"Y"))/(Settings!$B$10*('History Y-1'!$S45&lt;&gt;"Y")+Settings!$B$11*('History Y-2'!$S45&lt;&gt;"Y")+Settings!$B$12*('History Y-3'!$S45&lt;&gt;"Y")),'History Y-1'!AF45)</f>
        <v>0.0185492286254</v>
      </c>
      <c r="N45" s="29" t="n">
        <f aca="false">IFERROR((Settings!$B$10*'History Y-1'!AG45*('History Y-1'!$S45&lt;&gt;"Y")+Settings!$B$11*'History Y-2'!AG45*('History Y-2'!$S45&lt;&gt;"Y")+Settings!$B$12*'History Y-3'!AG45*('History Y-3'!$S45&lt;&gt;"Y"))/(Settings!$B$10*('History Y-1'!$S45&lt;&gt;"Y")+Settings!$B$11*('History Y-2'!$S45&lt;&gt;"Y")+Settings!$B$12*('History Y-3'!$S45&lt;&gt;"Y")),'History Y-1'!AG45)</f>
        <v>0.0186664041225147</v>
      </c>
      <c r="O45" s="29" t="n">
        <f aca="false">IFERROR((Settings!$B$10*'History Y-1'!AH45*('History Y-1'!$S45&lt;&gt;"Y")+Settings!$B$11*'History Y-2'!AH45*('History Y-2'!$S45&lt;&gt;"Y")+Settings!$B$12*'History Y-3'!AH45*('History Y-3'!$S45&lt;&gt;"Y"))/(Settings!$B$10*('History Y-1'!$S45&lt;&gt;"Y")+Settings!$B$11*('History Y-2'!$S45&lt;&gt;"Y")+Settings!$B$12*('History Y-3'!$S45&lt;&gt;"Y")),'History Y-1'!AH45)</f>
        <v>0.0177533025831543</v>
      </c>
      <c r="P45" s="29" t="n">
        <f aca="false">IFERROR((Settings!$B$10*'History Y-1'!AI45*('History Y-1'!$S45&lt;&gt;"Y")+Settings!$B$11*'History Y-2'!AI45*('History Y-2'!$S45&lt;&gt;"Y")+Settings!$B$12*'History Y-3'!AI45*('History Y-3'!$S45&lt;&gt;"Y"))/(Settings!$B$10*('History Y-1'!$S45&lt;&gt;"Y")+Settings!$B$11*('History Y-2'!$S45&lt;&gt;"Y")+Settings!$B$12*('History Y-3'!$S45&lt;&gt;"Y")),'History Y-1'!AI45)</f>
        <v>0.0187970400383343</v>
      </c>
      <c r="Q45" s="57" t="n">
        <f aca="false">IFERROR(K45/SUM(K$6:K$57),0)</f>
        <v>0.0189545807836369</v>
      </c>
      <c r="R45" s="57" t="n">
        <f aca="false">IFERROR(L45/SUM(L$6:L$57),0)</f>
        <v>0.0172696016839343</v>
      </c>
      <c r="S45" s="57" t="n">
        <f aca="false">IFERROR(M45/SUM(M$6:M$57),0)</f>
        <v>0.0185762546353778</v>
      </c>
      <c r="T45" s="57" t="n">
        <f aca="false">IFERROR(N45/SUM(N$6:N$57),0)</f>
        <v>0.018719312693694</v>
      </c>
      <c r="U45" s="57" t="n">
        <f aca="false">IFERROR(O45/SUM(O$6:O$57),0)</f>
        <v>0.0177734769480566</v>
      </c>
      <c r="V45" s="57" t="n">
        <f aca="false">IFERROR(P45/SUM(P$6:P$57),0)</f>
        <v>0.0188470387375653</v>
      </c>
    </row>
    <row r="46" customFormat="false" ht="15" hidden="false" customHeight="false" outlineLevel="0" collapsed="false">
      <c r="A46" s="13" t="n">
        <v>41</v>
      </c>
      <c r="B46" s="29" t="n">
        <f aca="false">IFERROR((Settings!$B$10*'History Y-1'!U46*('History Y-1'!$S46&lt;&gt;"Y")+Settings!$B$11*'History Y-2'!U46*('History Y-2'!$S46&lt;&gt;"Y")+Settings!$B$12*'History Y-3'!U46*('History Y-3'!$S46&lt;&gt;"Y"))/(Settings!$B$10*('History Y-1'!$S46&lt;&gt;"Y")+Settings!$B$11*('History Y-2'!$S46&lt;&gt;"Y")+Settings!$B$12*('History Y-3'!$S46&lt;&gt;"Y")),'History Y-1'!U46)</f>
        <v>0.0217529790730842</v>
      </c>
      <c r="C46" s="23" t="n">
        <f aca="false">IFERROR((Settings!$B$10*'History Y-1'!V46*('History Y-1'!$S46&lt;&gt;"Y")+Settings!$B$11*'History Y-2'!V46*('History Y-2'!$S46&lt;&gt;"Y")+Settings!$B$12*'History Y-3'!V46*('History Y-3'!$S46&lt;&gt;"Y"))/(Settings!$B$10*('History Y-1'!$S46&lt;&gt;"Y")+Settings!$B$11*('History Y-2'!$S46&lt;&gt;"Y")+Settings!$B$12*('History Y-3'!$S46&lt;&gt;"Y")),'History Y-1'!V46)</f>
        <v>74.7138540695693</v>
      </c>
      <c r="D46" s="36" t="n">
        <f aca="false">IFERROR((Settings!$B$10*'History Y-1'!W46*('History Y-1'!$S46&lt;&gt;"Y")+Settings!$B$11*'History Y-2'!W46*('History Y-2'!$S46&lt;&gt;"Y")+Settings!$B$12*'History Y-3'!W46*('History Y-3'!$S46&lt;&gt;"Y"))/(Settings!$B$10*('History Y-1'!$S46&lt;&gt;"Y")+Settings!$B$11*('History Y-2'!$S46&lt;&gt;"Y")+Settings!$B$12*('History Y-3'!$S46&lt;&gt;"Y")),'History Y-1'!W46)</f>
        <v>1.92640153437406</v>
      </c>
      <c r="E46" s="31" t="n">
        <f aca="false">IFERROR((Settings!$B$10*'History Y-1'!X46*('History Y-1'!$S46&lt;&gt;"Y")+Settings!$B$11*'History Y-2'!X46*('History Y-2'!$S46&lt;&gt;"Y")+Settings!$B$12*'History Y-3'!X46*('History Y-3'!$S46&lt;&gt;"Y"))/(Settings!$B$10*('History Y-1'!$S46&lt;&gt;"Y")+Settings!$B$11*('History Y-2'!$S46&lt;&gt;"Y")+Settings!$B$12*('History Y-3'!$S46&lt;&gt;"Y")),'History Y-1'!X46)</f>
        <v>0.0771528480792872</v>
      </c>
      <c r="F46" s="31" t="n">
        <f aca="false">IFERROR((Settings!$B$10*'History Y-1'!Y46*('History Y-1'!$S46&lt;&gt;"Y")+Settings!$B$11*'History Y-2'!Y46*('History Y-2'!$S46&lt;&gt;"Y")+Settings!$B$12*'History Y-3'!Y46*('History Y-3'!$S46&lt;&gt;"Y"))/(Settings!$B$10*('History Y-1'!$S46&lt;&gt;"Y")+Settings!$B$11*('History Y-2'!$S46&lt;&gt;"Y")+Settings!$B$12*('History Y-3'!$S46&lt;&gt;"Y")),'History Y-1'!Y46)</f>
        <v>0.256575550397254</v>
      </c>
      <c r="G46" s="31" t="n">
        <f aca="false">IFERROR((Settings!$B$10*'History Y-1'!Z46*('History Y-1'!$S46&lt;&gt;"Y")+Settings!$B$11*'History Y-2'!Z46*('History Y-2'!$S46&lt;&gt;"Y")+Settings!$B$12*'History Y-3'!Z46*('History Y-3'!$S46&lt;&gt;"Y"))/(Settings!$B$10*('History Y-1'!$S46&lt;&gt;"Y")+Settings!$B$11*('History Y-2'!$S46&lt;&gt;"Y")+Settings!$B$12*('History Y-3'!$S46&lt;&gt;"Y")),'History Y-1'!Z46)</f>
        <v>0.34869904623248</v>
      </c>
      <c r="H46" s="23" t="n">
        <f aca="false">IFERROR((Settings!$B$10*'History Y-1'!AA46*('History Y-1'!$S46&lt;&gt;"Y")+Settings!$B$11*'History Y-2'!AA46*('History Y-2'!$S46&lt;&gt;"Y")+Settings!$B$12*'History Y-3'!AA46*('History Y-3'!$S46&lt;&gt;"Y"))/(Settings!$B$10*('History Y-1'!$S46&lt;&gt;"Y")+Settings!$B$11*('History Y-2'!$S46&lt;&gt;"Y")+Settings!$B$12*('History Y-3'!$S46&lt;&gt;"Y")),'History Y-1'!AA46)</f>
        <v>0.456352666188239</v>
      </c>
      <c r="I46" s="23" t="n">
        <f aca="false">IFERROR((Settings!$B$10*'History Y-1'!AB46*('History Y-1'!$S46&lt;&gt;"Y")+Settings!$B$11*'History Y-2'!AB46*('History Y-2'!$S46&lt;&gt;"Y")+Settings!$B$12*'History Y-3'!AB46*('History Y-3'!$S46&lt;&gt;"Y"))/(Settings!$B$10*('History Y-1'!$S46&lt;&gt;"Y")+Settings!$B$11*('History Y-2'!$S46&lt;&gt;"Y")+Settings!$B$12*('History Y-3'!$S46&lt;&gt;"Y")),'History Y-1'!AB46)</f>
        <v>0.341999839876256</v>
      </c>
      <c r="J46" s="23" t="n">
        <f aca="false">IFERROR((Settings!$B$10*'History Y-1'!AC46*('History Y-1'!$S46&lt;&gt;"Y")+Settings!$B$11*'History Y-2'!AC46*('History Y-2'!$S46&lt;&gt;"Y")+Settings!$B$12*'History Y-3'!AC46*('History Y-3'!$S46&lt;&gt;"Y"))/(Settings!$B$10*('History Y-1'!$S46&lt;&gt;"Y")+Settings!$B$11*('History Y-2'!$S46&lt;&gt;"Y")+Settings!$B$12*('History Y-3'!$S46&lt;&gt;"Y")),'History Y-1'!AC46)</f>
        <v>0.19855179027395</v>
      </c>
      <c r="K46" s="29" t="n">
        <f aca="false">IFERROR((Settings!$B$10*'History Y-1'!AD46*('History Y-1'!$S46&lt;&gt;"Y")+Settings!$B$11*'History Y-2'!AD46*('History Y-2'!$S46&lt;&gt;"Y")+Settings!$B$12*'History Y-3'!AD46*('History Y-3'!$S46&lt;&gt;"Y"))/(Settings!$B$10*('History Y-1'!$S46&lt;&gt;"Y")+Settings!$B$11*('History Y-2'!$S46&lt;&gt;"Y")+Settings!$B$12*('History Y-3'!$S46&lt;&gt;"Y")),'History Y-1'!AD46)</f>
        <v>0.0195694918721869</v>
      </c>
      <c r="L46" s="29" t="n">
        <f aca="false">IFERROR((Settings!$B$10*'History Y-1'!AE46*('History Y-1'!$S46&lt;&gt;"Y")+Settings!$B$11*'History Y-2'!AE46*('History Y-2'!$S46&lt;&gt;"Y")+Settings!$B$12*'History Y-3'!AE46*('History Y-3'!$S46&lt;&gt;"Y"))/(Settings!$B$10*('History Y-1'!$S46&lt;&gt;"Y")+Settings!$B$11*('History Y-2'!$S46&lt;&gt;"Y")+Settings!$B$12*('History Y-3'!$S46&lt;&gt;"Y")),'History Y-1'!AE46)</f>
        <v>0.0177421725424123</v>
      </c>
      <c r="M46" s="29" t="n">
        <f aca="false">IFERROR((Settings!$B$10*'History Y-1'!AF46*('History Y-1'!$S46&lt;&gt;"Y")+Settings!$B$11*'History Y-2'!AF46*('History Y-2'!$S46&lt;&gt;"Y")+Settings!$B$12*'History Y-3'!AF46*('History Y-3'!$S46&lt;&gt;"Y"))/(Settings!$B$10*('History Y-1'!$S46&lt;&gt;"Y")+Settings!$B$11*('History Y-2'!$S46&lt;&gt;"Y")+Settings!$B$12*('History Y-3'!$S46&lt;&gt;"Y")),'History Y-1'!AF46)</f>
        <v>0.0185621577920373</v>
      </c>
      <c r="N46" s="29" t="n">
        <f aca="false">IFERROR((Settings!$B$10*'History Y-1'!AG46*('History Y-1'!$S46&lt;&gt;"Y")+Settings!$B$11*'History Y-2'!AG46*('History Y-2'!$S46&lt;&gt;"Y")+Settings!$B$12*'History Y-3'!AG46*('History Y-3'!$S46&lt;&gt;"Y"))/(Settings!$B$10*('History Y-1'!$S46&lt;&gt;"Y")+Settings!$B$11*('History Y-2'!$S46&lt;&gt;"Y")+Settings!$B$12*('History Y-3'!$S46&lt;&gt;"Y")),'History Y-1'!AG46)</f>
        <v>0.0187642052794005</v>
      </c>
      <c r="O46" s="29" t="n">
        <f aca="false">IFERROR((Settings!$B$10*'History Y-1'!AH46*('History Y-1'!$S46&lt;&gt;"Y")+Settings!$B$11*'History Y-2'!AH46*('History Y-2'!$S46&lt;&gt;"Y")+Settings!$B$12*'History Y-3'!AH46*('History Y-3'!$S46&lt;&gt;"Y"))/(Settings!$B$10*('History Y-1'!$S46&lt;&gt;"Y")+Settings!$B$11*('History Y-2'!$S46&lt;&gt;"Y")+Settings!$B$12*('History Y-3'!$S46&lt;&gt;"Y")),'History Y-1'!AH46)</f>
        <v>0.0193276759417335</v>
      </c>
      <c r="P46" s="29" t="n">
        <f aca="false">IFERROR((Settings!$B$10*'History Y-1'!AI46*('History Y-1'!$S46&lt;&gt;"Y")+Settings!$B$11*'History Y-2'!AI46*('History Y-2'!$S46&lt;&gt;"Y")+Settings!$B$12*'History Y-3'!AI46*('History Y-3'!$S46&lt;&gt;"Y"))/(Settings!$B$10*('History Y-1'!$S46&lt;&gt;"Y")+Settings!$B$11*('History Y-2'!$S46&lt;&gt;"Y")+Settings!$B$12*('History Y-3'!$S46&lt;&gt;"Y")),'History Y-1'!AI46)</f>
        <v>0.0184738822256151</v>
      </c>
      <c r="Q46" s="57" t="n">
        <f aca="false">IFERROR(K46/SUM(K$6:K$57),0)</f>
        <v>0.0195800276830369</v>
      </c>
      <c r="R46" s="57" t="n">
        <f aca="false">IFERROR(L46/SUM(L$6:L$57),0)</f>
        <v>0.0177573957735371</v>
      </c>
      <c r="S46" s="57" t="n">
        <f aca="false">IFERROR(M46/SUM(M$6:M$57),0)</f>
        <v>0.0185892026396602</v>
      </c>
      <c r="T46" s="57" t="n">
        <f aca="false">IFERROR(N46/SUM(N$6:N$57),0)</f>
        <v>0.0188173910608789</v>
      </c>
      <c r="U46" s="57" t="n">
        <f aca="false">IFERROR(O46/SUM(O$6:O$57),0)</f>
        <v>0.0193496393812308</v>
      </c>
      <c r="V46" s="57" t="n">
        <f aca="false">IFERROR(P46/SUM(P$6:P$57),0)</f>
        <v>0.0185230213496019</v>
      </c>
    </row>
    <row r="47" customFormat="false" ht="15" hidden="false" customHeight="false" outlineLevel="0" collapsed="false">
      <c r="A47" s="13" t="n">
        <v>42</v>
      </c>
      <c r="B47" s="29" t="n">
        <f aca="false">IFERROR((Settings!$B$10*'History Y-1'!U47*('History Y-1'!$S47&lt;&gt;"Y")+Settings!$B$11*'History Y-2'!U47*('History Y-2'!$S47&lt;&gt;"Y")+Settings!$B$12*'History Y-3'!U47*('History Y-3'!$S47&lt;&gt;"Y"))/(Settings!$B$10*('History Y-1'!$S47&lt;&gt;"Y")+Settings!$B$11*('History Y-2'!$S47&lt;&gt;"Y")+Settings!$B$12*('History Y-3'!$S47&lt;&gt;"Y")),'History Y-1'!U47)</f>
        <v>0.0216345662944982</v>
      </c>
      <c r="C47" s="23" t="n">
        <f aca="false">IFERROR((Settings!$B$10*'History Y-1'!V47*('History Y-1'!$S47&lt;&gt;"Y")+Settings!$B$11*'History Y-2'!V47*('History Y-2'!$S47&lt;&gt;"Y")+Settings!$B$12*'History Y-3'!V47*('History Y-3'!$S47&lt;&gt;"Y"))/(Settings!$B$10*('History Y-1'!$S47&lt;&gt;"Y")+Settings!$B$11*('History Y-2'!$S47&lt;&gt;"Y")+Settings!$B$12*('History Y-3'!$S47&lt;&gt;"Y")),'History Y-1'!V47)</f>
        <v>75.8687773068321</v>
      </c>
      <c r="D47" s="36" t="n">
        <f aca="false">IFERROR((Settings!$B$10*'History Y-1'!W47*('History Y-1'!$S47&lt;&gt;"Y")+Settings!$B$11*'History Y-2'!W47*('History Y-2'!$S47&lt;&gt;"Y")+Settings!$B$12*'History Y-3'!W47*('History Y-3'!$S47&lt;&gt;"Y"))/(Settings!$B$10*('History Y-1'!$S47&lt;&gt;"Y")+Settings!$B$11*('History Y-2'!$S47&lt;&gt;"Y")+Settings!$B$12*('History Y-3'!$S47&lt;&gt;"Y")),'History Y-1'!W47)</f>
        <v>1.93488057577352</v>
      </c>
      <c r="E47" s="31" t="n">
        <f aca="false">IFERROR((Settings!$B$10*'History Y-1'!X47*('History Y-1'!$S47&lt;&gt;"Y")+Settings!$B$11*'History Y-2'!X47*('History Y-2'!$S47&lt;&gt;"Y")+Settings!$B$12*'History Y-3'!X47*('History Y-3'!$S47&lt;&gt;"Y"))/(Settings!$B$10*('History Y-1'!$S47&lt;&gt;"Y")+Settings!$B$11*('History Y-2'!$S47&lt;&gt;"Y")+Settings!$B$12*('History Y-3'!$S47&lt;&gt;"Y")),'History Y-1'!X47)</f>
        <v>0.0794432081424889</v>
      </c>
      <c r="F47" s="31" t="n">
        <f aca="false">IFERROR((Settings!$B$10*'History Y-1'!Y47*('History Y-1'!$S47&lt;&gt;"Y")+Settings!$B$11*'History Y-2'!Y47*('History Y-2'!$S47&lt;&gt;"Y")+Settings!$B$12*'History Y-3'!Y47*('History Y-3'!$S47&lt;&gt;"Y"))/(Settings!$B$10*('History Y-1'!$S47&lt;&gt;"Y")+Settings!$B$11*('History Y-2'!$S47&lt;&gt;"Y")+Settings!$B$12*('History Y-3'!$S47&lt;&gt;"Y")),'History Y-1'!Y47)</f>
        <v>0.260198695138602</v>
      </c>
      <c r="G47" s="31" t="n">
        <f aca="false">IFERROR((Settings!$B$10*'History Y-1'!Z47*('History Y-1'!$S47&lt;&gt;"Y")+Settings!$B$11*'History Y-2'!Z47*('History Y-2'!$S47&lt;&gt;"Y")+Settings!$B$12*'History Y-3'!Z47*('History Y-3'!$S47&lt;&gt;"Y"))/(Settings!$B$10*('History Y-1'!$S47&lt;&gt;"Y")+Settings!$B$11*('History Y-2'!$S47&lt;&gt;"Y")+Settings!$B$12*('History Y-3'!$S47&lt;&gt;"Y")),'History Y-1'!Z47)</f>
        <v>0.349404253134631</v>
      </c>
      <c r="H47" s="23" t="n">
        <f aca="false">IFERROR((Settings!$B$10*'History Y-1'!AA47*('History Y-1'!$S47&lt;&gt;"Y")+Settings!$B$11*'History Y-2'!AA47*('History Y-2'!$S47&lt;&gt;"Y")+Settings!$B$12*'History Y-3'!AA47*('History Y-3'!$S47&lt;&gt;"Y"))/(Settings!$B$10*('History Y-1'!$S47&lt;&gt;"Y")+Settings!$B$11*('History Y-2'!$S47&lt;&gt;"Y")+Settings!$B$12*('History Y-3'!$S47&lt;&gt;"Y")),'History Y-1'!AA47)</f>
        <v>0.448700818853316</v>
      </c>
      <c r="I47" s="23" t="n">
        <f aca="false">IFERROR((Settings!$B$10*'History Y-1'!AB47*('History Y-1'!$S47&lt;&gt;"Y")+Settings!$B$11*'History Y-2'!AB47*('History Y-2'!$S47&lt;&gt;"Y")+Settings!$B$12*'History Y-3'!AB47*('History Y-3'!$S47&lt;&gt;"Y"))/(Settings!$B$10*('History Y-1'!$S47&lt;&gt;"Y")+Settings!$B$11*('History Y-2'!$S47&lt;&gt;"Y")+Settings!$B$12*('History Y-3'!$S47&lt;&gt;"Y")),'History Y-1'!AB47)</f>
        <v>0.342369570421604</v>
      </c>
      <c r="J47" s="23" t="n">
        <f aca="false">IFERROR((Settings!$B$10*'History Y-1'!AC47*('History Y-1'!$S47&lt;&gt;"Y")+Settings!$B$11*'History Y-2'!AC47*('History Y-2'!$S47&lt;&gt;"Y")+Settings!$B$12*'History Y-3'!AC47*('History Y-3'!$S47&lt;&gt;"Y"))/(Settings!$B$10*('History Y-1'!$S47&lt;&gt;"Y")+Settings!$B$11*('History Y-2'!$S47&lt;&gt;"Y")+Settings!$B$12*('History Y-3'!$S47&lt;&gt;"Y")),'History Y-1'!AC47)</f>
        <v>0.203340197376647</v>
      </c>
      <c r="K47" s="29" t="n">
        <f aca="false">IFERROR((Settings!$B$10*'History Y-1'!AD47*('History Y-1'!$S47&lt;&gt;"Y")+Settings!$B$11*'History Y-2'!AD47*('History Y-2'!$S47&lt;&gt;"Y")+Settings!$B$12*'History Y-3'!AD47*('History Y-3'!$S47&lt;&gt;"Y"))/(Settings!$B$10*('History Y-1'!$S47&lt;&gt;"Y")+Settings!$B$11*('History Y-2'!$S47&lt;&gt;"Y")+Settings!$B$12*('History Y-3'!$S47&lt;&gt;"Y")),'History Y-1'!AD47)</f>
        <v>0.0182759242583403</v>
      </c>
      <c r="L47" s="29" t="n">
        <f aca="false">IFERROR((Settings!$B$10*'History Y-1'!AE47*('History Y-1'!$S47&lt;&gt;"Y")+Settings!$B$11*'History Y-2'!AE47*('History Y-2'!$S47&lt;&gt;"Y")+Settings!$B$12*'History Y-3'!AE47*('History Y-3'!$S47&lt;&gt;"Y"))/(Settings!$B$10*('History Y-1'!$S47&lt;&gt;"Y")+Settings!$B$11*('History Y-2'!$S47&lt;&gt;"Y")+Settings!$B$12*('History Y-3'!$S47&lt;&gt;"Y")),'History Y-1'!AE47)</f>
        <v>0.0175100287388752</v>
      </c>
      <c r="M47" s="29" t="n">
        <f aca="false">IFERROR((Settings!$B$10*'History Y-1'!AF47*('History Y-1'!$S47&lt;&gt;"Y")+Settings!$B$11*'History Y-2'!AF47*('History Y-2'!$S47&lt;&gt;"Y")+Settings!$B$12*'History Y-3'!AF47*('History Y-3'!$S47&lt;&gt;"Y"))/(Settings!$B$10*('History Y-1'!$S47&lt;&gt;"Y")+Settings!$B$11*('History Y-2'!$S47&lt;&gt;"Y")+Settings!$B$12*('History Y-3'!$S47&lt;&gt;"Y")),'History Y-1'!AF47)</f>
        <v>0.0186858540168187</v>
      </c>
      <c r="N47" s="29" t="n">
        <f aca="false">IFERROR((Settings!$B$10*'History Y-1'!AG47*('History Y-1'!$S47&lt;&gt;"Y")+Settings!$B$11*'History Y-2'!AG47*('History Y-2'!$S47&lt;&gt;"Y")+Settings!$B$12*'History Y-3'!AG47*('History Y-3'!$S47&lt;&gt;"Y"))/(Settings!$B$10*('History Y-1'!$S47&lt;&gt;"Y")+Settings!$B$11*('History Y-2'!$S47&lt;&gt;"Y")+Settings!$B$12*('History Y-3'!$S47&lt;&gt;"Y")),'History Y-1'!AG47)</f>
        <v>0.0182173314728375</v>
      </c>
      <c r="O47" s="29" t="n">
        <f aca="false">IFERROR((Settings!$B$10*'History Y-1'!AH47*('History Y-1'!$S47&lt;&gt;"Y")+Settings!$B$11*'History Y-2'!AH47*('History Y-2'!$S47&lt;&gt;"Y")+Settings!$B$12*'History Y-3'!AH47*('History Y-3'!$S47&lt;&gt;"Y"))/(Settings!$B$10*('History Y-1'!$S47&lt;&gt;"Y")+Settings!$B$11*('History Y-2'!$S47&lt;&gt;"Y")+Settings!$B$12*('History Y-3'!$S47&lt;&gt;"Y")),'History Y-1'!AH47)</f>
        <v>0.0195407277872903</v>
      </c>
      <c r="P47" s="29" t="n">
        <f aca="false">IFERROR((Settings!$B$10*'History Y-1'!AI47*('History Y-1'!$S47&lt;&gt;"Y")+Settings!$B$11*'History Y-2'!AI47*('History Y-2'!$S47&lt;&gt;"Y")+Settings!$B$12*'History Y-3'!AI47*('History Y-3'!$S47&lt;&gt;"Y"))/(Settings!$B$10*('History Y-1'!$S47&lt;&gt;"Y")+Settings!$B$11*('History Y-2'!$S47&lt;&gt;"Y")+Settings!$B$12*('History Y-3'!$S47&lt;&gt;"Y")),'History Y-1'!AI47)</f>
        <v>0.0193379568371922</v>
      </c>
      <c r="Q47" s="57" t="n">
        <f aca="false">IFERROR(K47/SUM(K$6:K$57),0)</f>
        <v>0.0182857636390637</v>
      </c>
      <c r="R47" s="57" t="n">
        <f aca="false">IFERROR(L47/SUM(L$6:L$57),0)</f>
        <v>0.0175250527847668</v>
      </c>
      <c r="S47" s="57" t="n">
        <f aca="false">IFERROR(M47/SUM(M$6:M$57),0)</f>
        <v>0.0187130790883999</v>
      </c>
      <c r="T47" s="57" t="n">
        <f aca="false">IFERROR(N47/SUM(N$6:N$57),0)</f>
        <v>0.0182689671801008</v>
      </c>
      <c r="U47" s="57" t="n">
        <f aca="false">IFERROR(O47/SUM(O$6:O$57),0)</f>
        <v>0.0195629333330467</v>
      </c>
      <c r="V47" s="57" t="n">
        <f aca="false">IFERROR(P47/SUM(P$6:P$57),0)</f>
        <v>0.019389394334036</v>
      </c>
    </row>
    <row r="48" customFormat="false" ht="15" hidden="false" customHeight="false" outlineLevel="0" collapsed="false">
      <c r="A48" s="13" t="n">
        <v>43</v>
      </c>
      <c r="B48" s="29" t="n">
        <f aca="false">IFERROR((Settings!$B$10*'History Y-1'!U48*('History Y-1'!$S48&lt;&gt;"Y")+Settings!$B$11*'History Y-2'!U48*('History Y-2'!$S48&lt;&gt;"Y")+Settings!$B$12*'History Y-3'!U48*('History Y-3'!$S48&lt;&gt;"Y"))/(Settings!$B$10*('History Y-1'!$S48&lt;&gt;"Y")+Settings!$B$11*('History Y-2'!$S48&lt;&gt;"Y")+Settings!$B$12*('History Y-3'!$S48&lt;&gt;"Y")),'History Y-1'!U48)</f>
        <v>0.0302576250964833</v>
      </c>
      <c r="C48" s="23" t="n">
        <f aca="false">IFERROR((Settings!$B$10*'History Y-1'!V48*('History Y-1'!$S48&lt;&gt;"Y")+Settings!$B$11*'History Y-2'!V48*('History Y-2'!$S48&lt;&gt;"Y")+Settings!$B$12*'History Y-3'!V48*('History Y-3'!$S48&lt;&gt;"Y"))/(Settings!$B$10*('History Y-1'!$S48&lt;&gt;"Y")+Settings!$B$11*('History Y-2'!$S48&lt;&gt;"Y")+Settings!$B$12*('History Y-3'!$S48&lt;&gt;"Y")),'History Y-1'!V48)</f>
        <v>70.9277533649967</v>
      </c>
      <c r="D48" s="36" t="n">
        <f aca="false">IFERROR((Settings!$B$10*'History Y-1'!W48*('History Y-1'!$S48&lt;&gt;"Y")+Settings!$B$11*'History Y-2'!W48*('History Y-2'!$S48&lt;&gt;"Y")+Settings!$B$12*'History Y-3'!W48*('History Y-3'!$S48&lt;&gt;"Y"))/(Settings!$B$10*('History Y-1'!$S48&lt;&gt;"Y")+Settings!$B$11*('History Y-2'!$S48&lt;&gt;"Y")+Settings!$B$12*('History Y-3'!$S48&lt;&gt;"Y")),'History Y-1'!W48)</f>
        <v>1.87764457099434</v>
      </c>
      <c r="E48" s="31" t="n">
        <f aca="false">IFERROR((Settings!$B$10*'History Y-1'!X48*('History Y-1'!$S48&lt;&gt;"Y")+Settings!$B$11*'History Y-2'!X48*('History Y-2'!$S48&lt;&gt;"Y")+Settings!$B$12*'History Y-3'!X48*('History Y-3'!$S48&lt;&gt;"Y"))/(Settings!$B$10*('History Y-1'!$S48&lt;&gt;"Y")+Settings!$B$11*('History Y-2'!$S48&lt;&gt;"Y")+Settings!$B$12*('History Y-3'!$S48&lt;&gt;"Y")),'History Y-1'!X48)</f>
        <v>0.248301186391011</v>
      </c>
      <c r="F48" s="31" t="n">
        <f aca="false">IFERROR((Settings!$B$10*'History Y-1'!Y48*('History Y-1'!$S48&lt;&gt;"Y")+Settings!$B$11*'History Y-2'!Y48*('History Y-2'!$S48&lt;&gt;"Y")+Settings!$B$12*'History Y-3'!Y48*('History Y-3'!$S48&lt;&gt;"Y"))/(Settings!$B$10*('History Y-1'!$S48&lt;&gt;"Y")+Settings!$B$11*('History Y-2'!$S48&lt;&gt;"Y")+Settings!$B$12*('History Y-3'!$S48&lt;&gt;"Y")),'History Y-1'!Y48)</f>
        <v>0.275522466840211</v>
      </c>
      <c r="G48" s="31" t="n">
        <f aca="false">IFERROR((Settings!$B$10*'History Y-1'!Z48*('History Y-1'!$S48&lt;&gt;"Y")+Settings!$B$11*'History Y-2'!Z48*('History Y-2'!$S48&lt;&gt;"Y")+Settings!$B$12*'History Y-3'!Z48*('History Y-3'!$S48&lt;&gt;"Y"))/(Settings!$B$10*('History Y-1'!$S48&lt;&gt;"Y")+Settings!$B$11*('History Y-2'!$S48&lt;&gt;"Y")+Settings!$B$12*('History Y-3'!$S48&lt;&gt;"Y")),'History Y-1'!Z48)</f>
        <v>0.44576450230568</v>
      </c>
      <c r="H48" s="23" t="n">
        <f aca="false">IFERROR((Settings!$B$10*'History Y-1'!AA48*('History Y-1'!$S48&lt;&gt;"Y")+Settings!$B$11*'History Y-2'!AA48*('History Y-2'!$S48&lt;&gt;"Y")+Settings!$B$12*'History Y-3'!AA48*('History Y-3'!$S48&lt;&gt;"Y"))/(Settings!$B$10*('History Y-1'!$S48&lt;&gt;"Y")+Settings!$B$11*('History Y-2'!$S48&lt;&gt;"Y")+Settings!$B$12*('History Y-3'!$S48&lt;&gt;"Y")),'History Y-1'!AA48)</f>
        <v>0.449239465271783</v>
      </c>
      <c r="I48" s="23" t="n">
        <f aca="false">IFERROR((Settings!$B$10*'History Y-1'!AB48*('History Y-1'!$S48&lt;&gt;"Y")+Settings!$B$11*'History Y-2'!AB48*('History Y-2'!$S48&lt;&gt;"Y")+Settings!$B$12*'History Y-3'!AB48*('History Y-3'!$S48&lt;&gt;"Y"))/(Settings!$B$10*('History Y-1'!$S48&lt;&gt;"Y")+Settings!$B$11*('History Y-2'!$S48&lt;&gt;"Y")+Settings!$B$12*('History Y-3'!$S48&lt;&gt;"Y")),'History Y-1'!AB48)</f>
        <v>0.342229797894962</v>
      </c>
      <c r="J48" s="23" t="n">
        <f aca="false">IFERROR((Settings!$B$10*'History Y-1'!AC48*('History Y-1'!$S48&lt;&gt;"Y")+Settings!$B$11*'History Y-2'!AC48*('History Y-2'!$S48&lt;&gt;"Y")+Settings!$B$12*'History Y-3'!AC48*('History Y-3'!$S48&lt;&gt;"Y"))/(Settings!$B$10*('History Y-1'!$S48&lt;&gt;"Y")+Settings!$B$11*('History Y-2'!$S48&lt;&gt;"Y")+Settings!$B$12*('History Y-3'!$S48&lt;&gt;"Y")),'History Y-1'!AC48)</f>
        <v>0.199246871162176</v>
      </c>
      <c r="K48" s="29" t="n">
        <f aca="false">IFERROR((Settings!$B$10*'History Y-1'!AD48*('History Y-1'!$S48&lt;&gt;"Y")+Settings!$B$11*'History Y-2'!AD48*('History Y-2'!$S48&lt;&gt;"Y")+Settings!$B$12*'History Y-3'!AD48*('History Y-3'!$S48&lt;&gt;"Y"))/(Settings!$B$10*('History Y-1'!$S48&lt;&gt;"Y")+Settings!$B$11*('History Y-2'!$S48&lt;&gt;"Y")+Settings!$B$12*('History Y-3'!$S48&lt;&gt;"Y")),'History Y-1'!AD48)</f>
        <v>0.0359652445525896</v>
      </c>
      <c r="L48" s="29" t="n">
        <f aca="false">IFERROR((Settings!$B$10*'History Y-1'!AE48*('History Y-1'!$S48&lt;&gt;"Y")+Settings!$B$11*'History Y-2'!AE48*('History Y-2'!$S48&lt;&gt;"Y")+Settings!$B$12*'History Y-3'!AE48*('History Y-3'!$S48&lt;&gt;"Y"))/(Settings!$B$10*('History Y-1'!$S48&lt;&gt;"Y")+Settings!$B$11*('History Y-2'!$S48&lt;&gt;"Y")+Settings!$B$12*('History Y-3'!$S48&lt;&gt;"Y")),'History Y-1'!AE48)</f>
        <v>0.0532639453566121</v>
      </c>
      <c r="M48" s="29" t="n">
        <f aca="false">IFERROR((Settings!$B$10*'History Y-1'!AF48*('History Y-1'!$S48&lt;&gt;"Y")+Settings!$B$11*'History Y-2'!AF48*('History Y-2'!$S48&lt;&gt;"Y")+Settings!$B$12*'History Y-3'!AF48*('History Y-3'!$S48&lt;&gt;"Y"))/(Settings!$B$10*('History Y-1'!$S48&lt;&gt;"Y")+Settings!$B$11*('History Y-2'!$S48&lt;&gt;"Y")+Settings!$B$12*('History Y-3'!$S48&lt;&gt;"Y")),'History Y-1'!AF48)</f>
        <v>0.0376799265617129</v>
      </c>
      <c r="N48" s="29" t="n">
        <f aca="false">IFERROR((Settings!$B$10*'History Y-1'!AG48*('History Y-1'!$S48&lt;&gt;"Y")+Settings!$B$11*'History Y-2'!AG48*('History Y-2'!$S48&lt;&gt;"Y")+Settings!$B$12*'History Y-3'!AG48*('History Y-3'!$S48&lt;&gt;"Y"))/(Settings!$B$10*('History Y-1'!$S48&lt;&gt;"Y")+Settings!$B$11*('History Y-2'!$S48&lt;&gt;"Y")+Settings!$B$12*('History Y-3'!$S48&lt;&gt;"Y")),'History Y-1'!AG48)</f>
        <v>0.0369306156535587</v>
      </c>
      <c r="O48" s="29" t="n">
        <f aca="false">IFERROR((Settings!$B$10*'History Y-1'!AH48*('History Y-1'!$S48&lt;&gt;"Y")+Settings!$B$11*'History Y-2'!AH48*('History Y-2'!$S48&lt;&gt;"Y")+Settings!$B$12*'History Y-3'!AH48*('History Y-3'!$S48&lt;&gt;"Y"))/(Settings!$B$10*('History Y-1'!$S48&lt;&gt;"Y")+Settings!$B$11*('History Y-2'!$S48&lt;&gt;"Y")+Settings!$B$12*('History Y-3'!$S48&lt;&gt;"Y")),'History Y-1'!AH48)</f>
        <v>0.0374221274337386</v>
      </c>
      <c r="P48" s="29" t="n">
        <f aca="false">IFERROR((Settings!$B$10*'History Y-1'!AI48*('History Y-1'!$S48&lt;&gt;"Y")+Settings!$B$11*'History Y-2'!AI48*('History Y-2'!$S48&lt;&gt;"Y")+Settings!$B$12*'History Y-3'!AI48*('History Y-3'!$S48&lt;&gt;"Y"))/(Settings!$B$10*('History Y-1'!$S48&lt;&gt;"Y")+Settings!$B$11*('History Y-2'!$S48&lt;&gt;"Y")+Settings!$B$12*('History Y-3'!$S48&lt;&gt;"Y")),'History Y-1'!AI48)</f>
        <v>0.0350545622990282</v>
      </c>
      <c r="Q48" s="57" t="n">
        <f aca="false">IFERROR(K48/SUM(K$6:K$57),0)</f>
        <v>0.0359846074985596</v>
      </c>
      <c r="R48" s="57" t="n">
        <f aca="false">IFERROR(L48/SUM(L$6:L$57),0)</f>
        <v>0.0533096471639215</v>
      </c>
      <c r="S48" s="57" t="n">
        <f aca="false">IFERROR(M48/SUM(M$6:M$57),0)</f>
        <v>0.0377348257756795</v>
      </c>
      <c r="T48" s="57" t="n">
        <f aca="false">IFERROR(N48/SUM(N$6:N$57),0)</f>
        <v>0.0370352928101324</v>
      </c>
      <c r="U48" s="57" t="n">
        <f aca="false">IFERROR(O48/SUM(O$6:O$57),0)</f>
        <v>0.0374646529103777</v>
      </c>
      <c r="V48" s="57" t="n">
        <f aca="false">IFERROR(P48/SUM(P$6:P$57),0)</f>
        <v>0.0351478047730289</v>
      </c>
    </row>
    <row r="49" customFormat="false" ht="15" hidden="false" customHeight="false" outlineLevel="0" collapsed="false">
      <c r="A49" s="13" t="n">
        <v>44</v>
      </c>
      <c r="B49" s="29" t="n">
        <f aca="false">IFERROR((Settings!$B$10*'History Y-1'!U49*('History Y-1'!$S49&lt;&gt;"Y")+Settings!$B$11*'History Y-2'!U49*('History Y-2'!$S49&lt;&gt;"Y")+Settings!$B$12*'History Y-3'!U49*('History Y-3'!$S49&lt;&gt;"Y"))/(Settings!$B$10*('History Y-1'!$S49&lt;&gt;"Y")+Settings!$B$11*('History Y-2'!$S49&lt;&gt;"Y")+Settings!$B$12*('History Y-3'!$S49&lt;&gt;"Y")),'History Y-1'!U49)</f>
        <v>0.0267440330584746</v>
      </c>
      <c r="C49" s="23" t="n">
        <f aca="false">IFERROR((Settings!$B$10*'History Y-1'!V49*('History Y-1'!$S49&lt;&gt;"Y")+Settings!$B$11*'History Y-2'!V49*('History Y-2'!$S49&lt;&gt;"Y")+Settings!$B$12*'History Y-3'!V49*('History Y-3'!$S49&lt;&gt;"Y"))/(Settings!$B$10*('History Y-1'!$S49&lt;&gt;"Y")+Settings!$B$11*('History Y-2'!$S49&lt;&gt;"Y")+Settings!$B$12*('History Y-3'!$S49&lt;&gt;"Y")),'History Y-1'!V49)</f>
        <v>73.9591261111526</v>
      </c>
      <c r="D49" s="36" t="n">
        <f aca="false">IFERROR((Settings!$B$10*'History Y-1'!W49*('History Y-1'!$S49&lt;&gt;"Y")+Settings!$B$11*'History Y-2'!W49*('History Y-2'!$S49&lt;&gt;"Y")+Settings!$B$12*'History Y-3'!W49*('History Y-3'!$S49&lt;&gt;"Y"))/(Settings!$B$10*('History Y-1'!$S49&lt;&gt;"Y")+Settings!$B$11*('History Y-2'!$S49&lt;&gt;"Y")+Settings!$B$12*('History Y-3'!$S49&lt;&gt;"Y")),'History Y-1'!W49)</f>
        <v>1.86050264827383</v>
      </c>
      <c r="E49" s="31" t="n">
        <f aca="false">IFERROR((Settings!$B$10*'History Y-1'!X49*('History Y-1'!$S49&lt;&gt;"Y")+Settings!$B$11*'History Y-2'!X49*('History Y-2'!$S49&lt;&gt;"Y")+Settings!$B$12*'History Y-3'!X49*('History Y-3'!$S49&lt;&gt;"Y"))/(Settings!$B$10*('History Y-1'!$S49&lt;&gt;"Y")+Settings!$B$11*('History Y-2'!$S49&lt;&gt;"Y")+Settings!$B$12*('History Y-3'!$S49&lt;&gt;"Y")),'History Y-1'!X49)</f>
        <v>0.223130144135904</v>
      </c>
      <c r="F49" s="31" t="n">
        <f aca="false">IFERROR((Settings!$B$10*'History Y-1'!Y49*('History Y-1'!$S49&lt;&gt;"Y")+Settings!$B$11*'History Y-2'!Y49*('History Y-2'!$S49&lt;&gt;"Y")+Settings!$B$12*'History Y-3'!Y49*('History Y-3'!$S49&lt;&gt;"Y"))/(Settings!$B$10*('History Y-1'!$S49&lt;&gt;"Y")+Settings!$B$11*('History Y-2'!$S49&lt;&gt;"Y")+Settings!$B$12*('History Y-3'!$S49&lt;&gt;"Y")),'History Y-1'!Y49)</f>
        <v>0.286575752943282</v>
      </c>
      <c r="G49" s="31" t="n">
        <f aca="false">IFERROR((Settings!$B$10*'History Y-1'!Z49*('History Y-1'!$S49&lt;&gt;"Y")+Settings!$B$11*'History Y-2'!Z49*('History Y-2'!$S49&lt;&gt;"Y")+Settings!$B$12*'History Y-3'!Z49*('History Y-3'!$S49&lt;&gt;"Y"))/(Settings!$B$10*('History Y-1'!$S49&lt;&gt;"Y")+Settings!$B$11*('History Y-2'!$S49&lt;&gt;"Y")+Settings!$B$12*('History Y-3'!$S49&lt;&gt;"Y")),'History Y-1'!Z49)</f>
        <v>0.443298011474347</v>
      </c>
      <c r="H49" s="23" t="n">
        <f aca="false">IFERROR((Settings!$B$10*'History Y-1'!AA49*('History Y-1'!$S49&lt;&gt;"Y")+Settings!$B$11*'History Y-2'!AA49*('History Y-2'!$S49&lt;&gt;"Y")+Settings!$B$12*'History Y-3'!AA49*('History Y-3'!$S49&lt;&gt;"Y"))/(Settings!$B$10*('History Y-1'!$S49&lt;&gt;"Y")+Settings!$B$11*('History Y-2'!$S49&lt;&gt;"Y")+Settings!$B$12*('History Y-3'!$S49&lt;&gt;"Y")),'History Y-1'!AA49)</f>
        <v>0.455132677608015</v>
      </c>
      <c r="I49" s="23" t="n">
        <f aca="false">IFERROR((Settings!$B$10*'History Y-1'!AB49*('History Y-1'!$S49&lt;&gt;"Y")+Settings!$B$11*'History Y-2'!AB49*('History Y-2'!$S49&lt;&gt;"Y")+Settings!$B$12*'History Y-3'!AB49*('History Y-3'!$S49&lt;&gt;"Y"))/(Settings!$B$10*('History Y-1'!$S49&lt;&gt;"Y")+Settings!$B$11*('History Y-2'!$S49&lt;&gt;"Y")+Settings!$B$12*('History Y-3'!$S49&lt;&gt;"Y")),'History Y-1'!AB49)</f>
        <v>0.336943969320576</v>
      </c>
      <c r="J49" s="23" t="n">
        <f aca="false">IFERROR((Settings!$B$10*'History Y-1'!AC49*('History Y-1'!$S49&lt;&gt;"Y")+Settings!$B$11*'History Y-2'!AC49*('History Y-2'!$S49&lt;&gt;"Y")+Settings!$B$12*'History Y-3'!AC49*('History Y-3'!$S49&lt;&gt;"Y"))/(Settings!$B$10*('History Y-1'!$S49&lt;&gt;"Y")+Settings!$B$11*('History Y-2'!$S49&lt;&gt;"Y")+Settings!$B$12*('History Y-3'!$S49&lt;&gt;"Y")),'History Y-1'!AC49)</f>
        <v>0.197256076806931</v>
      </c>
      <c r="K49" s="29" t="n">
        <f aca="false">IFERROR((Settings!$B$10*'History Y-1'!AD49*('History Y-1'!$S49&lt;&gt;"Y")+Settings!$B$11*'History Y-2'!AD49*('History Y-2'!$S49&lt;&gt;"Y")+Settings!$B$12*'History Y-3'!AD49*('History Y-3'!$S49&lt;&gt;"Y"))/(Settings!$B$10*('History Y-1'!$S49&lt;&gt;"Y")+Settings!$B$11*('History Y-2'!$S49&lt;&gt;"Y")+Settings!$B$12*('History Y-3'!$S49&lt;&gt;"Y")),'History Y-1'!AD49)</f>
        <v>0.0282804160227379</v>
      </c>
      <c r="L49" s="29" t="n">
        <f aca="false">IFERROR((Settings!$B$10*'History Y-1'!AE49*('History Y-1'!$S49&lt;&gt;"Y")+Settings!$B$11*'History Y-2'!AE49*('History Y-2'!$S49&lt;&gt;"Y")+Settings!$B$12*'History Y-3'!AE49*('History Y-3'!$S49&lt;&gt;"Y"))/(Settings!$B$10*('History Y-1'!$S49&lt;&gt;"Y")+Settings!$B$11*('History Y-2'!$S49&lt;&gt;"Y")+Settings!$B$12*('History Y-3'!$S49&lt;&gt;"Y")),'History Y-1'!AE49)</f>
        <v>0.043717349724352</v>
      </c>
      <c r="M49" s="29" t="n">
        <f aca="false">IFERROR((Settings!$B$10*'History Y-1'!AF49*('History Y-1'!$S49&lt;&gt;"Y")+Settings!$B$11*'History Y-2'!AF49*('History Y-2'!$S49&lt;&gt;"Y")+Settings!$B$12*'History Y-3'!AF49*('History Y-3'!$S49&lt;&gt;"Y"))/(Settings!$B$10*('History Y-1'!$S49&lt;&gt;"Y")+Settings!$B$11*('History Y-2'!$S49&lt;&gt;"Y")+Settings!$B$12*('History Y-3'!$S49&lt;&gt;"Y")),'History Y-1'!AF49)</f>
        <v>0.0292714492779201</v>
      </c>
      <c r="N49" s="29" t="n">
        <f aca="false">IFERROR((Settings!$B$10*'History Y-1'!AG49*('History Y-1'!$S49&lt;&gt;"Y")+Settings!$B$11*'History Y-2'!AG49*('History Y-2'!$S49&lt;&gt;"Y")+Settings!$B$12*'History Y-3'!AG49*('History Y-3'!$S49&lt;&gt;"Y"))/(Settings!$B$10*('History Y-1'!$S49&lt;&gt;"Y")+Settings!$B$11*('History Y-2'!$S49&lt;&gt;"Y")+Settings!$B$12*('History Y-3'!$S49&lt;&gt;"Y")),'History Y-1'!AG49)</f>
        <v>0.0293895290155579</v>
      </c>
      <c r="O49" s="29" t="n">
        <f aca="false">IFERROR((Settings!$B$10*'History Y-1'!AH49*('History Y-1'!$S49&lt;&gt;"Y")+Settings!$B$11*'History Y-2'!AH49*('History Y-2'!$S49&lt;&gt;"Y")+Settings!$B$12*'History Y-3'!AH49*('History Y-3'!$S49&lt;&gt;"Y"))/(Settings!$B$10*('History Y-1'!$S49&lt;&gt;"Y")+Settings!$B$11*('History Y-2'!$S49&lt;&gt;"Y")+Settings!$B$12*('History Y-3'!$S49&lt;&gt;"Y")),'History Y-1'!AH49)</f>
        <v>0.0289308772719124</v>
      </c>
      <c r="P49" s="29" t="n">
        <f aca="false">IFERROR((Settings!$B$10*'History Y-1'!AI49*('History Y-1'!$S49&lt;&gt;"Y")+Settings!$B$11*'History Y-2'!AI49*('History Y-2'!$S49&lt;&gt;"Y")+Settings!$B$12*'History Y-3'!AI49*('History Y-3'!$S49&lt;&gt;"Y"))/(Settings!$B$10*('History Y-1'!$S49&lt;&gt;"Y")+Settings!$B$11*('History Y-2'!$S49&lt;&gt;"Y")+Settings!$B$12*('History Y-3'!$S49&lt;&gt;"Y")),'History Y-1'!AI49)</f>
        <v>0.0279268428063695</v>
      </c>
      <c r="Q49" s="57" t="n">
        <f aca="false">IFERROR(K49/SUM(K$6:K$57),0)</f>
        <v>0.0282956416155086</v>
      </c>
      <c r="R49" s="57" t="n">
        <f aca="false">IFERROR(L49/SUM(L$6:L$57),0)</f>
        <v>0.0437548603120451</v>
      </c>
      <c r="S49" s="57" t="n">
        <f aca="false">IFERROR(M49/SUM(M$6:M$57),0)</f>
        <v>0.0293140974384569</v>
      </c>
      <c r="T49" s="57" t="n">
        <f aca="false">IFERROR(N49/SUM(N$6:N$57),0)</f>
        <v>0.0294728315079737</v>
      </c>
      <c r="U49" s="57" t="n">
        <f aca="false">IFERROR(O49/SUM(O$6:O$57),0)</f>
        <v>0.0289637535253471</v>
      </c>
      <c r="V49" s="57" t="n">
        <f aca="false">IFERROR(P49/SUM(P$6:P$57),0)</f>
        <v>0.0280011260877319</v>
      </c>
    </row>
    <row r="50" customFormat="false" ht="15" hidden="false" customHeight="false" outlineLevel="0" collapsed="false">
      <c r="A50" s="13" t="n">
        <v>45</v>
      </c>
      <c r="B50" s="29" t="n">
        <f aca="false">IFERROR((Settings!$B$10*'History Y-1'!U50*('History Y-1'!$S50&lt;&gt;"Y")+Settings!$B$11*'History Y-2'!U50*('History Y-2'!$S50&lt;&gt;"Y")+Settings!$B$12*'History Y-3'!U50*('History Y-3'!$S50&lt;&gt;"Y"))/(Settings!$B$10*('History Y-1'!$S50&lt;&gt;"Y")+Settings!$B$11*('History Y-2'!$S50&lt;&gt;"Y")+Settings!$B$12*('History Y-3'!$S50&lt;&gt;"Y")),'History Y-1'!U50)</f>
        <v>0.0240287219450672</v>
      </c>
      <c r="C50" s="23" t="n">
        <f aca="false">IFERROR((Settings!$B$10*'History Y-1'!V50*('History Y-1'!$S50&lt;&gt;"Y")+Settings!$B$11*'History Y-2'!V50*('History Y-2'!$S50&lt;&gt;"Y")+Settings!$B$12*'History Y-3'!V50*('History Y-3'!$S50&lt;&gt;"Y"))/(Settings!$B$10*('History Y-1'!$S50&lt;&gt;"Y")+Settings!$B$11*('History Y-2'!$S50&lt;&gt;"Y")+Settings!$B$12*('History Y-3'!$S50&lt;&gt;"Y")),'History Y-1'!V50)</f>
        <v>82.8053624054411</v>
      </c>
      <c r="D50" s="36" t="n">
        <f aca="false">IFERROR((Settings!$B$10*'History Y-1'!W50*('History Y-1'!$S50&lt;&gt;"Y")+Settings!$B$11*'History Y-2'!W50*('History Y-2'!$S50&lt;&gt;"Y")+Settings!$B$12*'History Y-3'!W50*('History Y-3'!$S50&lt;&gt;"Y"))/(Settings!$B$10*('History Y-1'!$S50&lt;&gt;"Y")+Settings!$B$11*('History Y-2'!$S50&lt;&gt;"Y")+Settings!$B$12*('History Y-3'!$S50&lt;&gt;"Y")),'History Y-1'!W50)</f>
        <v>1.87805583154739</v>
      </c>
      <c r="E50" s="31" t="n">
        <f aca="false">IFERROR((Settings!$B$10*'History Y-1'!X50*('History Y-1'!$S50&lt;&gt;"Y")+Settings!$B$11*'History Y-2'!X50*('History Y-2'!$S50&lt;&gt;"Y")+Settings!$B$12*'History Y-3'!X50*('History Y-3'!$S50&lt;&gt;"Y"))/(Settings!$B$10*('History Y-1'!$S50&lt;&gt;"Y")+Settings!$B$11*('History Y-2'!$S50&lt;&gt;"Y")+Settings!$B$12*('History Y-3'!$S50&lt;&gt;"Y")),'History Y-1'!X50)</f>
        <v>0.0789039231763998</v>
      </c>
      <c r="F50" s="31" t="n">
        <f aca="false">IFERROR((Settings!$B$10*'History Y-1'!Y50*('History Y-1'!$S50&lt;&gt;"Y")+Settings!$B$11*'History Y-2'!Y50*('History Y-2'!$S50&lt;&gt;"Y")+Settings!$B$12*'History Y-3'!Y50*('History Y-3'!$S50&lt;&gt;"Y"))/(Settings!$B$10*('History Y-1'!$S50&lt;&gt;"Y")+Settings!$B$11*('History Y-2'!$S50&lt;&gt;"Y")+Settings!$B$12*('History Y-3'!$S50&lt;&gt;"Y")),'History Y-1'!Y50)</f>
        <v>0.272685002220714</v>
      </c>
      <c r="G50" s="31" t="n">
        <f aca="false">IFERROR((Settings!$B$10*'History Y-1'!Z50*('History Y-1'!$S50&lt;&gt;"Y")+Settings!$B$11*'History Y-2'!Z50*('History Y-2'!$S50&lt;&gt;"Y")+Settings!$B$12*'History Y-3'!Z50*('History Y-3'!$S50&lt;&gt;"Y"))/(Settings!$B$10*('History Y-1'!$S50&lt;&gt;"Y")+Settings!$B$11*('History Y-2'!$S50&lt;&gt;"Y")+Settings!$B$12*('History Y-3'!$S50&lt;&gt;"Y")),'History Y-1'!Z50)</f>
        <v>0.357528995255434</v>
      </c>
      <c r="H50" s="23" t="n">
        <f aca="false">IFERROR((Settings!$B$10*'History Y-1'!AA50*('History Y-1'!$S50&lt;&gt;"Y")+Settings!$B$11*'History Y-2'!AA50*('History Y-2'!$S50&lt;&gt;"Y")+Settings!$B$12*'History Y-3'!AA50*('History Y-3'!$S50&lt;&gt;"Y"))/(Settings!$B$10*('History Y-1'!$S50&lt;&gt;"Y")+Settings!$B$11*('History Y-2'!$S50&lt;&gt;"Y")+Settings!$B$12*('History Y-3'!$S50&lt;&gt;"Y")),'History Y-1'!AA50)</f>
        <v>0.461469364310275</v>
      </c>
      <c r="I50" s="23" t="n">
        <f aca="false">IFERROR((Settings!$B$10*'History Y-1'!AB50*('History Y-1'!$S50&lt;&gt;"Y")+Settings!$B$11*'History Y-2'!AB50*('History Y-2'!$S50&lt;&gt;"Y")+Settings!$B$12*'History Y-3'!AB50*('History Y-3'!$S50&lt;&gt;"Y"))/(Settings!$B$10*('History Y-1'!$S50&lt;&gt;"Y")+Settings!$B$11*('History Y-2'!$S50&lt;&gt;"Y")+Settings!$B$12*('History Y-3'!$S50&lt;&gt;"Y")),'History Y-1'!AB50)</f>
        <v>0.341164160694532</v>
      </c>
      <c r="J50" s="23" t="n">
        <f aca="false">IFERROR((Settings!$B$10*'History Y-1'!AC50*('History Y-1'!$S50&lt;&gt;"Y")+Settings!$B$11*'History Y-2'!AC50*('History Y-2'!$S50&lt;&gt;"Y")+Settings!$B$12*'History Y-3'!AC50*('History Y-3'!$S50&lt;&gt;"Y"))/(Settings!$B$10*('History Y-1'!$S50&lt;&gt;"Y")+Settings!$B$11*('History Y-2'!$S50&lt;&gt;"Y")+Settings!$B$12*('History Y-3'!$S50&lt;&gt;"Y")),'History Y-1'!AC50)</f>
        <v>0.204329055938265</v>
      </c>
      <c r="K50" s="29" t="n">
        <f aca="false">IFERROR((Settings!$B$10*'History Y-1'!AD50*('History Y-1'!$S50&lt;&gt;"Y")+Settings!$B$11*'History Y-2'!AD50*('History Y-2'!$S50&lt;&gt;"Y")+Settings!$B$12*'History Y-3'!AD50*('History Y-3'!$S50&lt;&gt;"Y"))/(Settings!$B$10*('History Y-1'!$S50&lt;&gt;"Y")+Settings!$B$11*('History Y-2'!$S50&lt;&gt;"Y")+Settings!$B$12*('History Y-3'!$S50&lt;&gt;"Y")),'History Y-1'!AD50)</f>
        <v>0.0252301089395259</v>
      </c>
      <c r="L50" s="29" t="n">
        <f aca="false">IFERROR((Settings!$B$10*'History Y-1'!AE50*('History Y-1'!$S50&lt;&gt;"Y")+Settings!$B$11*'History Y-2'!AE50*('History Y-2'!$S50&lt;&gt;"Y")+Settings!$B$12*'History Y-3'!AE50*('History Y-3'!$S50&lt;&gt;"Y"))/(Settings!$B$10*('History Y-1'!$S50&lt;&gt;"Y")+Settings!$B$11*('History Y-2'!$S50&lt;&gt;"Y")+Settings!$B$12*('History Y-3'!$S50&lt;&gt;"Y")),'History Y-1'!AE50)</f>
        <v>0.0224298966578961</v>
      </c>
      <c r="M50" s="29" t="n">
        <f aca="false">IFERROR((Settings!$B$10*'History Y-1'!AF50*('History Y-1'!$S50&lt;&gt;"Y")+Settings!$B$11*'History Y-2'!AF50*('History Y-2'!$S50&lt;&gt;"Y")+Settings!$B$12*'History Y-3'!AF50*('History Y-3'!$S50&lt;&gt;"Y"))/(Settings!$B$10*('History Y-1'!$S50&lt;&gt;"Y")+Settings!$B$11*('History Y-2'!$S50&lt;&gt;"Y")+Settings!$B$12*('History Y-3'!$S50&lt;&gt;"Y")),'History Y-1'!AF50)</f>
        <v>0.0251449910268391</v>
      </c>
      <c r="N50" s="29" t="n">
        <f aca="false">IFERROR((Settings!$B$10*'History Y-1'!AG50*('History Y-1'!$S50&lt;&gt;"Y")+Settings!$B$11*'History Y-2'!AG50*('History Y-2'!$S50&lt;&gt;"Y")+Settings!$B$12*'History Y-3'!AG50*('History Y-3'!$S50&lt;&gt;"Y"))/(Settings!$B$10*('History Y-1'!$S50&lt;&gt;"Y")+Settings!$B$11*('History Y-2'!$S50&lt;&gt;"Y")+Settings!$B$12*('History Y-3'!$S50&lt;&gt;"Y")),'History Y-1'!AG50)</f>
        <v>0.0263155835025509</v>
      </c>
      <c r="O50" s="29" t="n">
        <f aca="false">IFERROR((Settings!$B$10*'History Y-1'!AH50*('History Y-1'!$S50&lt;&gt;"Y")+Settings!$B$11*'History Y-2'!AH50*('History Y-2'!$S50&lt;&gt;"Y")+Settings!$B$12*'History Y-3'!AH50*('History Y-3'!$S50&lt;&gt;"Y"))/(Settings!$B$10*('History Y-1'!$S50&lt;&gt;"Y")+Settings!$B$11*('History Y-2'!$S50&lt;&gt;"Y")+Settings!$B$12*('History Y-3'!$S50&lt;&gt;"Y")),'History Y-1'!AH50)</f>
        <v>0.0262009543744499</v>
      </c>
      <c r="P50" s="29" t="n">
        <f aca="false">IFERROR((Settings!$B$10*'History Y-1'!AI50*('History Y-1'!$S50&lt;&gt;"Y")+Settings!$B$11*'History Y-2'!AI50*('History Y-2'!$S50&lt;&gt;"Y")+Settings!$B$12*'History Y-3'!AI50*('History Y-3'!$S50&lt;&gt;"Y"))/(Settings!$B$10*('History Y-1'!$S50&lt;&gt;"Y")+Settings!$B$11*('History Y-2'!$S50&lt;&gt;"Y")+Settings!$B$12*('History Y-3'!$S50&lt;&gt;"Y")),'History Y-1'!AI50)</f>
        <v>0.0267018700431777</v>
      </c>
      <c r="Q50" s="57" t="n">
        <f aca="false">IFERROR(K50/SUM(K$6:K$57),0)</f>
        <v>0.0252436923098683</v>
      </c>
      <c r="R50" s="57" t="n">
        <f aca="false">IFERROR(L50/SUM(L$6:L$57),0)</f>
        <v>0.0224491420744375</v>
      </c>
      <c r="S50" s="57" t="n">
        <f aca="false">IFERROR(M50/SUM(M$6:M$57),0)</f>
        <v>0.0251816269857842</v>
      </c>
      <c r="T50" s="57" t="n">
        <f aca="false">IFERROR(N50/SUM(N$6:N$57),0)</f>
        <v>0.0263901731189404</v>
      </c>
      <c r="U50" s="57" t="n">
        <f aca="false">IFERROR(O50/SUM(O$6:O$57),0)</f>
        <v>0.0262307284185672</v>
      </c>
      <c r="V50" s="57" t="n">
        <f aca="false">IFERROR(P50/SUM(P$6:P$57),0)</f>
        <v>0.026772894990003</v>
      </c>
    </row>
    <row r="51" customFormat="false" ht="15" hidden="false" customHeight="false" outlineLevel="0" collapsed="false">
      <c r="A51" s="13" t="n">
        <v>46</v>
      </c>
      <c r="B51" s="29" t="n">
        <f aca="false">IFERROR((Settings!$B$10*'History Y-1'!U51*('History Y-1'!$S51&lt;&gt;"Y")+Settings!$B$11*'History Y-2'!U51*('History Y-2'!$S51&lt;&gt;"Y")+Settings!$B$12*'History Y-3'!U51*('History Y-3'!$S51&lt;&gt;"Y"))/(Settings!$B$10*('History Y-1'!$S51&lt;&gt;"Y")+Settings!$B$11*('History Y-2'!$S51&lt;&gt;"Y")+Settings!$B$12*('History Y-3'!$S51&lt;&gt;"Y")),'History Y-1'!U51)</f>
        <v>0.0234169531436125</v>
      </c>
      <c r="C51" s="23" t="n">
        <f aca="false">IFERROR((Settings!$B$10*'History Y-1'!V51*('History Y-1'!$S51&lt;&gt;"Y")+Settings!$B$11*'History Y-2'!V51*('History Y-2'!$S51&lt;&gt;"Y")+Settings!$B$12*'History Y-3'!V51*('History Y-3'!$S51&lt;&gt;"Y"))/(Settings!$B$10*('History Y-1'!$S51&lt;&gt;"Y")+Settings!$B$11*('History Y-2'!$S51&lt;&gt;"Y")+Settings!$B$12*('History Y-3'!$S51&lt;&gt;"Y")),'History Y-1'!V51)</f>
        <v>83.354041940115</v>
      </c>
      <c r="D51" s="36" t="n">
        <f aca="false">IFERROR((Settings!$B$10*'History Y-1'!W51*('History Y-1'!$S51&lt;&gt;"Y")+Settings!$B$11*'History Y-2'!W51*('History Y-2'!$S51&lt;&gt;"Y")+Settings!$B$12*'History Y-3'!W51*('History Y-3'!$S51&lt;&gt;"Y"))/(Settings!$B$10*('History Y-1'!$S51&lt;&gt;"Y")+Settings!$B$11*('History Y-2'!$S51&lt;&gt;"Y")+Settings!$B$12*('History Y-3'!$S51&lt;&gt;"Y")),'History Y-1'!W51)</f>
        <v>1.92520903868562</v>
      </c>
      <c r="E51" s="31" t="n">
        <f aca="false">IFERROR((Settings!$B$10*'History Y-1'!X51*('History Y-1'!$S51&lt;&gt;"Y")+Settings!$B$11*'History Y-2'!X51*('History Y-2'!$S51&lt;&gt;"Y")+Settings!$B$12*'History Y-3'!X51*('History Y-3'!$S51&lt;&gt;"Y"))/(Settings!$B$10*('History Y-1'!$S51&lt;&gt;"Y")+Settings!$B$11*('History Y-2'!$S51&lt;&gt;"Y")+Settings!$B$12*('History Y-3'!$S51&lt;&gt;"Y")),'History Y-1'!X51)</f>
        <v>0.0759866593203023</v>
      </c>
      <c r="F51" s="31" t="n">
        <f aca="false">IFERROR((Settings!$B$10*'History Y-1'!Y51*('History Y-1'!$S51&lt;&gt;"Y")+Settings!$B$11*'History Y-2'!Y51*('History Y-2'!$S51&lt;&gt;"Y")+Settings!$B$12*'History Y-3'!Y51*('History Y-3'!$S51&lt;&gt;"Y"))/(Settings!$B$10*('History Y-1'!$S51&lt;&gt;"Y")+Settings!$B$11*('History Y-2'!$S51&lt;&gt;"Y")+Settings!$B$12*('History Y-3'!$S51&lt;&gt;"Y")),'History Y-1'!Y51)</f>
        <v>0.279624781033422</v>
      </c>
      <c r="G51" s="31" t="n">
        <f aca="false">IFERROR((Settings!$B$10*'History Y-1'!Z51*('History Y-1'!$S51&lt;&gt;"Y")+Settings!$B$11*'History Y-2'!Z51*('History Y-2'!$S51&lt;&gt;"Y")+Settings!$B$12*'History Y-3'!Z51*('History Y-3'!$S51&lt;&gt;"Y"))/(Settings!$B$10*('History Y-1'!$S51&lt;&gt;"Y")+Settings!$B$11*('History Y-2'!$S51&lt;&gt;"Y")+Settings!$B$12*('History Y-3'!$S51&lt;&gt;"Y")),'History Y-1'!Z51)</f>
        <v>0.353409658445622</v>
      </c>
      <c r="H51" s="23" t="n">
        <f aca="false">IFERROR((Settings!$B$10*'History Y-1'!AA51*('History Y-1'!$S51&lt;&gt;"Y")+Settings!$B$11*'History Y-2'!AA51*('History Y-2'!$S51&lt;&gt;"Y")+Settings!$B$12*'History Y-3'!AA51*('History Y-3'!$S51&lt;&gt;"Y"))/(Settings!$B$10*('History Y-1'!$S51&lt;&gt;"Y")+Settings!$B$11*('History Y-2'!$S51&lt;&gt;"Y")+Settings!$B$12*('History Y-3'!$S51&lt;&gt;"Y")),'History Y-1'!AA51)</f>
        <v>0.467753995270005</v>
      </c>
      <c r="I51" s="23" t="n">
        <f aca="false">IFERROR((Settings!$B$10*'History Y-1'!AB51*('History Y-1'!$S51&lt;&gt;"Y")+Settings!$B$11*'History Y-2'!AB51*('History Y-2'!$S51&lt;&gt;"Y")+Settings!$B$12*'History Y-3'!AB51*('History Y-3'!$S51&lt;&gt;"Y"))/(Settings!$B$10*('History Y-1'!$S51&lt;&gt;"Y")+Settings!$B$11*('History Y-2'!$S51&lt;&gt;"Y")+Settings!$B$12*('History Y-3'!$S51&lt;&gt;"Y")),'History Y-1'!AB51)</f>
        <v>0.341381914022921</v>
      </c>
      <c r="J51" s="23" t="n">
        <f aca="false">IFERROR((Settings!$B$10*'History Y-1'!AC51*('History Y-1'!$S51&lt;&gt;"Y")+Settings!$B$11*'History Y-2'!AC51*('History Y-2'!$S51&lt;&gt;"Y")+Settings!$B$12*'History Y-3'!AC51*('History Y-3'!$S51&lt;&gt;"Y"))/(Settings!$B$10*('History Y-1'!$S51&lt;&gt;"Y")+Settings!$B$11*('History Y-2'!$S51&lt;&gt;"Y")+Settings!$B$12*('History Y-3'!$S51&lt;&gt;"Y")),'History Y-1'!AC51)</f>
        <v>0.206955283405943</v>
      </c>
      <c r="K51" s="29" t="n">
        <f aca="false">IFERROR((Settings!$B$10*'History Y-1'!AD51*('History Y-1'!$S51&lt;&gt;"Y")+Settings!$B$11*'History Y-2'!AD51*('History Y-2'!$S51&lt;&gt;"Y")+Settings!$B$12*'History Y-3'!AD51*('History Y-3'!$S51&lt;&gt;"Y"))/(Settings!$B$10*('History Y-1'!$S51&lt;&gt;"Y")+Settings!$B$11*('History Y-2'!$S51&lt;&gt;"Y")+Settings!$B$12*('History Y-3'!$S51&lt;&gt;"Y")),'History Y-1'!AD51)</f>
        <v>0.0237569048004285</v>
      </c>
      <c r="L51" s="29" t="n">
        <f aca="false">IFERROR((Settings!$B$10*'History Y-1'!AE51*('History Y-1'!$S51&lt;&gt;"Y")+Settings!$B$11*'History Y-2'!AE51*('History Y-2'!$S51&lt;&gt;"Y")+Settings!$B$12*'History Y-3'!AE51*('History Y-3'!$S51&lt;&gt;"Y"))/(Settings!$B$10*('History Y-1'!$S51&lt;&gt;"Y")+Settings!$B$11*('History Y-2'!$S51&lt;&gt;"Y")+Settings!$B$12*('History Y-3'!$S51&lt;&gt;"Y")),'History Y-1'!AE51)</f>
        <v>0.0210300194511321</v>
      </c>
      <c r="M51" s="29" t="n">
        <f aca="false">IFERROR((Settings!$B$10*'History Y-1'!AF51*('History Y-1'!$S51&lt;&gt;"Y")+Settings!$B$11*'History Y-2'!AF51*('History Y-2'!$S51&lt;&gt;"Y")+Settings!$B$12*'History Y-3'!AF51*('History Y-3'!$S51&lt;&gt;"Y"))/(Settings!$B$10*('History Y-1'!$S51&lt;&gt;"Y")+Settings!$B$11*('History Y-2'!$S51&lt;&gt;"Y")+Settings!$B$12*('History Y-3'!$S51&lt;&gt;"Y")),'History Y-1'!AF51)</f>
        <v>0.0231909692808201</v>
      </c>
      <c r="N51" s="29" t="n">
        <f aca="false">IFERROR((Settings!$B$10*'History Y-1'!AG51*('History Y-1'!$S51&lt;&gt;"Y")+Settings!$B$11*'History Y-2'!AG51*('History Y-2'!$S51&lt;&gt;"Y")+Settings!$B$12*'History Y-3'!AG51*('History Y-3'!$S51&lt;&gt;"Y"))/(Settings!$B$10*('History Y-1'!$S51&lt;&gt;"Y")+Settings!$B$11*('History Y-2'!$S51&lt;&gt;"Y")+Settings!$B$12*('History Y-3'!$S51&lt;&gt;"Y")),'History Y-1'!AG51)</f>
        <v>0.0240065886209951</v>
      </c>
      <c r="O51" s="29" t="n">
        <f aca="false">IFERROR((Settings!$B$10*'History Y-1'!AH51*('History Y-1'!$S51&lt;&gt;"Y")+Settings!$B$11*'History Y-2'!AH51*('History Y-2'!$S51&lt;&gt;"Y")+Settings!$B$12*'History Y-3'!AH51*('History Y-3'!$S51&lt;&gt;"Y"))/(Settings!$B$10*('History Y-1'!$S51&lt;&gt;"Y")+Settings!$B$11*('History Y-2'!$S51&lt;&gt;"Y")+Settings!$B$12*('History Y-3'!$S51&lt;&gt;"Y")),'History Y-1'!AH51)</f>
        <v>0.0230632993931062</v>
      </c>
      <c r="P51" s="29" t="n">
        <f aca="false">IFERROR((Settings!$B$10*'History Y-1'!AI51*('History Y-1'!$S51&lt;&gt;"Y")+Settings!$B$11*'History Y-2'!AI51*('History Y-2'!$S51&lt;&gt;"Y")+Settings!$B$12*'History Y-3'!AI51*('History Y-3'!$S51&lt;&gt;"Y"))/(Settings!$B$10*('History Y-1'!$S51&lt;&gt;"Y")+Settings!$B$11*('History Y-2'!$S51&lt;&gt;"Y")+Settings!$B$12*('History Y-3'!$S51&lt;&gt;"Y")),'History Y-1'!AI51)</f>
        <v>0.0245335635304018</v>
      </c>
      <c r="Q51" s="57" t="n">
        <f aca="false">IFERROR(K51/SUM(K$6:K$57),0)</f>
        <v>0.0237696950280437</v>
      </c>
      <c r="R51" s="57" t="n">
        <f aca="false">IFERROR(L51/SUM(L$6:L$57),0)</f>
        <v>0.0210480637377548</v>
      </c>
      <c r="S51" s="57" t="n">
        <f aca="false">IFERROR(M51/SUM(M$6:M$57),0)</f>
        <v>0.0232247582528488</v>
      </c>
      <c r="T51" s="57" t="n">
        <f aca="false">IFERROR(N51/SUM(N$6:N$57),0)</f>
        <v>0.0240746335585466</v>
      </c>
      <c r="U51" s="57" t="n">
        <f aca="false">IFERROR(O51/SUM(O$6:O$57),0)</f>
        <v>0.0230895078923771</v>
      </c>
      <c r="V51" s="57" t="n">
        <f aca="false">IFERROR(P51/SUM(P$6:P$57),0)</f>
        <v>0.0245988209465439</v>
      </c>
    </row>
    <row r="52" customFormat="false" ht="15" hidden="false" customHeight="false" outlineLevel="0" collapsed="false">
      <c r="A52" s="13" t="n">
        <v>47</v>
      </c>
      <c r="B52" s="29" t="n">
        <f aca="false">IFERROR((Settings!$B$10*'History Y-1'!U52*('History Y-1'!$S52&lt;&gt;"Y")+Settings!$B$11*'History Y-2'!U52*('History Y-2'!$S52&lt;&gt;"Y")+Settings!$B$12*'History Y-3'!U52*('History Y-3'!$S52&lt;&gt;"Y"))/(Settings!$B$10*('History Y-1'!$S52&lt;&gt;"Y")+Settings!$B$11*('History Y-2'!$S52&lt;&gt;"Y")+Settings!$B$12*('History Y-3'!$S52&lt;&gt;"Y")),'History Y-1'!U52)</f>
        <v>0.0218037691293392</v>
      </c>
      <c r="C52" s="23" t="n">
        <f aca="false">IFERROR((Settings!$B$10*'History Y-1'!V52*('History Y-1'!$S52&lt;&gt;"Y")+Settings!$B$11*'History Y-2'!V52*('History Y-2'!$S52&lt;&gt;"Y")+Settings!$B$12*'History Y-3'!V52*('History Y-3'!$S52&lt;&gt;"Y"))/(Settings!$B$10*('History Y-1'!$S52&lt;&gt;"Y")+Settings!$B$11*('History Y-2'!$S52&lt;&gt;"Y")+Settings!$B$12*('History Y-3'!$S52&lt;&gt;"Y")),'History Y-1'!V52)</f>
        <v>76.2603044240082</v>
      </c>
      <c r="D52" s="36" t="n">
        <f aca="false">IFERROR((Settings!$B$10*'History Y-1'!W52*('History Y-1'!$S52&lt;&gt;"Y")+Settings!$B$11*'History Y-2'!W52*('History Y-2'!$S52&lt;&gt;"Y")+Settings!$B$12*'History Y-3'!W52*('History Y-3'!$S52&lt;&gt;"Y"))/(Settings!$B$10*('History Y-1'!$S52&lt;&gt;"Y")+Settings!$B$11*('History Y-2'!$S52&lt;&gt;"Y")+Settings!$B$12*('History Y-3'!$S52&lt;&gt;"Y")),'History Y-1'!W52)</f>
        <v>1.93441122209014</v>
      </c>
      <c r="E52" s="31" t="n">
        <f aca="false">IFERROR((Settings!$B$10*'History Y-1'!X52*('History Y-1'!$S52&lt;&gt;"Y")+Settings!$B$11*'History Y-2'!X52*('History Y-2'!$S52&lt;&gt;"Y")+Settings!$B$12*'History Y-3'!X52*('History Y-3'!$S52&lt;&gt;"Y"))/(Settings!$B$10*('History Y-1'!$S52&lt;&gt;"Y")+Settings!$B$11*('History Y-2'!$S52&lt;&gt;"Y")+Settings!$B$12*('History Y-3'!$S52&lt;&gt;"Y")),'History Y-1'!X52)</f>
        <v>0.0811083648713877</v>
      </c>
      <c r="F52" s="31" t="n">
        <f aca="false">IFERROR((Settings!$B$10*'History Y-1'!Y52*('History Y-1'!$S52&lt;&gt;"Y")+Settings!$B$11*'History Y-2'!Y52*('History Y-2'!$S52&lt;&gt;"Y")+Settings!$B$12*'History Y-3'!Y52*('History Y-3'!$S52&lt;&gt;"Y"))/(Settings!$B$10*('History Y-1'!$S52&lt;&gt;"Y")+Settings!$B$11*('History Y-2'!$S52&lt;&gt;"Y")+Settings!$B$12*('History Y-3'!$S52&lt;&gt;"Y")),'History Y-1'!Y52)</f>
        <v>0.262480139495037</v>
      </c>
      <c r="G52" s="31" t="n">
        <f aca="false">IFERROR((Settings!$B$10*'History Y-1'!Z52*('History Y-1'!$S52&lt;&gt;"Y")+Settings!$B$11*'History Y-2'!Z52*('History Y-2'!$S52&lt;&gt;"Y")+Settings!$B$12*'History Y-3'!Z52*('History Y-3'!$S52&lt;&gt;"Y"))/(Settings!$B$10*('History Y-1'!$S52&lt;&gt;"Y")+Settings!$B$11*('History Y-2'!$S52&lt;&gt;"Y")+Settings!$B$12*('History Y-3'!$S52&lt;&gt;"Y")),'History Y-1'!Z52)</f>
        <v>0.348134684448432</v>
      </c>
      <c r="H52" s="23" t="n">
        <f aca="false">IFERROR((Settings!$B$10*'History Y-1'!AA52*('History Y-1'!$S52&lt;&gt;"Y")+Settings!$B$11*'History Y-2'!AA52*('History Y-2'!$S52&lt;&gt;"Y")+Settings!$B$12*'History Y-3'!AA52*('History Y-3'!$S52&lt;&gt;"Y"))/(Settings!$B$10*('History Y-1'!$S52&lt;&gt;"Y")+Settings!$B$11*('History Y-2'!$S52&lt;&gt;"Y")+Settings!$B$12*('History Y-3'!$S52&lt;&gt;"Y")),'History Y-1'!AA52)</f>
        <v>0.476772754608613</v>
      </c>
      <c r="I52" s="23" t="n">
        <f aca="false">IFERROR((Settings!$B$10*'History Y-1'!AB52*('History Y-1'!$S52&lt;&gt;"Y")+Settings!$B$11*'History Y-2'!AB52*('History Y-2'!$S52&lt;&gt;"Y")+Settings!$B$12*'History Y-3'!AB52*('History Y-3'!$S52&lt;&gt;"Y"))/(Settings!$B$10*('History Y-1'!$S52&lt;&gt;"Y")+Settings!$B$11*('History Y-2'!$S52&lt;&gt;"Y")+Settings!$B$12*('History Y-3'!$S52&lt;&gt;"Y")),'History Y-1'!AB52)</f>
        <v>0.335007331219789</v>
      </c>
      <c r="J52" s="23" t="n">
        <f aca="false">IFERROR((Settings!$B$10*'History Y-1'!AC52*('History Y-1'!$S52&lt;&gt;"Y")+Settings!$B$11*'History Y-2'!AC52*('History Y-2'!$S52&lt;&gt;"Y")+Settings!$B$12*'History Y-3'!AC52*('History Y-3'!$S52&lt;&gt;"Y"))/(Settings!$B$10*('History Y-1'!$S52&lt;&gt;"Y")+Settings!$B$11*('History Y-2'!$S52&lt;&gt;"Y")+Settings!$B$12*('History Y-3'!$S52&lt;&gt;"Y")),'History Y-1'!AC52)</f>
        <v>0.203046712201443</v>
      </c>
      <c r="K52" s="29" t="n">
        <f aca="false">IFERROR((Settings!$B$10*'History Y-1'!AD52*('History Y-1'!$S52&lt;&gt;"Y")+Settings!$B$11*'History Y-2'!AD52*('History Y-2'!$S52&lt;&gt;"Y")+Settings!$B$12*'History Y-3'!AD52*('History Y-3'!$S52&lt;&gt;"Y"))/(Settings!$B$10*('History Y-1'!$S52&lt;&gt;"Y")+Settings!$B$11*('History Y-2'!$S52&lt;&gt;"Y")+Settings!$B$12*('History Y-3'!$S52&lt;&gt;"Y")),'History Y-1'!AD52)</f>
        <v>0.0168382335110086</v>
      </c>
      <c r="L52" s="29" t="n">
        <f aca="false">IFERROR((Settings!$B$10*'History Y-1'!AE52*('History Y-1'!$S52&lt;&gt;"Y")+Settings!$B$11*'History Y-2'!AE52*('History Y-2'!$S52&lt;&gt;"Y")+Settings!$B$12*'History Y-3'!AE52*('History Y-3'!$S52&lt;&gt;"Y"))/(Settings!$B$10*('History Y-1'!$S52&lt;&gt;"Y")+Settings!$B$11*('History Y-2'!$S52&lt;&gt;"Y")+Settings!$B$12*('History Y-3'!$S52&lt;&gt;"Y")),'History Y-1'!AE52)</f>
        <v>0.0160715379926537</v>
      </c>
      <c r="M52" s="29" t="n">
        <f aca="false">IFERROR((Settings!$B$10*'History Y-1'!AF52*('History Y-1'!$S52&lt;&gt;"Y")+Settings!$B$11*'History Y-2'!AF52*('History Y-2'!$S52&lt;&gt;"Y")+Settings!$B$12*'History Y-3'!AF52*('History Y-3'!$S52&lt;&gt;"Y"))/(Settings!$B$10*('History Y-1'!$S52&lt;&gt;"Y")+Settings!$B$11*('History Y-2'!$S52&lt;&gt;"Y")+Settings!$B$12*('History Y-3'!$S52&lt;&gt;"Y")),'History Y-1'!AF52)</f>
        <v>0.0173845821134257</v>
      </c>
      <c r="N52" s="29" t="n">
        <f aca="false">IFERROR((Settings!$B$10*'History Y-1'!AG52*('History Y-1'!$S52&lt;&gt;"Y")+Settings!$B$11*'History Y-2'!AG52*('History Y-2'!$S52&lt;&gt;"Y")+Settings!$B$12*'History Y-3'!AG52*('History Y-3'!$S52&lt;&gt;"Y"))/(Settings!$B$10*('History Y-1'!$S52&lt;&gt;"Y")+Settings!$B$11*('History Y-2'!$S52&lt;&gt;"Y")+Settings!$B$12*('History Y-3'!$S52&lt;&gt;"Y")),'History Y-1'!AG52)</f>
        <v>0.0184460728421405</v>
      </c>
      <c r="O52" s="29" t="n">
        <f aca="false">IFERROR((Settings!$B$10*'History Y-1'!AH52*('History Y-1'!$S52&lt;&gt;"Y")+Settings!$B$11*'History Y-2'!AH52*('History Y-2'!$S52&lt;&gt;"Y")+Settings!$B$12*'History Y-3'!AH52*('History Y-3'!$S52&lt;&gt;"Y"))/(Settings!$B$10*('History Y-1'!$S52&lt;&gt;"Y")+Settings!$B$11*('History Y-2'!$S52&lt;&gt;"Y")+Settings!$B$12*('History Y-3'!$S52&lt;&gt;"Y")),'History Y-1'!AH52)</f>
        <v>0.0171010512632408</v>
      </c>
      <c r="P52" s="29" t="n">
        <f aca="false">IFERROR((Settings!$B$10*'History Y-1'!AI52*('History Y-1'!$S52&lt;&gt;"Y")+Settings!$B$11*'History Y-2'!AI52*('History Y-2'!$S52&lt;&gt;"Y")+Settings!$B$12*'History Y-3'!AI52*('History Y-3'!$S52&lt;&gt;"Y"))/(Settings!$B$10*('History Y-1'!$S52&lt;&gt;"Y")+Settings!$B$11*('History Y-2'!$S52&lt;&gt;"Y")+Settings!$B$12*('History Y-3'!$S52&lt;&gt;"Y")),'History Y-1'!AI52)</f>
        <v>0.0173329602326997</v>
      </c>
      <c r="Q52" s="57" t="n">
        <f aca="false">IFERROR(K52/SUM(K$6:K$57),0)</f>
        <v>0.0168472988686826</v>
      </c>
      <c r="R52" s="57" t="n">
        <f aca="false">IFERROR(L52/SUM(L$6:L$57),0)</f>
        <v>0.0160853277772367</v>
      </c>
      <c r="S52" s="57" t="n">
        <f aca="false">IFERROR(M52/SUM(M$6:M$57),0)</f>
        <v>0.0174099112470056</v>
      </c>
      <c r="T52" s="57" t="n">
        <f aca="false">IFERROR(N52/SUM(N$6:N$57),0)</f>
        <v>0.0184983569002559</v>
      </c>
      <c r="U52" s="57" t="n">
        <f aca="false">IFERROR(O52/SUM(O$6:O$57),0)</f>
        <v>0.0171204844276778</v>
      </c>
      <c r="V52" s="57" t="n">
        <f aca="false">IFERROR(P52/SUM(P$6:P$57),0)</f>
        <v>0.0173790645908162</v>
      </c>
    </row>
    <row r="53" customFormat="false" ht="15" hidden="false" customHeight="false" outlineLevel="0" collapsed="false">
      <c r="A53" s="13" t="n">
        <v>48</v>
      </c>
      <c r="B53" s="29" t="n">
        <f aca="false">IFERROR((Settings!$B$10*'History Y-1'!U53*('History Y-1'!$S53&lt;&gt;"Y")+Settings!$B$11*'History Y-2'!U53*('History Y-2'!$S53&lt;&gt;"Y")+Settings!$B$12*'History Y-3'!U53*('History Y-3'!$S53&lt;&gt;"Y"))/(Settings!$B$10*('History Y-1'!$S53&lt;&gt;"Y")+Settings!$B$11*('History Y-2'!$S53&lt;&gt;"Y")+Settings!$B$12*('History Y-3'!$S53&lt;&gt;"Y")),'History Y-1'!U53)</f>
        <v>0.027996719232067</v>
      </c>
      <c r="C53" s="23" t="n">
        <f aca="false">IFERROR((Settings!$B$10*'History Y-1'!V53*('History Y-1'!$S53&lt;&gt;"Y")+Settings!$B$11*'History Y-2'!V53*('History Y-2'!$S53&lt;&gt;"Y")+Settings!$B$12*'History Y-3'!V53*('History Y-3'!$S53&lt;&gt;"Y"))/(Settings!$B$10*('History Y-1'!$S53&lt;&gt;"Y")+Settings!$B$11*('History Y-2'!$S53&lt;&gt;"Y")+Settings!$B$12*('History Y-3'!$S53&lt;&gt;"Y")),'History Y-1'!V53)</f>
        <v>66.8212305662098</v>
      </c>
      <c r="D53" s="36" t="n">
        <f aca="false">IFERROR((Settings!$B$10*'History Y-1'!W53*('History Y-1'!$S53&lt;&gt;"Y")+Settings!$B$11*'History Y-2'!W53*('History Y-2'!$S53&lt;&gt;"Y")+Settings!$B$12*'History Y-3'!W53*('History Y-3'!$S53&lt;&gt;"Y"))/(Settings!$B$10*('History Y-1'!$S53&lt;&gt;"Y")+Settings!$B$11*('History Y-2'!$S53&lt;&gt;"Y")+Settings!$B$12*('History Y-3'!$S53&lt;&gt;"Y")),'History Y-1'!W53)</f>
        <v>1.86906862434871</v>
      </c>
      <c r="E53" s="31" t="n">
        <f aca="false">IFERROR((Settings!$B$10*'History Y-1'!X53*('History Y-1'!$S53&lt;&gt;"Y")+Settings!$B$11*'History Y-2'!X53*('History Y-2'!$S53&lt;&gt;"Y")+Settings!$B$12*'History Y-3'!X53*('History Y-3'!$S53&lt;&gt;"Y"))/(Settings!$B$10*('History Y-1'!$S53&lt;&gt;"Y")+Settings!$B$11*('History Y-2'!$S53&lt;&gt;"Y")+Settings!$B$12*('History Y-3'!$S53&lt;&gt;"Y")),'History Y-1'!X53)</f>
        <v>0.32955226829625</v>
      </c>
      <c r="F53" s="31" t="n">
        <f aca="false">IFERROR((Settings!$B$10*'History Y-1'!Y53*('History Y-1'!$S53&lt;&gt;"Y")+Settings!$B$11*'History Y-2'!Y53*('History Y-2'!$S53&lt;&gt;"Y")+Settings!$B$12*'History Y-3'!Y53*('History Y-3'!$S53&lt;&gt;"Y"))/(Settings!$B$10*('History Y-1'!$S53&lt;&gt;"Y")+Settings!$B$11*('History Y-2'!$S53&lt;&gt;"Y")+Settings!$B$12*('History Y-3'!$S53&lt;&gt;"Y")),'History Y-1'!Y53)</f>
        <v>0.242630062021765</v>
      </c>
      <c r="G53" s="31" t="n">
        <f aca="false">IFERROR((Settings!$B$10*'History Y-1'!Z53*('History Y-1'!$S53&lt;&gt;"Y")+Settings!$B$11*'History Y-2'!Z53*('History Y-2'!$S53&lt;&gt;"Y")+Settings!$B$12*'History Y-3'!Z53*('History Y-3'!$S53&lt;&gt;"Y"))/(Settings!$B$10*('History Y-1'!$S53&lt;&gt;"Y")+Settings!$B$11*('History Y-2'!$S53&lt;&gt;"Y")+Settings!$B$12*('History Y-3'!$S53&lt;&gt;"Y")),'History Y-1'!Z53)</f>
        <v>0.439838918339263</v>
      </c>
      <c r="H53" s="23" t="n">
        <f aca="false">IFERROR((Settings!$B$10*'History Y-1'!AA53*('History Y-1'!$S53&lt;&gt;"Y")+Settings!$B$11*'History Y-2'!AA53*('History Y-2'!$S53&lt;&gt;"Y")+Settings!$B$12*'History Y-3'!AA53*('History Y-3'!$S53&lt;&gt;"Y"))/(Settings!$B$10*('History Y-1'!$S53&lt;&gt;"Y")+Settings!$B$11*('History Y-2'!$S53&lt;&gt;"Y")+Settings!$B$12*('History Y-3'!$S53&lt;&gt;"Y")),'History Y-1'!AA53)</f>
        <v>0.453755351243464</v>
      </c>
      <c r="I53" s="23" t="n">
        <f aca="false">IFERROR((Settings!$B$10*'History Y-1'!AB53*('History Y-1'!$S53&lt;&gt;"Y")+Settings!$B$11*'History Y-2'!AB53*('History Y-2'!$S53&lt;&gt;"Y")+Settings!$B$12*'History Y-3'!AB53*('History Y-3'!$S53&lt;&gt;"Y"))/(Settings!$B$10*('History Y-1'!$S53&lt;&gt;"Y")+Settings!$B$11*('History Y-2'!$S53&lt;&gt;"Y")+Settings!$B$12*('History Y-3'!$S53&lt;&gt;"Y")),'History Y-1'!AB53)</f>
        <v>0.350142780956037</v>
      </c>
      <c r="J53" s="23" t="n">
        <f aca="false">IFERROR((Settings!$B$10*'History Y-1'!AC53*('History Y-1'!$S53&lt;&gt;"Y")+Settings!$B$11*'History Y-2'!AC53*('History Y-2'!$S53&lt;&gt;"Y")+Settings!$B$12*'History Y-3'!AC53*('History Y-3'!$S53&lt;&gt;"Y"))/(Settings!$B$10*('History Y-1'!$S53&lt;&gt;"Y")+Settings!$B$11*('History Y-2'!$S53&lt;&gt;"Y")+Settings!$B$12*('History Y-3'!$S53&lt;&gt;"Y")),'History Y-1'!AC53)</f>
        <v>0.203565858760022</v>
      </c>
      <c r="K53" s="29" t="n">
        <f aca="false">IFERROR((Settings!$B$10*'History Y-1'!AD53*('History Y-1'!$S53&lt;&gt;"Y")+Settings!$B$11*'History Y-2'!AD53*('History Y-2'!$S53&lt;&gt;"Y")+Settings!$B$12*'History Y-3'!AD53*('History Y-3'!$S53&lt;&gt;"Y"))/(Settings!$B$10*('History Y-1'!$S53&lt;&gt;"Y")+Settings!$B$11*('History Y-2'!$S53&lt;&gt;"Y")+Settings!$B$12*('History Y-3'!$S53&lt;&gt;"Y")),'History Y-1'!AD53)</f>
        <v>0.0289928121156632</v>
      </c>
      <c r="L53" s="29" t="n">
        <f aca="false">IFERROR((Settings!$B$10*'History Y-1'!AE53*('History Y-1'!$S53&lt;&gt;"Y")+Settings!$B$11*'History Y-2'!AE53*('History Y-2'!$S53&lt;&gt;"Y")+Settings!$B$12*'History Y-3'!AE53*('History Y-3'!$S53&lt;&gt;"Y"))/(Settings!$B$10*('History Y-1'!$S53&lt;&gt;"Y")+Settings!$B$11*('History Y-2'!$S53&lt;&gt;"Y")+Settings!$B$12*('History Y-3'!$S53&lt;&gt;"Y")),'History Y-1'!AE53)</f>
        <v>0.0432245430621101</v>
      </c>
      <c r="M53" s="29" t="n">
        <f aca="false">IFERROR((Settings!$B$10*'History Y-1'!AF53*('History Y-1'!$S53&lt;&gt;"Y")+Settings!$B$11*'History Y-2'!AF53*('History Y-2'!$S53&lt;&gt;"Y")+Settings!$B$12*'History Y-3'!AF53*('History Y-3'!$S53&lt;&gt;"Y"))/(Settings!$B$10*('History Y-1'!$S53&lt;&gt;"Y")+Settings!$B$11*('History Y-2'!$S53&lt;&gt;"Y")+Settings!$B$12*('History Y-3'!$S53&lt;&gt;"Y")),'History Y-1'!AF53)</f>
        <v>0.0286125455223647</v>
      </c>
      <c r="N53" s="29" t="n">
        <f aca="false">IFERROR((Settings!$B$10*'History Y-1'!AG53*('History Y-1'!$S53&lt;&gt;"Y")+Settings!$B$11*'History Y-2'!AG53*('History Y-2'!$S53&lt;&gt;"Y")+Settings!$B$12*'History Y-3'!AG53*('History Y-3'!$S53&lt;&gt;"Y"))/(Settings!$B$10*('History Y-1'!$S53&lt;&gt;"Y")+Settings!$B$11*('History Y-2'!$S53&lt;&gt;"Y")+Settings!$B$12*('History Y-3'!$S53&lt;&gt;"Y")),'History Y-1'!AG53)</f>
        <v>0.029173637127372</v>
      </c>
      <c r="O53" s="29" t="n">
        <f aca="false">IFERROR((Settings!$B$10*'History Y-1'!AH53*('History Y-1'!$S53&lt;&gt;"Y")+Settings!$B$11*'History Y-2'!AH53*('History Y-2'!$S53&lt;&gt;"Y")+Settings!$B$12*'History Y-3'!AH53*('History Y-3'!$S53&lt;&gt;"Y"))/(Settings!$B$10*('History Y-1'!$S53&lt;&gt;"Y")+Settings!$B$11*('History Y-2'!$S53&lt;&gt;"Y")+Settings!$B$12*('History Y-3'!$S53&lt;&gt;"Y")),'History Y-1'!AH53)</f>
        <v>0.0297207745731289</v>
      </c>
      <c r="P53" s="29" t="n">
        <f aca="false">IFERROR((Settings!$B$10*'History Y-1'!AI53*('History Y-1'!$S53&lt;&gt;"Y")+Settings!$B$11*'History Y-2'!AI53*('History Y-2'!$S53&lt;&gt;"Y")+Settings!$B$12*'History Y-3'!AI53*('History Y-3'!$S53&lt;&gt;"Y"))/(Settings!$B$10*('History Y-1'!$S53&lt;&gt;"Y")+Settings!$B$11*('History Y-2'!$S53&lt;&gt;"Y")+Settings!$B$12*('History Y-3'!$S53&lt;&gt;"Y")),'History Y-1'!AI53)</f>
        <v>0.0293602685439602</v>
      </c>
      <c r="Q53" s="57" t="n">
        <f aca="false">IFERROR(K53/SUM(K$6:K$57),0)</f>
        <v>0.0290084212477989</v>
      </c>
      <c r="R53" s="57" t="n">
        <f aca="false">IFERROR(L53/SUM(L$6:L$57),0)</f>
        <v>0.0432616308092688</v>
      </c>
      <c r="S53" s="57" t="n">
        <f aca="false">IFERROR(M53/SUM(M$6:M$57),0)</f>
        <v>0.0286542336678071</v>
      </c>
      <c r="T53" s="57" t="n">
        <f aca="false">IFERROR(N53/SUM(N$6:N$57),0)</f>
        <v>0.0292563276898597</v>
      </c>
      <c r="U53" s="57" t="n">
        <f aca="false">IFERROR(O53/SUM(O$6:O$57),0)</f>
        <v>0.0297545484441373</v>
      </c>
      <c r="V53" s="57" t="n">
        <f aca="false">IFERROR(P53/SUM(P$6:P$57),0)</f>
        <v>0.0294383646289437</v>
      </c>
    </row>
    <row r="54" customFormat="false" ht="15" hidden="false" customHeight="false" outlineLevel="0" collapsed="false">
      <c r="A54" s="13" t="n">
        <v>49</v>
      </c>
      <c r="B54" s="29" t="n">
        <f aca="false">IFERROR((Settings!$B$10*'History Y-1'!U54*('History Y-1'!$S54&lt;&gt;"Y")+Settings!$B$11*'History Y-2'!U54*('History Y-2'!$S54&lt;&gt;"Y")+Settings!$B$12*'History Y-3'!U54*('History Y-3'!$S54&lt;&gt;"Y"))/(Settings!$B$10*('History Y-1'!$S54&lt;&gt;"Y")+Settings!$B$11*('History Y-2'!$S54&lt;&gt;"Y")+Settings!$B$12*('History Y-3'!$S54&lt;&gt;"Y")),'History Y-1'!U54)</f>
        <v>0.0257916906481537</v>
      </c>
      <c r="C54" s="23" t="n">
        <f aca="false">IFERROR((Settings!$B$10*'History Y-1'!V54*('History Y-1'!$S54&lt;&gt;"Y")+Settings!$B$11*'History Y-2'!V54*('History Y-2'!$S54&lt;&gt;"Y")+Settings!$B$12*'History Y-3'!V54*('History Y-3'!$S54&lt;&gt;"Y"))/(Settings!$B$10*('History Y-1'!$S54&lt;&gt;"Y")+Settings!$B$11*('History Y-2'!$S54&lt;&gt;"Y")+Settings!$B$12*('History Y-3'!$S54&lt;&gt;"Y")),'History Y-1'!V54)</f>
        <v>66.2207293634837</v>
      </c>
      <c r="D54" s="36" t="n">
        <f aca="false">IFERROR((Settings!$B$10*'History Y-1'!W54*('History Y-1'!$S54&lt;&gt;"Y")+Settings!$B$11*'History Y-2'!W54*('History Y-2'!$S54&lt;&gt;"Y")+Settings!$B$12*'History Y-3'!W54*('History Y-3'!$S54&lt;&gt;"Y"))/(Settings!$B$10*('History Y-1'!$S54&lt;&gt;"Y")+Settings!$B$11*('History Y-2'!$S54&lt;&gt;"Y")+Settings!$B$12*('History Y-3'!$S54&lt;&gt;"Y")),'History Y-1'!W54)</f>
        <v>1.90070342069976</v>
      </c>
      <c r="E54" s="31" t="n">
        <f aca="false">IFERROR((Settings!$B$10*'History Y-1'!X54*('History Y-1'!$S54&lt;&gt;"Y")+Settings!$B$11*'History Y-2'!X54*('History Y-2'!$S54&lt;&gt;"Y")+Settings!$B$12*'History Y-3'!X54*('History Y-3'!$S54&lt;&gt;"Y"))/(Settings!$B$10*('History Y-1'!$S54&lt;&gt;"Y")+Settings!$B$11*('History Y-2'!$S54&lt;&gt;"Y")+Settings!$B$12*('History Y-3'!$S54&lt;&gt;"Y")),'History Y-1'!X54)</f>
        <v>0.315418319657578</v>
      </c>
      <c r="F54" s="31" t="n">
        <f aca="false">IFERROR((Settings!$B$10*'History Y-1'!Y54*('History Y-1'!$S54&lt;&gt;"Y")+Settings!$B$11*'History Y-2'!Y54*('History Y-2'!$S54&lt;&gt;"Y")+Settings!$B$12*'History Y-3'!Y54*('History Y-3'!$S54&lt;&gt;"Y"))/(Settings!$B$10*('History Y-1'!$S54&lt;&gt;"Y")+Settings!$B$11*('History Y-2'!$S54&lt;&gt;"Y")+Settings!$B$12*('History Y-3'!$S54&lt;&gt;"Y")),'History Y-1'!Y54)</f>
        <v>0.235779204030486</v>
      </c>
      <c r="G54" s="31" t="n">
        <f aca="false">IFERROR((Settings!$B$10*'History Y-1'!Z54*('History Y-1'!$S54&lt;&gt;"Y")+Settings!$B$11*'History Y-2'!Z54*('History Y-2'!$S54&lt;&gt;"Y")+Settings!$B$12*'History Y-3'!Z54*('History Y-3'!$S54&lt;&gt;"Y"))/(Settings!$B$10*('History Y-1'!$S54&lt;&gt;"Y")+Settings!$B$11*('History Y-2'!$S54&lt;&gt;"Y")+Settings!$B$12*('History Y-3'!$S54&lt;&gt;"Y")),'History Y-1'!Z54)</f>
        <v>0.461065226481291</v>
      </c>
      <c r="H54" s="23" t="n">
        <f aca="false">IFERROR((Settings!$B$10*'History Y-1'!AA54*('History Y-1'!$S54&lt;&gt;"Y")+Settings!$B$11*'History Y-2'!AA54*('History Y-2'!$S54&lt;&gt;"Y")+Settings!$B$12*'History Y-3'!AA54*('History Y-3'!$S54&lt;&gt;"Y"))/(Settings!$B$10*('History Y-1'!$S54&lt;&gt;"Y")+Settings!$B$11*('History Y-2'!$S54&lt;&gt;"Y")+Settings!$B$12*('History Y-3'!$S54&lt;&gt;"Y")),'History Y-1'!AA54)</f>
        <v>0.454718348072811</v>
      </c>
      <c r="I54" s="23" t="n">
        <f aca="false">IFERROR((Settings!$B$10*'History Y-1'!AB54*('History Y-1'!$S54&lt;&gt;"Y")+Settings!$B$11*'History Y-2'!AB54*('History Y-2'!$S54&lt;&gt;"Y")+Settings!$B$12*'History Y-3'!AB54*('History Y-3'!$S54&lt;&gt;"Y"))/(Settings!$B$10*('History Y-1'!$S54&lt;&gt;"Y")+Settings!$B$11*('History Y-2'!$S54&lt;&gt;"Y")+Settings!$B$12*('History Y-3'!$S54&lt;&gt;"Y")),'History Y-1'!AB54)</f>
        <v>0.341499401325795</v>
      </c>
      <c r="J54" s="23" t="n">
        <f aca="false">IFERROR((Settings!$B$10*'History Y-1'!AC54*('History Y-1'!$S54&lt;&gt;"Y")+Settings!$B$11*'History Y-2'!AC54*('History Y-2'!$S54&lt;&gt;"Y")+Settings!$B$12*'History Y-3'!AC54*('History Y-3'!$S54&lt;&gt;"Y"))/(Settings!$B$10*('History Y-1'!$S54&lt;&gt;"Y")+Settings!$B$11*('History Y-2'!$S54&lt;&gt;"Y")+Settings!$B$12*('History Y-3'!$S54&lt;&gt;"Y")),'History Y-1'!AC54)</f>
        <v>0.207113069964608</v>
      </c>
      <c r="K54" s="29" t="n">
        <f aca="false">IFERROR((Settings!$B$10*'History Y-1'!AD54*('History Y-1'!$S54&lt;&gt;"Y")+Settings!$B$11*'History Y-2'!AD54*('History Y-2'!$S54&lt;&gt;"Y")+Settings!$B$12*'History Y-3'!AD54*('History Y-3'!$S54&lt;&gt;"Y"))/(Settings!$B$10*('History Y-1'!$S54&lt;&gt;"Y")+Settings!$B$11*('History Y-2'!$S54&lt;&gt;"Y")+Settings!$B$12*('History Y-3'!$S54&lt;&gt;"Y")),'History Y-1'!AD54)</f>
        <v>0.024805321395157</v>
      </c>
      <c r="L54" s="29" t="n">
        <f aca="false">IFERROR((Settings!$B$10*'History Y-1'!AE54*('History Y-1'!$S54&lt;&gt;"Y")+Settings!$B$11*'History Y-2'!AE54*('History Y-2'!$S54&lt;&gt;"Y")+Settings!$B$12*'History Y-3'!AE54*('History Y-3'!$S54&lt;&gt;"Y"))/(Settings!$B$10*('History Y-1'!$S54&lt;&gt;"Y")+Settings!$B$11*('History Y-2'!$S54&lt;&gt;"Y")+Settings!$B$12*('History Y-3'!$S54&lt;&gt;"Y")),'History Y-1'!AE54)</f>
        <v>0.0361206530929954</v>
      </c>
      <c r="M54" s="29" t="n">
        <f aca="false">IFERROR((Settings!$B$10*'History Y-1'!AF54*('History Y-1'!$S54&lt;&gt;"Y")+Settings!$B$11*'History Y-2'!AF54*('History Y-2'!$S54&lt;&gt;"Y")+Settings!$B$12*'History Y-3'!AF54*('History Y-3'!$S54&lt;&gt;"Y"))/(Settings!$B$10*('History Y-1'!$S54&lt;&gt;"Y")+Settings!$B$11*('History Y-2'!$S54&lt;&gt;"Y")+Settings!$B$12*('History Y-3'!$S54&lt;&gt;"Y")),'History Y-1'!AF54)</f>
        <v>0.0236535848798842</v>
      </c>
      <c r="N54" s="29" t="n">
        <f aca="false">IFERROR((Settings!$B$10*'History Y-1'!AG54*('History Y-1'!$S54&lt;&gt;"Y")+Settings!$B$11*'History Y-2'!AG54*('History Y-2'!$S54&lt;&gt;"Y")+Settings!$B$12*'History Y-3'!AG54*('History Y-3'!$S54&lt;&gt;"Y"))/(Settings!$B$10*('History Y-1'!$S54&lt;&gt;"Y")+Settings!$B$11*('History Y-2'!$S54&lt;&gt;"Y")+Settings!$B$12*('History Y-3'!$S54&lt;&gt;"Y")),'History Y-1'!AG54)</f>
        <v>0.0235514567512055</v>
      </c>
      <c r="O54" s="29" t="n">
        <f aca="false">IFERROR((Settings!$B$10*'History Y-1'!AH54*('History Y-1'!$S54&lt;&gt;"Y")+Settings!$B$11*'History Y-2'!AH54*('History Y-2'!$S54&lt;&gt;"Y")+Settings!$B$12*'History Y-3'!AH54*('History Y-3'!$S54&lt;&gt;"Y"))/(Settings!$B$10*('History Y-1'!$S54&lt;&gt;"Y")+Settings!$B$11*('History Y-2'!$S54&lt;&gt;"Y")+Settings!$B$12*('History Y-3'!$S54&lt;&gt;"Y")),'History Y-1'!AH54)</f>
        <v>0.0250028095836354</v>
      </c>
      <c r="P54" s="29" t="n">
        <f aca="false">IFERROR((Settings!$B$10*'History Y-1'!AI54*('History Y-1'!$S54&lt;&gt;"Y")+Settings!$B$11*'History Y-2'!AI54*('History Y-2'!$S54&lt;&gt;"Y")+Settings!$B$12*'History Y-3'!AI54*('History Y-3'!$S54&lt;&gt;"Y"))/(Settings!$B$10*('History Y-1'!$S54&lt;&gt;"Y")+Settings!$B$11*('History Y-2'!$S54&lt;&gt;"Y")+Settings!$B$12*('History Y-3'!$S54&lt;&gt;"Y")),'History Y-1'!AI54)</f>
        <v>0.0237272849531427</v>
      </c>
      <c r="Q54" s="57" t="n">
        <f aca="false">IFERROR(K54/SUM(K$6:K$57),0)</f>
        <v>0.0248186760686457</v>
      </c>
      <c r="R54" s="57" t="n">
        <f aca="false">IFERROR(L54/SUM(L$6:L$57),0)</f>
        <v>0.0361516455235503</v>
      </c>
      <c r="S54" s="57" t="n">
        <f aca="false">IFERROR(M54/SUM(M$6:M$57),0)</f>
        <v>0.0236880478774506</v>
      </c>
      <c r="T54" s="57" t="n">
        <f aca="false">IFERROR(N54/SUM(N$6:N$57),0)</f>
        <v>0.0236182116504201</v>
      </c>
      <c r="U54" s="57" t="n">
        <f aca="false">IFERROR(O54/SUM(O$6:O$57),0)</f>
        <v>0.0250312220889572</v>
      </c>
      <c r="V54" s="57" t="n">
        <f aca="false">IFERROR(P54/SUM(P$6:P$57),0)</f>
        <v>0.0237903977294905</v>
      </c>
    </row>
    <row r="55" customFormat="false" ht="15" hidden="false" customHeight="false" outlineLevel="0" collapsed="false">
      <c r="A55" s="13" t="n">
        <v>50</v>
      </c>
      <c r="B55" s="29" t="n">
        <f aca="false">IFERROR((Settings!$B$10*'History Y-1'!U55*('History Y-1'!$S55&lt;&gt;"Y")+Settings!$B$11*'History Y-2'!U55*('History Y-2'!$S55&lt;&gt;"Y")+Settings!$B$12*'History Y-3'!U55*('History Y-3'!$S55&lt;&gt;"Y"))/(Settings!$B$10*('History Y-1'!$S55&lt;&gt;"Y")+Settings!$B$11*('History Y-2'!$S55&lt;&gt;"Y")+Settings!$B$12*('History Y-3'!$S55&lt;&gt;"Y")),'History Y-1'!U55)</f>
        <v>0.0235969276413105</v>
      </c>
      <c r="C55" s="23" t="n">
        <f aca="false">IFERROR((Settings!$B$10*'History Y-1'!V55*('History Y-1'!$S55&lt;&gt;"Y")+Settings!$B$11*'History Y-2'!V55*('History Y-2'!$S55&lt;&gt;"Y")+Settings!$B$12*'History Y-3'!V55*('History Y-3'!$S55&lt;&gt;"Y"))/(Settings!$B$10*('History Y-1'!$S55&lt;&gt;"Y")+Settings!$B$11*('History Y-2'!$S55&lt;&gt;"Y")+Settings!$B$12*('History Y-3'!$S55&lt;&gt;"Y")),'History Y-1'!V55)</f>
        <v>67.60206372984</v>
      </c>
      <c r="D55" s="36" t="n">
        <f aca="false">IFERROR((Settings!$B$10*'History Y-1'!W55*('History Y-1'!$S55&lt;&gt;"Y")+Settings!$B$11*'History Y-2'!W55*('History Y-2'!$S55&lt;&gt;"Y")+Settings!$B$12*'History Y-3'!W55*('History Y-3'!$S55&lt;&gt;"Y"))/(Settings!$B$10*('History Y-1'!$S55&lt;&gt;"Y")+Settings!$B$11*('History Y-2'!$S55&lt;&gt;"Y")+Settings!$B$12*('History Y-3'!$S55&lt;&gt;"Y")),'History Y-1'!W55)</f>
        <v>1.88419654057252</v>
      </c>
      <c r="E55" s="31" t="n">
        <f aca="false">IFERROR((Settings!$B$10*'History Y-1'!X55*('History Y-1'!$S55&lt;&gt;"Y")+Settings!$B$11*'History Y-2'!X55*('History Y-2'!$S55&lt;&gt;"Y")+Settings!$B$12*'History Y-3'!X55*('History Y-3'!$S55&lt;&gt;"Y"))/(Settings!$B$10*('History Y-1'!$S55&lt;&gt;"Y")+Settings!$B$11*('History Y-2'!$S55&lt;&gt;"Y")+Settings!$B$12*('History Y-3'!$S55&lt;&gt;"Y")),'History Y-1'!X55)</f>
        <v>0.282384646337648</v>
      </c>
      <c r="F55" s="31" t="n">
        <f aca="false">IFERROR((Settings!$B$10*'History Y-1'!Y55*('History Y-1'!$S55&lt;&gt;"Y")+Settings!$B$11*'History Y-2'!Y55*('History Y-2'!$S55&lt;&gt;"Y")+Settings!$B$12*'History Y-3'!Y55*('History Y-3'!$S55&lt;&gt;"Y"))/(Settings!$B$10*('History Y-1'!$S55&lt;&gt;"Y")+Settings!$B$11*('History Y-2'!$S55&lt;&gt;"Y")+Settings!$B$12*('History Y-3'!$S55&lt;&gt;"Y")),'History Y-1'!Y55)</f>
        <v>0.245082040930921</v>
      </c>
      <c r="G55" s="31" t="n">
        <f aca="false">IFERROR((Settings!$B$10*'History Y-1'!Z55*('History Y-1'!$S55&lt;&gt;"Y")+Settings!$B$11*'History Y-2'!Z55*('History Y-2'!$S55&lt;&gt;"Y")+Settings!$B$12*'History Y-3'!Z55*('History Y-3'!$S55&lt;&gt;"Y"))/(Settings!$B$10*('History Y-1'!$S55&lt;&gt;"Y")+Settings!$B$11*('History Y-2'!$S55&lt;&gt;"Y")+Settings!$B$12*('History Y-3'!$S55&lt;&gt;"Y")),'History Y-1'!Z55)</f>
        <v>0.439997207629201</v>
      </c>
      <c r="H55" s="23" t="n">
        <f aca="false">IFERROR((Settings!$B$10*'History Y-1'!AA55*('History Y-1'!$S55&lt;&gt;"Y")+Settings!$B$11*'History Y-2'!AA55*('History Y-2'!$S55&lt;&gt;"Y")+Settings!$B$12*'History Y-3'!AA55*('History Y-3'!$S55&lt;&gt;"Y"))/(Settings!$B$10*('History Y-1'!$S55&lt;&gt;"Y")+Settings!$B$11*('History Y-2'!$S55&lt;&gt;"Y")+Settings!$B$12*('History Y-3'!$S55&lt;&gt;"Y")),'History Y-1'!AA55)</f>
        <v>0.4550895793565</v>
      </c>
      <c r="I55" s="23" t="n">
        <f aca="false">IFERROR((Settings!$B$10*'History Y-1'!AB55*('History Y-1'!$S55&lt;&gt;"Y")+Settings!$B$11*'History Y-2'!AB55*('History Y-2'!$S55&lt;&gt;"Y")+Settings!$B$12*'History Y-3'!AB55*('History Y-3'!$S55&lt;&gt;"Y"))/(Settings!$B$10*('History Y-1'!$S55&lt;&gt;"Y")+Settings!$B$11*('History Y-2'!$S55&lt;&gt;"Y")+Settings!$B$12*('History Y-3'!$S55&lt;&gt;"Y")),'History Y-1'!AB55)</f>
        <v>0.332498027956276</v>
      </c>
      <c r="J55" s="23" t="n">
        <f aca="false">IFERROR((Settings!$B$10*'History Y-1'!AC55*('History Y-1'!$S55&lt;&gt;"Y")+Settings!$B$11*'History Y-2'!AC55*('History Y-2'!$S55&lt;&gt;"Y")+Settings!$B$12*'History Y-3'!AC55*('History Y-3'!$S55&lt;&gt;"Y"))/(Settings!$B$10*('History Y-1'!$S55&lt;&gt;"Y")+Settings!$B$11*('History Y-2'!$S55&lt;&gt;"Y")+Settings!$B$12*('History Y-3'!$S55&lt;&gt;"Y")),'History Y-1'!AC55)</f>
        <v>0.204522377134127</v>
      </c>
      <c r="K55" s="29" t="n">
        <f aca="false">IFERROR((Settings!$B$10*'History Y-1'!AD55*('History Y-1'!$S55&lt;&gt;"Y")+Settings!$B$11*'History Y-2'!AD55*('History Y-2'!$S55&lt;&gt;"Y")+Settings!$B$12*'History Y-3'!AD55*('History Y-3'!$S55&lt;&gt;"Y"))/(Settings!$B$10*('History Y-1'!$S55&lt;&gt;"Y")+Settings!$B$11*('History Y-2'!$S55&lt;&gt;"Y")+Settings!$B$12*('History Y-3'!$S55&lt;&gt;"Y")),'History Y-1'!AD55)</f>
        <v>0.0205579697679177</v>
      </c>
      <c r="L55" s="29" t="n">
        <f aca="false">IFERROR((Settings!$B$10*'History Y-1'!AE55*('History Y-1'!$S55&lt;&gt;"Y")+Settings!$B$11*'History Y-2'!AE55*('History Y-2'!$S55&lt;&gt;"Y")+Settings!$B$12*'History Y-3'!AE55*('History Y-3'!$S55&lt;&gt;"Y"))/(Settings!$B$10*('History Y-1'!$S55&lt;&gt;"Y")+Settings!$B$11*('History Y-2'!$S55&lt;&gt;"Y")+Settings!$B$12*('History Y-3'!$S55&lt;&gt;"Y")),'History Y-1'!AE55)</f>
        <v>0.0192655309053031</v>
      </c>
      <c r="M55" s="29" t="n">
        <f aca="false">IFERROR((Settings!$B$10*'History Y-1'!AF55*('History Y-1'!$S55&lt;&gt;"Y")+Settings!$B$11*'History Y-2'!AF55*('History Y-2'!$S55&lt;&gt;"Y")+Settings!$B$12*'History Y-3'!AF55*('History Y-3'!$S55&lt;&gt;"Y"))/(Settings!$B$10*('History Y-1'!$S55&lt;&gt;"Y")+Settings!$B$11*('History Y-2'!$S55&lt;&gt;"Y")+Settings!$B$12*('History Y-3'!$S55&lt;&gt;"Y")),'History Y-1'!AF55)</f>
        <v>0.0210127314965759</v>
      </c>
      <c r="N55" s="29" t="n">
        <f aca="false">IFERROR((Settings!$B$10*'History Y-1'!AG55*('History Y-1'!$S55&lt;&gt;"Y")+Settings!$B$11*'History Y-2'!AG55*('History Y-2'!$S55&lt;&gt;"Y")+Settings!$B$12*'History Y-3'!AG55*('History Y-3'!$S55&lt;&gt;"Y"))/(Settings!$B$10*('History Y-1'!$S55&lt;&gt;"Y")+Settings!$B$11*('History Y-2'!$S55&lt;&gt;"Y")+Settings!$B$12*('History Y-3'!$S55&lt;&gt;"Y")),'History Y-1'!AG55)</f>
        <v>0.0203437975170385</v>
      </c>
      <c r="O55" s="29" t="n">
        <f aca="false">IFERROR((Settings!$B$10*'History Y-1'!AH55*('History Y-1'!$S55&lt;&gt;"Y")+Settings!$B$11*'History Y-2'!AH55*('History Y-2'!$S55&lt;&gt;"Y")+Settings!$B$12*'History Y-3'!AH55*('History Y-3'!$S55&lt;&gt;"Y"))/(Settings!$B$10*('History Y-1'!$S55&lt;&gt;"Y")+Settings!$B$11*('History Y-2'!$S55&lt;&gt;"Y")+Settings!$B$12*('History Y-3'!$S55&lt;&gt;"Y")),'History Y-1'!AH55)</f>
        <v>0.0205698856287188</v>
      </c>
      <c r="P55" s="29" t="n">
        <f aca="false">IFERROR((Settings!$B$10*'History Y-1'!AI55*('History Y-1'!$S55&lt;&gt;"Y")+Settings!$B$11*'History Y-2'!AI55*('History Y-2'!$S55&lt;&gt;"Y")+Settings!$B$12*'History Y-3'!AI55*('History Y-3'!$S55&lt;&gt;"Y"))/(Settings!$B$10*('History Y-1'!$S55&lt;&gt;"Y")+Settings!$B$11*('History Y-2'!$S55&lt;&gt;"Y")+Settings!$B$12*('History Y-3'!$S55&lt;&gt;"Y")),'History Y-1'!AI55)</f>
        <v>0.020685190400834</v>
      </c>
      <c r="Q55" s="57" t="n">
        <f aca="false">IFERROR(K55/SUM(K$6:K$57),0)</f>
        <v>0.0205690377548818</v>
      </c>
      <c r="R55" s="57" t="n">
        <f aca="false">IFERROR(L55/SUM(L$6:L$57),0)</f>
        <v>0.0192820612162902</v>
      </c>
      <c r="S55" s="57" t="n">
        <f aca="false">IFERROR(M55/SUM(M$6:M$57),0)</f>
        <v>0.0210433468015331</v>
      </c>
      <c r="T55" s="57" t="n">
        <f aca="false">IFERROR(N55/SUM(N$6:N$57),0)</f>
        <v>0.020401460538364</v>
      </c>
      <c r="U55" s="57" t="n">
        <f aca="false">IFERROR(O55/SUM(O$6:O$57),0)</f>
        <v>0.020593260681148</v>
      </c>
      <c r="V55" s="57" t="n">
        <f aca="false">IFERROR(P55/SUM(P$6:P$57),0)</f>
        <v>0.0207402114366609</v>
      </c>
    </row>
    <row r="56" customFormat="false" ht="15" hidden="false" customHeight="false" outlineLevel="0" collapsed="false">
      <c r="A56" s="13" t="n">
        <v>51</v>
      </c>
      <c r="B56" s="29" t="n">
        <f aca="false">IFERROR((Settings!$B$10*'History Y-1'!U56*('History Y-1'!$S56&lt;&gt;"Y")+Settings!$B$11*'History Y-2'!U56*('History Y-2'!$S56&lt;&gt;"Y")+Settings!$B$12*'History Y-3'!U56*('History Y-3'!$S56&lt;&gt;"Y"))/(Settings!$B$10*('History Y-1'!$S56&lt;&gt;"Y")+Settings!$B$11*('History Y-2'!$S56&lt;&gt;"Y")+Settings!$B$12*('History Y-3'!$S56&lt;&gt;"Y")),'History Y-1'!U56)</f>
        <v>0.0220551257110827</v>
      </c>
      <c r="C56" s="23" t="n">
        <f aca="false">IFERROR((Settings!$B$10*'History Y-1'!V56*('History Y-1'!$S56&lt;&gt;"Y")+Settings!$B$11*'History Y-2'!V56*('History Y-2'!$S56&lt;&gt;"Y")+Settings!$B$12*'History Y-3'!V56*('History Y-3'!$S56&lt;&gt;"Y"))/(Settings!$B$10*('History Y-1'!$S56&lt;&gt;"Y")+Settings!$B$11*('History Y-2'!$S56&lt;&gt;"Y")+Settings!$B$12*('History Y-3'!$S56&lt;&gt;"Y")),'History Y-1'!V56)</f>
        <v>75.1887093394843</v>
      </c>
      <c r="D56" s="36" t="n">
        <f aca="false">IFERROR((Settings!$B$10*'History Y-1'!W56*('History Y-1'!$S56&lt;&gt;"Y")+Settings!$B$11*'History Y-2'!W56*('History Y-2'!$S56&lt;&gt;"Y")+Settings!$B$12*'History Y-3'!W56*('History Y-3'!$S56&lt;&gt;"Y"))/(Settings!$B$10*('History Y-1'!$S56&lt;&gt;"Y")+Settings!$B$11*('History Y-2'!$S56&lt;&gt;"Y")+Settings!$B$12*('History Y-3'!$S56&lt;&gt;"Y")),'History Y-1'!W56)</f>
        <v>1.92418371956452</v>
      </c>
      <c r="E56" s="31" t="n">
        <f aca="false">IFERROR((Settings!$B$10*'History Y-1'!X56*('History Y-1'!$S56&lt;&gt;"Y")+Settings!$B$11*'History Y-2'!X56*('History Y-2'!$S56&lt;&gt;"Y")+Settings!$B$12*'History Y-3'!X56*('History Y-3'!$S56&lt;&gt;"Y"))/(Settings!$B$10*('History Y-1'!$S56&lt;&gt;"Y")+Settings!$B$11*('History Y-2'!$S56&lt;&gt;"Y")+Settings!$B$12*('History Y-3'!$S56&lt;&gt;"Y")),'History Y-1'!X56)</f>
        <v>0.126406503925247</v>
      </c>
      <c r="F56" s="31" t="n">
        <f aca="false">IFERROR((Settings!$B$10*'History Y-1'!Y56*('History Y-1'!$S56&lt;&gt;"Y")+Settings!$B$11*'History Y-2'!Y56*('History Y-2'!$S56&lt;&gt;"Y")+Settings!$B$12*'History Y-3'!Y56*('History Y-3'!$S56&lt;&gt;"Y"))/(Settings!$B$10*('History Y-1'!$S56&lt;&gt;"Y")+Settings!$B$11*('History Y-2'!$S56&lt;&gt;"Y")+Settings!$B$12*('History Y-3'!$S56&lt;&gt;"Y")),'History Y-1'!Y56)</f>
        <v>0.260301910154981</v>
      </c>
      <c r="G56" s="31" t="n">
        <f aca="false">IFERROR((Settings!$B$10*'History Y-1'!Z56*('History Y-1'!$S56&lt;&gt;"Y")+Settings!$B$11*'History Y-2'!Z56*('History Y-2'!$S56&lt;&gt;"Y")+Settings!$B$12*'History Y-3'!Z56*('History Y-3'!$S56&lt;&gt;"Y"))/(Settings!$B$10*('History Y-1'!$S56&lt;&gt;"Y")+Settings!$B$11*('History Y-2'!$S56&lt;&gt;"Y")+Settings!$B$12*('History Y-3'!$S56&lt;&gt;"Y")),'History Y-1'!Z56)</f>
        <v>0.354943119975284</v>
      </c>
      <c r="H56" s="23" t="n">
        <f aca="false">IFERROR((Settings!$B$10*'History Y-1'!AA56*('History Y-1'!$S56&lt;&gt;"Y")+Settings!$B$11*'History Y-2'!AA56*('History Y-2'!$S56&lt;&gt;"Y")+Settings!$B$12*'History Y-3'!AA56*('History Y-3'!$S56&lt;&gt;"Y"))/(Settings!$B$10*('History Y-1'!$S56&lt;&gt;"Y")+Settings!$B$11*('History Y-2'!$S56&lt;&gt;"Y")+Settings!$B$12*('History Y-3'!$S56&lt;&gt;"Y")),'History Y-1'!AA56)</f>
        <v>0.464192753575192</v>
      </c>
      <c r="I56" s="23" t="n">
        <f aca="false">IFERROR((Settings!$B$10*'History Y-1'!AB56*('History Y-1'!$S56&lt;&gt;"Y")+Settings!$B$11*'History Y-2'!AB56*('History Y-2'!$S56&lt;&gt;"Y")+Settings!$B$12*'History Y-3'!AB56*('History Y-3'!$S56&lt;&gt;"Y"))/(Settings!$B$10*('History Y-1'!$S56&lt;&gt;"Y")+Settings!$B$11*('History Y-2'!$S56&lt;&gt;"Y")+Settings!$B$12*('History Y-3'!$S56&lt;&gt;"Y")),'History Y-1'!AB56)</f>
        <v>0.331589409665398</v>
      </c>
      <c r="J56" s="23" t="n">
        <f aca="false">IFERROR((Settings!$B$10*'History Y-1'!AC56*('History Y-1'!$S56&lt;&gt;"Y")+Settings!$B$11*'History Y-2'!AC56*('History Y-2'!$S56&lt;&gt;"Y")+Settings!$B$12*'History Y-3'!AC56*('History Y-3'!$S56&lt;&gt;"Y"))/(Settings!$B$10*('History Y-1'!$S56&lt;&gt;"Y")+Settings!$B$11*('History Y-2'!$S56&lt;&gt;"Y")+Settings!$B$12*('History Y-3'!$S56&lt;&gt;"Y")),'History Y-1'!AC56)</f>
        <v>0.208747097344068</v>
      </c>
      <c r="K56" s="29" t="n">
        <f aca="false">IFERROR((Settings!$B$10*'History Y-1'!AD56*('History Y-1'!$S56&lt;&gt;"Y")+Settings!$B$11*'History Y-2'!AD56*('History Y-2'!$S56&lt;&gt;"Y")+Settings!$B$12*'History Y-3'!AD56*('History Y-3'!$S56&lt;&gt;"Y"))/(Settings!$B$10*('History Y-1'!$S56&lt;&gt;"Y")+Settings!$B$11*('History Y-2'!$S56&lt;&gt;"Y")+Settings!$B$12*('History Y-3'!$S56&lt;&gt;"Y")),'History Y-1'!AD56)</f>
        <v>0.0159693312002722</v>
      </c>
      <c r="L56" s="29" t="n">
        <f aca="false">IFERROR((Settings!$B$10*'History Y-1'!AE56*('History Y-1'!$S56&lt;&gt;"Y")+Settings!$B$11*'History Y-2'!AE56*('History Y-2'!$S56&lt;&gt;"Y")+Settings!$B$12*'History Y-3'!AE56*('History Y-3'!$S56&lt;&gt;"Y"))/(Settings!$B$10*('History Y-1'!$S56&lt;&gt;"Y")+Settings!$B$11*('History Y-2'!$S56&lt;&gt;"Y")+Settings!$B$12*('History Y-3'!$S56&lt;&gt;"Y")),'History Y-1'!AE56)</f>
        <v>0.0151172693921291</v>
      </c>
      <c r="M56" s="29" t="n">
        <f aca="false">IFERROR((Settings!$B$10*'History Y-1'!AF56*('History Y-1'!$S56&lt;&gt;"Y")+Settings!$B$11*'History Y-2'!AF56*('History Y-2'!$S56&lt;&gt;"Y")+Settings!$B$12*'History Y-3'!AF56*('History Y-3'!$S56&lt;&gt;"Y"))/(Settings!$B$10*('History Y-1'!$S56&lt;&gt;"Y")+Settings!$B$11*('History Y-2'!$S56&lt;&gt;"Y")+Settings!$B$12*('History Y-3'!$S56&lt;&gt;"Y")),'History Y-1'!AF56)</f>
        <v>0.016320604513223</v>
      </c>
      <c r="N56" s="29" t="n">
        <f aca="false">IFERROR((Settings!$B$10*'History Y-1'!AG56*('History Y-1'!$S56&lt;&gt;"Y")+Settings!$B$11*'History Y-2'!AG56*('History Y-2'!$S56&lt;&gt;"Y")+Settings!$B$12*'History Y-3'!AG56*('History Y-3'!$S56&lt;&gt;"Y"))/(Settings!$B$10*('History Y-1'!$S56&lt;&gt;"Y")+Settings!$B$11*('History Y-2'!$S56&lt;&gt;"Y")+Settings!$B$12*('History Y-3'!$S56&lt;&gt;"Y")),'History Y-1'!AG56)</f>
        <v>0.0170754781148695</v>
      </c>
      <c r="O56" s="29" t="n">
        <f aca="false">IFERROR((Settings!$B$10*'History Y-1'!AH56*('History Y-1'!$S56&lt;&gt;"Y")+Settings!$B$11*'History Y-2'!AH56*('History Y-2'!$S56&lt;&gt;"Y")+Settings!$B$12*'History Y-3'!AH56*('History Y-3'!$S56&lt;&gt;"Y"))/(Settings!$B$10*('History Y-1'!$S56&lt;&gt;"Y")+Settings!$B$11*('History Y-2'!$S56&lt;&gt;"Y")+Settings!$B$12*('History Y-3'!$S56&lt;&gt;"Y")),'History Y-1'!AH56)</f>
        <v>0.0158722424252995</v>
      </c>
      <c r="P56" s="29" t="n">
        <f aca="false">IFERROR((Settings!$B$10*'History Y-1'!AI56*('History Y-1'!$S56&lt;&gt;"Y")+Settings!$B$11*'History Y-2'!AI56*('History Y-2'!$S56&lt;&gt;"Y")+Settings!$B$12*'History Y-3'!AI56*('History Y-3'!$S56&lt;&gt;"Y"))/(Settings!$B$10*('History Y-1'!$S56&lt;&gt;"Y")+Settings!$B$11*('History Y-2'!$S56&lt;&gt;"Y")+Settings!$B$12*('History Y-3'!$S56&lt;&gt;"Y")),'History Y-1'!AI56)</f>
        <v>0.0165188845318425</v>
      </c>
      <c r="Q56" s="57" t="n">
        <f aca="false">IFERROR(K56/SUM(K$6:K$57),0)</f>
        <v>0.0159779287588612</v>
      </c>
      <c r="R56" s="57" t="n">
        <f aca="false">IFERROR(L56/SUM(L$6:L$57),0)</f>
        <v>0.0151302403902062</v>
      </c>
      <c r="S56" s="57" t="n">
        <f aca="false">IFERROR(M56/SUM(M$6:M$57),0)</f>
        <v>0.0163443834438366</v>
      </c>
      <c r="T56" s="57" t="n">
        <f aca="false">IFERROR(N56/SUM(N$6:N$57),0)</f>
        <v>0.0171238773214511</v>
      </c>
      <c r="U56" s="57" t="n">
        <f aca="false">IFERROR(O56/SUM(O$6:O$57),0)</f>
        <v>0.0158902792051609</v>
      </c>
      <c r="V56" s="57" t="n">
        <f aca="false">IFERROR(P56/SUM(P$6:P$57),0)</f>
        <v>0.016562823510408</v>
      </c>
    </row>
    <row r="57" customFormat="false" ht="15" hidden="false" customHeight="false" outlineLevel="0" collapsed="false">
      <c r="A57" s="13" t="n">
        <v>52</v>
      </c>
      <c r="B57" s="29" t="n">
        <f aca="false">IFERROR((Settings!$B$10*'History Y-1'!U57*('History Y-1'!$S57&lt;&gt;"Y")+Settings!$B$11*'History Y-2'!U57*('History Y-2'!$S57&lt;&gt;"Y")+Settings!$B$12*'History Y-3'!U57*('History Y-3'!$S57&lt;&gt;"Y"))/(Settings!$B$10*('History Y-1'!$S57&lt;&gt;"Y")+Settings!$B$11*('History Y-2'!$S57&lt;&gt;"Y")+Settings!$B$12*('History Y-3'!$S57&lt;&gt;"Y")),'History Y-1'!U57)</f>
        <v>0.0221425293483138</v>
      </c>
      <c r="C57" s="23" t="n">
        <f aca="false">IFERROR((Settings!$B$10*'History Y-1'!V57*('History Y-1'!$S57&lt;&gt;"Y")+Settings!$B$11*'History Y-2'!V57*('History Y-2'!$S57&lt;&gt;"Y")+Settings!$B$12*'History Y-3'!V57*('History Y-3'!$S57&lt;&gt;"Y"))/(Settings!$B$10*('History Y-1'!$S57&lt;&gt;"Y")+Settings!$B$11*('History Y-2'!$S57&lt;&gt;"Y")+Settings!$B$12*('History Y-3'!$S57&lt;&gt;"Y")),'History Y-1'!V57)</f>
        <v>75.0696960722328</v>
      </c>
      <c r="D57" s="36" t="n">
        <f aca="false">IFERROR((Settings!$B$10*'History Y-1'!W57*('History Y-1'!$S57&lt;&gt;"Y")+Settings!$B$11*'History Y-2'!W57*('History Y-2'!$S57&lt;&gt;"Y")+Settings!$B$12*'History Y-3'!W57*('History Y-3'!$S57&lt;&gt;"Y"))/(Settings!$B$10*('History Y-1'!$S57&lt;&gt;"Y")+Settings!$B$11*('History Y-2'!$S57&lt;&gt;"Y")+Settings!$B$12*('History Y-3'!$S57&lt;&gt;"Y")),'History Y-1'!W57)</f>
        <v>1.92316908565771</v>
      </c>
      <c r="E57" s="31" t="n">
        <f aca="false">IFERROR((Settings!$B$10*'History Y-1'!X57*('History Y-1'!$S57&lt;&gt;"Y")+Settings!$B$11*'History Y-2'!X57*('History Y-2'!$S57&lt;&gt;"Y")+Settings!$B$12*'History Y-3'!X57*('History Y-3'!$S57&lt;&gt;"Y"))/(Settings!$B$10*('History Y-1'!$S57&lt;&gt;"Y")+Settings!$B$11*('History Y-2'!$S57&lt;&gt;"Y")+Settings!$B$12*('History Y-3'!$S57&lt;&gt;"Y")),'History Y-1'!X57)</f>
        <v>0.076088875518101</v>
      </c>
      <c r="F57" s="31" t="n">
        <f aca="false">IFERROR((Settings!$B$10*'History Y-1'!Y57*('History Y-1'!$S57&lt;&gt;"Y")+Settings!$B$11*'History Y-2'!Y57*('History Y-2'!$S57&lt;&gt;"Y")+Settings!$B$12*'History Y-3'!Y57*('History Y-3'!$S57&lt;&gt;"Y"))/(Settings!$B$10*('History Y-1'!$S57&lt;&gt;"Y")+Settings!$B$11*('History Y-2'!$S57&lt;&gt;"Y")+Settings!$B$12*('History Y-3'!$S57&lt;&gt;"Y")),'History Y-1'!Y57)</f>
        <v>0.258966830327399</v>
      </c>
      <c r="G57" s="31" t="n">
        <f aca="false">IFERROR((Settings!$B$10*'History Y-1'!Z57*('History Y-1'!$S57&lt;&gt;"Y")+Settings!$B$11*'History Y-2'!Z57*('History Y-2'!$S57&lt;&gt;"Y")+Settings!$B$12*'History Y-3'!Z57*('History Y-3'!$S57&lt;&gt;"Y"))/(Settings!$B$10*('History Y-1'!$S57&lt;&gt;"Y")+Settings!$B$11*('History Y-2'!$S57&lt;&gt;"Y")+Settings!$B$12*('History Y-3'!$S57&lt;&gt;"Y")),'History Y-1'!Z57)</f>
        <v>0.364502080209816</v>
      </c>
      <c r="H57" s="23" t="n">
        <f aca="false">IFERROR((Settings!$B$10*'History Y-1'!AA57*('History Y-1'!$S57&lt;&gt;"Y")+Settings!$B$11*'History Y-2'!AA57*('History Y-2'!$S57&lt;&gt;"Y")+Settings!$B$12*'History Y-3'!AA57*('History Y-3'!$S57&lt;&gt;"Y"))/(Settings!$B$10*('History Y-1'!$S57&lt;&gt;"Y")+Settings!$B$11*('History Y-2'!$S57&lt;&gt;"Y")+Settings!$B$12*('History Y-3'!$S57&lt;&gt;"Y")),'History Y-1'!AA57)</f>
        <v>0.442272325698652</v>
      </c>
      <c r="I57" s="23" t="n">
        <f aca="false">IFERROR((Settings!$B$10*'History Y-1'!AB57*('History Y-1'!$S57&lt;&gt;"Y")+Settings!$B$11*'History Y-2'!AB57*('History Y-2'!$S57&lt;&gt;"Y")+Settings!$B$12*'History Y-3'!AB57*('History Y-3'!$S57&lt;&gt;"Y"))/(Settings!$B$10*('History Y-1'!$S57&lt;&gt;"Y")+Settings!$B$11*('History Y-2'!$S57&lt;&gt;"Y")+Settings!$B$12*('History Y-3'!$S57&lt;&gt;"Y")),'History Y-1'!AB57)</f>
        <v>0.332430956935536</v>
      </c>
      <c r="J57" s="23" t="n">
        <f aca="false">IFERROR((Settings!$B$10*'History Y-1'!AC57*('History Y-1'!$S57&lt;&gt;"Y")+Settings!$B$11*'History Y-2'!AC57*('History Y-2'!$S57&lt;&gt;"Y")+Settings!$B$12*'History Y-3'!AC57*('History Y-3'!$S57&lt;&gt;"Y"))/(Settings!$B$10*('History Y-1'!$S57&lt;&gt;"Y")+Settings!$B$11*('History Y-2'!$S57&lt;&gt;"Y")+Settings!$B$12*('History Y-3'!$S57&lt;&gt;"Y")),'History Y-1'!AC57)</f>
        <v>0.197576086635119</v>
      </c>
      <c r="K57" s="29" t="n">
        <f aca="false">IFERROR((Settings!$B$10*'History Y-1'!AD57*('History Y-1'!$S57&lt;&gt;"Y")+Settings!$B$11*'History Y-2'!AD57*('History Y-2'!$S57&lt;&gt;"Y")+Settings!$B$12*'History Y-3'!AD57*('History Y-3'!$S57&lt;&gt;"Y"))/(Settings!$B$10*('History Y-1'!$S57&lt;&gt;"Y")+Settings!$B$11*('History Y-2'!$S57&lt;&gt;"Y")+Settings!$B$12*('History Y-3'!$S57&lt;&gt;"Y")),'History Y-1'!AD57)</f>
        <v>0.0147986952318194</v>
      </c>
      <c r="L57" s="29" t="n">
        <f aca="false">IFERROR((Settings!$B$10*'History Y-1'!AE57*('History Y-1'!$S57&lt;&gt;"Y")+Settings!$B$11*'History Y-2'!AE57*('History Y-2'!$S57&lt;&gt;"Y")+Settings!$B$12*'History Y-3'!AE57*('History Y-3'!$S57&lt;&gt;"Y"))/(Settings!$B$10*('History Y-1'!$S57&lt;&gt;"Y")+Settings!$B$11*('History Y-2'!$S57&lt;&gt;"Y")+Settings!$B$12*('History Y-3'!$S57&lt;&gt;"Y")),'History Y-1'!AE57)</f>
        <v>0.0138478502969907</v>
      </c>
      <c r="M57" s="29" t="n">
        <f aca="false">IFERROR((Settings!$B$10*'History Y-1'!AF57*('History Y-1'!$S57&lt;&gt;"Y")+Settings!$B$11*'History Y-2'!AF57*('History Y-2'!$S57&lt;&gt;"Y")+Settings!$B$12*'History Y-3'!AF57*('History Y-3'!$S57&lt;&gt;"Y"))/(Settings!$B$10*('History Y-1'!$S57&lt;&gt;"Y")+Settings!$B$11*('History Y-2'!$S57&lt;&gt;"Y")+Settings!$B$12*('History Y-3'!$S57&lt;&gt;"Y")),'History Y-1'!AF57)</f>
        <v>0.0152175539729946</v>
      </c>
      <c r="N57" s="29" t="n">
        <f aca="false">IFERROR((Settings!$B$10*'History Y-1'!AG57*('History Y-1'!$S57&lt;&gt;"Y")+Settings!$B$11*'History Y-2'!AG57*('History Y-2'!$S57&lt;&gt;"Y")+Settings!$B$12*'History Y-3'!AG57*('History Y-3'!$S57&lt;&gt;"Y"))/(Settings!$B$10*('History Y-1'!$S57&lt;&gt;"Y")+Settings!$B$11*('History Y-2'!$S57&lt;&gt;"Y")+Settings!$B$12*('History Y-3'!$S57&lt;&gt;"Y")),'History Y-1'!AG57)</f>
        <v>0.0147681914862322</v>
      </c>
      <c r="O57" s="29" t="n">
        <f aca="false">IFERROR((Settings!$B$10*'History Y-1'!AH57*('History Y-1'!$S57&lt;&gt;"Y")+Settings!$B$11*'History Y-2'!AH57*('History Y-2'!$S57&lt;&gt;"Y")+Settings!$B$12*'History Y-3'!AH57*('History Y-3'!$S57&lt;&gt;"Y"))/(Settings!$B$10*('History Y-1'!$S57&lt;&gt;"Y")+Settings!$B$11*('History Y-2'!$S57&lt;&gt;"Y")+Settings!$B$12*('History Y-3'!$S57&lt;&gt;"Y")),'History Y-1'!AH57)</f>
        <v>0.0148240895634606</v>
      </c>
      <c r="P57" s="29" t="n">
        <f aca="false">IFERROR((Settings!$B$10*'History Y-1'!AI57*('History Y-1'!$S57&lt;&gt;"Y")+Settings!$B$11*'History Y-2'!AI57*('History Y-2'!$S57&lt;&gt;"Y")+Settings!$B$12*'History Y-3'!AI57*('History Y-3'!$S57&lt;&gt;"Y"))/(Settings!$B$10*('History Y-1'!$S57&lt;&gt;"Y")+Settings!$B$11*('History Y-2'!$S57&lt;&gt;"Y")+Settings!$B$12*('History Y-3'!$S57&lt;&gt;"Y")),'History Y-1'!AI57)</f>
        <v>0.0153811699908373</v>
      </c>
      <c r="Q57" s="57" t="n">
        <f aca="false">IFERROR(K57/SUM(K$6:K$57),0)</f>
        <v>0.0148066625441445</v>
      </c>
      <c r="R57" s="57" t="n">
        <f aca="false">IFERROR(L57/SUM(L$6:L$57),0)</f>
        <v>0.0138597321014963</v>
      </c>
      <c r="S57" s="57" t="n">
        <f aca="false">IFERROR(M57/SUM(M$6:M$57),0)</f>
        <v>0.0152397257718234</v>
      </c>
      <c r="T57" s="57" t="n">
        <f aca="false">IFERROR(N57/SUM(N$6:N$57),0)</f>
        <v>0.0148100508558949</v>
      </c>
      <c r="U57" s="57" t="n">
        <f aca="false">IFERROR(O57/SUM(O$6:O$57),0)</f>
        <v>0.0148409352512304</v>
      </c>
      <c r="V57" s="57" t="n">
        <f aca="false">IFERROR(P57/SUM(P$6:P$57),0)</f>
        <v>0.0154220827351111</v>
      </c>
    </row>
    <row r="58" customFormat="false" ht="15" hidden="false" customHeight="false" outlineLevel="0" collapsed="false">
      <c r="A58" s="13" t="s">
        <v>132</v>
      </c>
      <c r="K58" s="74"/>
      <c r="L58" s="74"/>
      <c r="M58" s="74"/>
      <c r="N58" s="74"/>
      <c r="O58" s="74"/>
      <c r="P58" s="74"/>
      <c r="Q58" s="57" t="n">
        <f aca="false">SUM(Q6:Q57)</f>
        <v>1</v>
      </c>
      <c r="R58" s="57" t="n">
        <f aca="false">SUM(R6:R57)</f>
        <v>1</v>
      </c>
      <c r="S58" s="57" t="n">
        <f aca="false">SUM(S6:S57)</f>
        <v>1</v>
      </c>
      <c r="T58" s="57" t="n">
        <f aca="false">SUM(T6:T57)</f>
        <v>1</v>
      </c>
      <c r="U58" s="57" t="n">
        <f aca="false">SUM(U6:U57)</f>
        <v>1</v>
      </c>
      <c r="V58" s="57" t="n">
        <f aca="false">SUM(V6:V57)</f>
        <v>1</v>
      </c>
    </row>
  </sheetData>
  <sheetProtection sheet="true" formatColumns="false" formatRows="false"/>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U6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2" min="1" style="0" width="7"/>
    <col collapsed="false" customWidth="true" hidden="false" outlineLevel="0" max="21" min="3" style="0" width="11"/>
  </cols>
  <sheetData>
    <row r="1" customFormat="false" ht="17.35" hidden="false" customHeight="false" outlineLevel="0" collapsed="false">
      <c r="A1" s="1" t="s">
        <v>544</v>
      </c>
    </row>
    <row r="2" customFormat="false" ht="15" hidden="false" customHeight="false" outlineLevel="0" collapsed="false">
      <c r="A2" s="2" t="s">
        <v>545</v>
      </c>
    </row>
    <row r="5" customFormat="false" ht="42" hidden="false" customHeight="true" outlineLevel="0" collapsed="false">
      <c r="A5" s="19" t="s">
        <v>410</v>
      </c>
      <c r="B5" s="19" t="s">
        <v>413</v>
      </c>
      <c r="C5" s="19" t="s">
        <v>546</v>
      </c>
      <c r="D5" s="19" t="s">
        <v>547</v>
      </c>
      <c r="E5" s="19" t="s">
        <v>548</v>
      </c>
      <c r="F5" s="19" t="s">
        <v>549</v>
      </c>
      <c r="G5" s="19" t="s">
        <v>550</v>
      </c>
      <c r="H5" s="19" t="s">
        <v>551</v>
      </c>
      <c r="I5" s="19" t="s">
        <v>552</v>
      </c>
      <c r="J5" s="19" t="s">
        <v>553</v>
      </c>
      <c r="K5" s="19" t="s">
        <v>554</v>
      </c>
      <c r="L5" s="19" t="s">
        <v>555</v>
      </c>
      <c r="M5" s="19" t="s">
        <v>556</v>
      </c>
      <c r="N5" s="19" t="s">
        <v>557</v>
      </c>
      <c r="O5" s="19" t="s">
        <v>558</v>
      </c>
      <c r="P5" s="19" t="s">
        <v>559</v>
      </c>
      <c r="Q5" s="19" t="s">
        <v>560</v>
      </c>
      <c r="R5" s="19" t="s">
        <v>561</v>
      </c>
      <c r="S5" s="19" t="s">
        <v>562</v>
      </c>
      <c r="T5" s="19" t="s">
        <v>563</v>
      </c>
      <c r="U5" s="19" t="s">
        <v>564</v>
      </c>
    </row>
    <row r="6" customFormat="false" ht="15" hidden="false" customHeight="false" outlineLevel="0" collapsed="false">
      <c r="A6" s="13" t="n">
        <v>1</v>
      </c>
      <c r="B6" s="14" t="str">
        <f aca="false">Calendar!D6</f>
        <v>P1</v>
      </c>
      <c r="C6" s="29" t="n">
        <f aca="false">Baseline!T6</f>
        <v>0.0157073529545772</v>
      </c>
      <c r="D6" s="69"/>
      <c r="E6" s="20" t="n">
        <f aca="false">IF(D6&lt;&gt;"",D6,Assumptions!$G$10*C6)</f>
        <v>29843.9706136967</v>
      </c>
      <c r="F6" s="20" t="n">
        <f aca="false">'History Y-1'!P6</f>
        <v>29556.37</v>
      </c>
      <c r="G6" s="23" t="n">
        <f aca="false">Baseline!H6*(1+Assumptions!$G$13)*IFERROR(MAX(0,E6)/F6,1)^Assumptions!$G$14</f>
        <v>0.477883797127158</v>
      </c>
      <c r="H6" s="55" t="n">
        <f aca="false">IFERROR(E6/G6,0)</f>
        <v>62450.2667659094</v>
      </c>
      <c r="I6" s="29" t="n">
        <f aca="false">Baseline!U6</f>
        <v>0.0149041116327743</v>
      </c>
      <c r="J6" s="69"/>
      <c r="K6" s="20" t="n">
        <f aca="false">IF(J6&lt;&gt;"",J6,Assumptions!$G$11*I6)</f>
        <v>14158.9060511355</v>
      </c>
      <c r="L6" s="20" t="n">
        <f aca="false">'History Y-1'!Q6</f>
        <v>11682.87</v>
      </c>
      <c r="M6" s="23" t="n">
        <f aca="false">Baseline!I6*(1+Assumptions!$G$13)*IFERROR(MAX(0,K6)/L6,1)^Assumptions!$G$15</f>
        <v>0.367781878580612</v>
      </c>
      <c r="N6" s="55" t="n">
        <f aca="false">IFERROR(K6/M6,0)</f>
        <v>38498.1068283715</v>
      </c>
      <c r="O6" s="29" t="n">
        <f aca="false">Baseline!V6</f>
        <v>0.0163054636878174</v>
      </c>
      <c r="P6" s="69"/>
      <c r="Q6" s="20" t="n">
        <f aca="false">IF(P6&lt;&gt;"",P6,Assumptions!$G$12*O6)</f>
        <v>3261.09273756347</v>
      </c>
      <c r="R6" s="20" t="n">
        <f aca="false">'History Y-1'!R6</f>
        <v>1595.12</v>
      </c>
      <c r="S6" s="23" t="n">
        <f aca="false">Baseline!J6*(1+Assumptions!$G$13)*IFERROR(MAX(0,Q6)/R6,1)^Assumptions!$G$16</f>
        <v>0.25186327034235</v>
      </c>
      <c r="T6" s="55" t="n">
        <f aca="false">IFERROR(Q6/S6,0)</f>
        <v>12947.8694258626</v>
      </c>
      <c r="U6" s="49" t="n">
        <f aca="false">E6+K6+Q6</f>
        <v>47263.9694023958</v>
      </c>
    </row>
    <row r="7" customFormat="false" ht="15" hidden="false" customHeight="false" outlineLevel="0" collapsed="false">
      <c r="A7" s="13" t="n">
        <v>2</v>
      </c>
      <c r="B7" s="14" t="str">
        <f aca="false">Calendar!D7</f>
        <v>P1</v>
      </c>
      <c r="C7" s="29" t="n">
        <f aca="false">Baseline!T7</f>
        <v>0.016667002964556</v>
      </c>
      <c r="D7" s="69"/>
      <c r="E7" s="20" t="n">
        <f aca="false">IF(D7&lt;&gt;"",D7,Assumptions!$G$10*C7)</f>
        <v>31667.3056326564</v>
      </c>
      <c r="F7" s="20" t="n">
        <f aca="false">'History Y-1'!P7</f>
        <v>33669.51</v>
      </c>
      <c r="G7" s="23" t="n">
        <f aca="false">Baseline!H7*(1+Assumptions!$G$13)*IFERROR(MAX(0,E7)/F7,1)^Assumptions!$G$14</f>
        <v>0.469191310507065</v>
      </c>
      <c r="H7" s="55" t="n">
        <f aca="false">IFERROR(E7/G7,0)</f>
        <v>67493.3762060362</v>
      </c>
      <c r="I7" s="29" t="n">
        <f aca="false">Baseline!U7</f>
        <v>0.0164436223095396</v>
      </c>
      <c r="J7" s="69"/>
      <c r="K7" s="20" t="n">
        <f aca="false">IF(J7&lt;&gt;"",J7,Assumptions!$G$11*I7)</f>
        <v>15621.4411940626</v>
      </c>
      <c r="L7" s="20" t="n">
        <f aca="false">'History Y-1'!Q7</f>
        <v>14160.07</v>
      </c>
      <c r="M7" s="23" t="n">
        <f aca="false">Baseline!I7*(1+Assumptions!$G$13)*IFERROR(MAX(0,K7)/L7,1)^Assumptions!$G$15</f>
        <v>0.36927684122533</v>
      </c>
      <c r="N7" s="55" t="n">
        <f aca="false">IFERROR(K7/M7,0)</f>
        <v>42302.7914293994</v>
      </c>
      <c r="O7" s="29" t="n">
        <f aca="false">Baseline!V7</f>
        <v>0.0164539784313872</v>
      </c>
      <c r="P7" s="69"/>
      <c r="Q7" s="20" t="n">
        <f aca="false">IF(P7&lt;&gt;"",P7,Assumptions!$G$12*O7)</f>
        <v>3290.79568627744</v>
      </c>
      <c r="R7" s="20" t="n">
        <f aca="false">'History Y-1'!R7</f>
        <v>1715.64</v>
      </c>
      <c r="S7" s="23" t="n">
        <f aca="false">Baseline!J7*(1+Assumptions!$G$13)*IFERROR(MAX(0,Q7)/R7,1)^Assumptions!$G$16</f>
        <v>0.247069709075794</v>
      </c>
      <c r="T7" s="55" t="n">
        <f aca="false">IFERROR(Q7/S7,0)</f>
        <v>13319.3004459641</v>
      </c>
      <c r="U7" s="49" t="n">
        <f aca="false">E7+K7+Q7</f>
        <v>50579.5425129965</v>
      </c>
    </row>
    <row r="8" customFormat="false" ht="15" hidden="false" customHeight="false" outlineLevel="0" collapsed="false">
      <c r="A8" s="13" t="n">
        <v>3</v>
      </c>
      <c r="B8" s="14" t="str">
        <f aca="false">Calendar!D8</f>
        <v>P1</v>
      </c>
      <c r="C8" s="29" t="n">
        <f aca="false">Baseline!T8</f>
        <v>0.0170410641663225</v>
      </c>
      <c r="D8" s="69"/>
      <c r="E8" s="20" t="n">
        <f aca="false">IF(D8&lt;&gt;"",D8,Assumptions!$G$10*C8)</f>
        <v>32378.0219160128</v>
      </c>
      <c r="F8" s="20" t="n">
        <f aca="false">'History Y-1'!P8</f>
        <v>34520.1</v>
      </c>
      <c r="G8" s="23" t="n">
        <f aca="false">Baseline!H8*(1+Assumptions!$G$13)*IFERROR(MAX(0,E8)/F8,1)^Assumptions!$G$14</f>
        <v>0.472611680081912</v>
      </c>
      <c r="H8" s="55" t="n">
        <f aca="false">IFERROR(E8/G8,0)</f>
        <v>68508.7213891986</v>
      </c>
      <c r="I8" s="29" t="n">
        <f aca="false">Baseline!U8</f>
        <v>0.0165592498297666</v>
      </c>
      <c r="J8" s="69"/>
      <c r="K8" s="20" t="n">
        <f aca="false">IF(J8&lt;&gt;"",J8,Assumptions!$G$11*I8)</f>
        <v>15731.2873382783</v>
      </c>
      <c r="L8" s="20" t="n">
        <f aca="false">'History Y-1'!Q8</f>
        <v>13342.81</v>
      </c>
      <c r="M8" s="23" t="n">
        <f aca="false">Baseline!I8*(1+Assumptions!$G$13)*IFERROR(MAX(0,K8)/L8,1)^Assumptions!$G$15</f>
        <v>0.377092498662307</v>
      </c>
      <c r="N8" s="55" t="n">
        <f aca="false">IFERROR(K8/M8,0)</f>
        <v>41717.3170882031</v>
      </c>
      <c r="O8" s="29" t="n">
        <f aca="false">Baseline!V8</f>
        <v>0.0167941892682385</v>
      </c>
      <c r="P8" s="69"/>
      <c r="Q8" s="20" t="n">
        <f aca="false">IF(P8&lt;&gt;"",P8,Assumptions!$G$12*O8)</f>
        <v>3358.8378536477</v>
      </c>
      <c r="R8" s="20" t="n">
        <f aca="false">'History Y-1'!R8</f>
        <v>1713.39</v>
      </c>
      <c r="S8" s="23" t="n">
        <f aca="false">Baseline!J8*(1+Assumptions!$G$13)*IFERROR(MAX(0,Q8)/R8,1)^Assumptions!$G$16</f>
        <v>0.24627747366605</v>
      </c>
      <c r="T8" s="55" t="n">
        <f aca="false">IFERROR(Q8/S8,0)</f>
        <v>13638.4290599076</v>
      </c>
      <c r="U8" s="49" t="n">
        <f aca="false">E8+K8+Q8</f>
        <v>51468.1471079387</v>
      </c>
    </row>
    <row r="9" customFormat="false" ht="15" hidden="false" customHeight="false" outlineLevel="0" collapsed="false">
      <c r="A9" s="13" t="n">
        <v>4</v>
      </c>
      <c r="B9" s="14" t="str">
        <f aca="false">Calendar!D9</f>
        <v>P1</v>
      </c>
      <c r="C9" s="29" t="n">
        <f aca="false">Baseline!T9</f>
        <v>0.0156274747155152</v>
      </c>
      <c r="D9" s="69"/>
      <c r="E9" s="20" t="n">
        <f aca="false">IF(D9&lt;&gt;"",D9,Assumptions!$G$10*C9)</f>
        <v>29692.201959479</v>
      </c>
      <c r="F9" s="20" t="n">
        <f aca="false">'History Y-1'!P9</f>
        <v>29553.61</v>
      </c>
      <c r="G9" s="23" t="n">
        <f aca="false">Baseline!H9*(1+Assumptions!$G$13)*IFERROR(MAX(0,E9)/F9,1)^Assumptions!$G$14</f>
        <v>0.493577487270855</v>
      </c>
      <c r="H9" s="55" t="n">
        <f aca="false">IFERROR(E9/G9,0)</f>
        <v>60157.123704439</v>
      </c>
      <c r="I9" s="29" t="n">
        <f aca="false">Baseline!U9</f>
        <v>0.0151891842605453</v>
      </c>
      <c r="J9" s="69"/>
      <c r="K9" s="20" t="n">
        <f aca="false">IF(J9&lt;&gt;"",J9,Assumptions!$G$11*I9)</f>
        <v>14429.7250475181</v>
      </c>
      <c r="L9" s="20" t="n">
        <f aca="false">'History Y-1'!Q9</f>
        <v>12120.78</v>
      </c>
      <c r="M9" s="23" t="n">
        <f aca="false">Baseline!I9*(1+Assumptions!$G$13)*IFERROR(MAX(0,K9)/L9,1)^Assumptions!$G$15</f>
        <v>0.372984659337008</v>
      </c>
      <c r="N9" s="55" t="n">
        <f aca="false">IFERROR(K9/M9,0)</f>
        <v>38687.1810577072</v>
      </c>
      <c r="O9" s="29" t="n">
        <f aca="false">Baseline!V9</f>
        <v>0.015805297036784</v>
      </c>
      <c r="P9" s="69"/>
      <c r="Q9" s="20" t="n">
        <f aca="false">IF(P9&lt;&gt;"",P9,Assumptions!$G$12*O9)</f>
        <v>3161.0594073568</v>
      </c>
      <c r="R9" s="20" t="n">
        <f aca="false">'History Y-1'!R9</f>
        <v>1547.85</v>
      </c>
      <c r="S9" s="23" t="n">
        <f aca="false">Baseline!J9*(1+Assumptions!$G$13)*IFERROR(MAX(0,Q9)/R9,1)^Assumptions!$G$16</f>
        <v>0.25232871894264</v>
      </c>
      <c r="T9" s="55" t="n">
        <f aca="false">IFERROR(Q9/S9,0)</f>
        <v>12527.5451030819</v>
      </c>
      <c r="U9" s="49" t="n">
        <f aca="false">E9+K9+Q9</f>
        <v>47282.9864143538</v>
      </c>
    </row>
    <row r="10" customFormat="false" ht="15" hidden="false" customHeight="false" outlineLevel="0" collapsed="false">
      <c r="A10" s="13" t="n">
        <v>5</v>
      </c>
      <c r="B10" s="14" t="str">
        <f aca="false">Calendar!D10</f>
        <v>P2</v>
      </c>
      <c r="C10" s="29" t="n">
        <f aca="false">Baseline!T10</f>
        <v>0.0160837767981613</v>
      </c>
      <c r="D10" s="69"/>
      <c r="E10" s="20" t="n">
        <f aca="false">IF(D10&lt;&gt;"",D10,Assumptions!$G$10*C10)</f>
        <v>30559.1759165065</v>
      </c>
      <c r="F10" s="20" t="n">
        <f aca="false">'History Y-1'!P10</f>
        <v>31602.15</v>
      </c>
      <c r="G10" s="23" t="n">
        <f aca="false">Baseline!H10*(1+Assumptions!$G$13)*IFERROR(MAX(0,E10)/F10,1)^Assumptions!$G$14</f>
        <v>0.460215326269057</v>
      </c>
      <c r="H10" s="55" t="n">
        <f aca="false">IFERROR(E10/G10,0)</f>
        <v>66401.9083507024</v>
      </c>
      <c r="I10" s="29" t="n">
        <f aca="false">Baseline!U10</f>
        <v>0.0161328693470609</v>
      </c>
      <c r="J10" s="69"/>
      <c r="K10" s="20" t="n">
        <f aca="false">IF(J10&lt;&gt;"",J10,Assumptions!$G$11*I10)</f>
        <v>15326.2258797078</v>
      </c>
      <c r="L10" s="20" t="n">
        <f aca="false">'History Y-1'!Q10</f>
        <v>12997.35</v>
      </c>
      <c r="M10" s="23" t="n">
        <f aca="false">Baseline!I10*(1+Assumptions!$G$13)*IFERROR(MAX(0,K10)/L10,1)^Assumptions!$G$15</f>
        <v>0.374416249673019</v>
      </c>
      <c r="N10" s="55" t="n">
        <f aca="false">IFERROR(K10/M10,0)</f>
        <v>40933.6557723986</v>
      </c>
      <c r="O10" s="29" t="n">
        <f aca="false">Baseline!V10</f>
        <v>0.0167563499952285</v>
      </c>
      <c r="P10" s="69"/>
      <c r="Q10" s="20" t="n">
        <f aca="false">IF(P10&lt;&gt;"",P10,Assumptions!$G$12*O10)</f>
        <v>3351.2699990457</v>
      </c>
      <c r="R10" s="20" t="n">
        <f aca="false">'History Y-1'!R10</f>
        <v>1746.84</v>
      </c>
      <c r="S10" s="23" t="n">
        <f aca="false">Baseline!J10*(1+Assumptions!$G$13)*IFERROR(MAX(0,Q10)/R10,1)^Assumptions!$G$16</f>
        <v>0.250520965137208</v>
      </c>
      <c r="T10" s="55" t="n">
        <f aca="false">IFERROR(Q10/S10,0)</f>
        <v>13377.2037689949</v>
      </c>
      <c r="U10" s="49" t="n">
        <f aca="false">E10+K10+Q10</f>
        <v>49236.6717952601</v>
      </c>
    </row>
    <row r="11" customFormat="false" ht="15" hidden="false" customHeight="false" outlineLevel="0" collapsed="false">
      <c r="A11" s="13" t="n">
        <v>6</v>
      </c>
      <c r="B11" s="14" t="str">
        <f aca="false">Calendar!D11</f>
        <v>P2</v>
      </c>
      <c r="C11" s="29" t="n">
        <f aca="false">Baseline!T11</f>
        <v>0.0163810812892109</v>
      </c>
      <c r="D11" s="69"/>
      <c r="E11" s="20" t="n">
        <f aca="false">IF(D11&lt;&gt;"",D11,Assumptions!$G$10*C11)</f>
        <v>31124.0544495008</v>
      </c>
      <c r="F11" s="20" t="n">
        <f aca="false">'History Y-1'!P11</f>
        <v>31434.55</v>
      </c>
      <c r="G11" s="23" t="n">
        <f aca="false">Baseline!H11*(1+Assumptions!$G$13)*IFERROR(MAX(0,E11)/F11,1)^Assumptions!$G$14</f>
        <v>0.478322368541483</v>
      </c>
      <c r="H11" s="55" t="n">
        <f aca="false">IFERROR(E11/G11,0)</f>
        <v>65069.2012259543</v>
      </c>
      <c r="I11" s="29" t="n">
        <f aca="false">Baseline!U11</f>
        <v>0.0158943691239944</v>
      </c>
      <c r="J11" s="69"/>
      <c r="K11" s="20" t="n">
        <f aca="false">IF(J11&lt;&gt;"",J11,Assumptions!$G$11*I11)</f>
        <v>15099.6506677947</v>
      </c>
      <c r="L11" s="20" t="n">
        <f aca="false">'History Y-1'!Q11</f>
        <v>12784.22</v>
      </c>
      <c r="M11" s="23" t="n">
        <f aca="false">Baseline!I11*(1+Assumptions!$G$13)*IFERROR(MAX(0,K11)/L11,1)^Assumptions!$G$15</f>
        <v>0.371368802375158</v>
      </c>
      <c r="N11" s="55" t="n">
        <f aca="false">IFERROR(K11/M11,0)</f>
        <v>40659.4484276064</v>
      </c>
      <c r="O11" s="29" t="n">
        <f aca="false">Baseline!V11</f>
        <v>0.0159292821585346</v>
      </c>
      <c r="P11" s="69"/>
      <c r="Q11" s="20" t="n">
        <f aca="false">IF(P11&lt;&gt;"",P11,Assumptions!$G$12*O11)</f>
        <v>3185.85643170693</v>
      </c>
      <c r="R11" s="20" t="n">
        <f aca="false">'History Y-1'!R11</f>
        <v>1654.98</v>
      </c>
      <c r="S11" s="23" t="n">
        <f aca="false">Baseline!J11*(1+Assumptions!$G$13)*IFERROR(MAX(0,Q11)/R11,1)^Assumptions!$G$16</f>
        <v>0.245965671534091</v>
      </c>
      <c r="T11" s="55" t="n">
        <f aca="false">IFERROR(Q11/S11,0)</f>
        <v>12952.4433708033</v>
      </c>
      <c r="U11" s="49" t="n">
        <f aca="false">E11+K11+Q11</f>
        <v>49409.5615490024</v>
      </c>
    </row>
    <row r="12" customFormat="false" ht="15" hidden="false" customHeight="false" outlineLevel="0" collapsed="false">
      <c r="A12" s="13" t="n">
        <v>7</v>
      </c>
      <c r="B12" s="14" t="str">
        <f aca="false">Calendar!D12</f>
        <v>P2</v>
      </c>
      <c r="C12" s="29" t="n">
        <f aca="false">Baseline!T12</f>
        <v>0.0156793152203389</v>
      </c>
      <c r="D12" s="69"/>
      <c r="E12" s="20" t="n">
        <f aca="false">IF(D12&lt;&gt;"",D12,Assumptions!$G$10*C12)</f>
        <v>29790.698918644</v>
      </c>
      <c r="F12" s="20" t="n">
        <f aca="false">'History Y-1'!P12</f>
        <v>31407.08</v>
      </c>
      <c r="G12" s="23" t="n">
        <f aca="false">Baseline!H12*(1+Assumptions!$G$13)*IFERROR(MAX(0,E12)/F12,1)^Assumptions!$G$14</f>
        <v>0.464248162984386</v>
      </c>
      <c r="H12" s="55" t="n">
        <f aca="false">IFERROR(E12/G12,0)</f>
        <v>64169.7723199088</v>
      </c>
      <c r="I12" s="29" t="n">
        <f aca="false">Baseline!U12</f>
        <v>0.0165822327878937</v>
      </c>
      <c r="J12" s="69"/>
      <c r="K12" s="20" t="n">
        <f aca="false">IF(J12&lt;&gt;"",J12,Assumptions!$G$11*I12)</f>
        <v>15753.121148499</v>
      </c>
      <c r="L12" s="20" t="n">
        <f aca="false">'History Y-1'!Q12</f>
        <v>14279.14</v>
      </c>
      <c r="M12" s="23" t="n">
        <f aca="false">Baseline!I12*(1+Assumptions!$G$13)*IFERROR(MAX(0,K12)/L12,1)^Assumptions!$G$15</f>
        <v>0.375695193300978</v>
      </c>
      <c r="N12" s="55" t="n">
        <f aca="false">IFERROR(K12/M12,0)</f>
        <v>41930.5900884359</v>
      </c>
      <c r="O12" s="29" t="n">
        <f aca="false">Baseline!V12</f>
        <v>0.0159460757117928</v>
      </c>
      <c r="P12" s="69"/>
      <c r="Q12" s="20" t="n">
        <f aca="false">IF(P12&lt;&gt;"",P12,Assumptions!$G$12*O12)</f>
        <v>3189.21514235856</v>
      </c>
      <c r="R12" s="20" t="n">
        <f aca="false">'History Y-1'!R12</f>
        <v>1692.71</v>
      </c>
      <c r="S12" s="23" t="n">
        <f aca="false">Baseline!J12*(1+Assumptions!$G$13)*IFERROR(MAX(0,Q12)/R12,1)^Assumptions!$G$16</f>
        <v>0.235063158519331</v>
      </c>
      <c r="T12" s="55" t="n">
        <f aca="false">IFERROR(Q12/S12,0)</f>
        <v>13567.4818735846</v>
      </c>
      <c r="U12" s="49" t="n">
        <f aca="false">E12+K12+Q12</f>
        <v>48733.0352095015</v>
      </c>
    </row>
    <row r="13" customFormat="false" ht="15" hidden="false" customHeight="false" outlineLevel="0" collapsed="false">
      <c r="A13" s="13" t="n">
        <v>8</v>
      </c>
      <c r="B13" s="14" t="str">
        <f aca="false">Calendar!D13</f>
        <v>P2</v>
      </c>
      <c r="C13" s="29" t="n">
        <f aca="false">Baseline!T13</f>
        <v>0.0153364948171954</v>
      </c>
      <c r="D13" s="69"/>
      <c r="E13" s="20" t="n">
        <f aca="false">IF(D13&lt;&gt;"",D13,Assumptions!$G$10*C13)</f>
        <v>29139.3401526713</v>
      </c>
      <c r="F13" s="20" t="n">
        <f aca="false">'History Y-1'!P13</f>
        <v>28485.45</v>
      </c>
      <c r="G13" s="23" t="n">
        <f aca="false">Baseline!H13*(1+Assumptions!$G$13)*IFERROR(MAX(0,E13)/F13,1)^Assumptions!$G$14</f>
        <v>0.473958666146192</v>
      </c>
      <c r="H13" s="55" t="n">
        <f aca="false">IFERROR(E13/G13,0)</f>
        <v>61480.7624251421</v>
      </c>
      <c r="I13" s="29" t="n">
        <f aca="false">Baseline!U13</f>
        <v>0.0158627026712344</v>
      </c>
      <c r="J13" s="69"/>
      <c r="K13" s="20" t="n">
        <f aca="false">IF(J13&lt;&gt;"",J13,Assumptions!$G$11*I13)</f>
        <v>15069.5675376726</v>
      </c>
      <c r="L13" s="20" t="n">
        <f aca="false">'History Y-1'!Q13</f>
        <v>12302.03</v>
      </c>
      <c r="M13" s="23" t="n">
        <f aca="false">Baseline!I13*(1+Assumptions!$G$13)*IFERROR(MAX(0,K13)/L13,1)^Assumptions!$G$15</f>
        <v>0.369996105403419</v>
      </c>
      <c r="N13" s="55" t="n">
        <f aca="false">IFERROR(K13/M13,0)</f>
        <v>40728.9896233956</v>
      </c>
      <c r="O13" s="29" t="n">
        <f aca="false">Baseline!V13</f>
        <v>0.0164260876746782</v>
      </c>
      <c r="P13" s="69"/>
      <c r="Q13" s="20" t="n">
        <f aca="false">IF(P13&lt;&gt;"",P13,Assumptions!$G$12*O13)</f>
        <v>3285.21753493564</v>
      </c>
      <c r="R13" s="20" t="n">
        <f aca="false">'History Y-1'!R13</f>
        <v>1614.08</v>
      </c>
      <c r="S13" s="23" t="n">
        <f aca="false">Baseline!J13*(1+Assumptions!$G$13)*IFERROR(MAX(0,Q13)/R13,1)^Assumptions!$G$16</f>
        <v>0.250084034681878</v>
      </c>
      <c r="T13" s="55" t="n">
        <f aca="false">IFERROR(Q13/S13,0)</f>
        <v>13136.4544686534</v>
      </c>
      <c r="U13" s="49" t="n">
        <f aca="false">E13+K13+Q13</f>
        <v>47494.1252252796</v>
      </c>
    </row>
    <row r="14" customFormat="false" ht="15" hidden="false" customHeight="false" outlineLevel="0" collapsed="false">
      <c r="A14" s="13" t="n">
        <v>9</v>
      </c>
      <c r="B14" s="14" t="str">
        <f aca="false">Calendar!D14</f>
        <v>P3</v>
      </c>
      <c r="C14" s="29" t="n">
        <f aca="false">Baseline!T14</f>
        <v>0.0186175217676982</v>
      </c>
      <c r="D14" s="69"/>
      <c r="E14" s="20" t="n">
        <f aca="false">IF(D14&lt;&gt;"",D14,Assumptions!$G$10*C14)</f>
        <v>35373.2913586265</v>
      </c>
      <c r="F14" s="20" t="n">
        <f aca="false">'History Y-1'!P14</f>
        <v>36595.16</v>
      </c>
      <c r="G14" s="23" t="n">
        <f aca="false">Baseline!H14*(1+Assumptions!$G$13)*IFERROR(MAX(0,E14)/F14,1)^Assumptions!$G$14</f>
        <v>0.482035542289818</v>
      </c>
      <c r="H14" s="55" t="n">
        <f aca="false">IFERROR(E14/G14,0)</f>
        <v>73383.1600686382</v>
      </c>
      <c r="I14" s="29" t="n">
        <f aca="false">Baseline!U14</f>
        <v>0.0182631537439624</v>
      </c>
      <c r="J14" s="69"/>
      <c r="K14" s="20" t="n">
        <f aca="false">IF(J14&lt;&gt;"",J14,Assumptions!$G$11*I14)</f>
        <v>17349.9960567643</v>
      </c>
      <c r="L14" s="20" t="n">
        <f aca="false">'History Y-1'!Q14</f>
        <v>14897.74</v>
      </c>
      <c r="M14" s="23" t="n">
        <f aca="false">Baseline!I14*(1+Assumptions!$G$13)*IFERROR(MAX(0,K14)/L14,1)^Assumptions!$G$15</f>
        <v>0.368284487959492</v>
      </c>
      <c r="N14" s="55" t="n">
        <f aca="false">IFERROR(K14/M14,0)</f>
        <v>47110.3090789765</v>
      </c>
      <c r="O14" s="29" t="n">
        <f aca="false">Baseline!V14</f>
        <v>0.0179880604927457</v>
      </c>
      <c r="P14" s="69"/>
      <c r="Q14" s="20" t="n">
        <f aca="false">IF(P14&lt;&gt;"",P14,Assumptions!$G$12*O14)</f>
        <v>3597.61209854914</v>
      </c>
      <c r="R14" s="20" t="n">
        <f aca="false">'History Y-1'!R14</f>
        <v>1697.97</v>
      </c>
      <c r="S14" s="23" t="n">
        <f aca="false">Baseline!J14*(1+Assumptions!$G$13)*IFERROR(MAX(0,Q14)/R14,1)^Assumptions!$G$16</f>
        <v>0.248997497389795</v>
      </c>
      <c r="T14" s="55" t="n">
        <f aca="false">IFERROR(Q14/S14,0)</f>
        <v>14448.3865752162</v>
      </c>
      <c r="U14" s="49" t="n">
        <f aca="false">E14+K14+Q14</f>
        <v>56320.8995139399</v>
      </c>
    </row>
    <row r="15" customFormat="false" ht="15" hidden="false" customHeight="false" outlineLevel="0" collapsed="false">
      <c r="A15" s="13" t="n">
        <v>10</v>
      </c>
      <c r="B15" s="14" t="str">
        <f aca="false">Calendar!D15</f>
        <v>P3</v>
      </c>
      <c r="C15" s="29" t="n">
        <f aca="false">Baseline!T15</f>
        <v>0.0177808200786593</v>
      </c>
      <c r="D15" s="69"/>
      <c r="E15" s="20" t="n">
        <f aca="false">IF(D15&lt;&gt;"",D15,Assumptions!$G$10*C15)</f>
        <v>33783.5581494527</v>
      </c>
      <c r="F15" s="20" t="n">
        <f aca="false">'History Y-1'!P15</f>
        <v>34404.1</v>
      </c>
      <c r="G15" s="23" t="n">
        <f aca="false">Baseline!H15*(1+Assumptions!$G$13)*IFERROR(MAX(0,E15)/F15,1)^Assumptions!$G$14</f>
        <v>0.475819649038642</v>
      </c>
      <c r="H15" s="55" t="n">
        <f aca="false">IFERROR(E15/G15,0)</f>
        <v>71000.763036394</v>
      </c>
      <c r="I15" s="29" t="n">
        <f aca="false">Baseline!U15</f>
        <v>0.0183106856948105</v>
      </c>
      <c r="J15" s="69"/>
      <c r="K15" s="20" t="n">
        <f aca="false">IF(J15&lt;&gt;"",J15,Assumptions!$G$11*I15)</f>
        <v>17395.15141007</v>
      </c>
      <c r="L15" s="20" t="n">
        <f aca="false">'History Y-1'!Q15</f>
        <v>15175.06</v>
      </c>
      <c r="M15" s="23" t="n">
        <f aca="false">Baseline!I15*(1+Assumptions!$G$13)*IFERROR(MAX(0,K15)/L15,1)^Assumptions!$G$15</f>
        <v>0.373258795277442</v>
      </c>
      <c r="N15" s="55" t="n">
        <f aca="false">IFERROR(K15/M15,0)</f>
        <v>46603.4602001548</v>
      </c>
      <c r="O15" s="29" t="n">
        <f aca="false">Baseline!V15</f>
        <v>0.018309871561356</v>
      </c>
      <c r="P15" s="69"/>
      <c r="Q15" s="20" t="n">
        <f aca="false">IF(P15&lt;&gt;"",P15,Assumptions!$G$12*O15)</f>
        <v>3661.9743122712</v>
      </c>
      <c r="R15" s="20" t="n">
        <f aca="false">'History Y-1'!R15</f>
        <v>1859.05</v>
      </c>
      <c r="S15" s="23" t="n">
        <f aca="false">Baseline!J15*(1+Assumptions!$G$13)*IFERROR(MAX(0,Q15)/R15,1)^Assumptions!$G$16</f>
        <v>0.23951445960342</v>
      </c>
      <c r="T15" s="55" t="n">
        <f aca="false">IFERROR(Q15/S15,0)</f>
        <v>15289.157566247</v>
      </c>
      <c r="U15" s="49" t="n">
        <f aca="false">E15+K15+Q15</f>
        <v>54840.6838717939</v>
      </c>
    </row>
    <row r="16" customFormat="false" ht="15" hidden="false" customHeight="false" outlineLevel="0" collapsed="false">
      <c r="A16" s="13" t="n">
        <v>11</v>
      </c>
      <c r="B16" s="14" t="str">
        <f aca="false">Calendar!D16</f>
        <v>P3</v>
      </c>
      <c r="C16" s="29" t="n">
        <f aca="false">Baseline!T16</f>
        <v>0.018690301882622</v>
      </c>
      <c r="D16" s="69"/>
      <c r="E16" s="20" t="n">
        <f aca="false">IF(D16&lt;&gt;"",D16,Assumptions!$G$10*C16)</f>
        <v>35511.5735769819</v>
      </c>
      <c r="F16" s="20" t="n">
        <f aca="false">'History Y-1'!P16</f>
        <v>38124.73</v>
      </c>
      <c r="G16" s="23" t="n">
        <f aca="false">Baseline!H16*(1+Assumptions!$G$13)*IFERROR(MAX(0,E16)/F16,1)^Assumptions!$G$14</f>
        <v>0.467366391803647</v>
      </c>
      <c r="H16" s="55" t="n">
        <f aca="false">IFERROR(E16/G16,0)</f>
        <v>75982.3003959198</v>
      </c>
      <c r="I16" s="29" t="n">
        <f aca="false">Baseline!U16</f>
        <v>0.0177582124996469</v>
      </c>
      <c r="J16" s="69"/>
      <c r="K16" s="20" t="n">
        <f aca="false">IF(J16&lt;&gt;"",J16,Assumptions!$G$11*I16)</f>
        <v>16870.3018746646</v>
      </c>
      <c r="L16" s="20" t="n">
        <f aca="false">'History Y-1'!Q16</f>
        <v>13961.27</v>
      </c>
      <c r="M16" s="23" t="n">
        <f aca="false">Baseline!I16*(1+Assumptions!$G$13)*IFERROR(MAX(0,K16)/L16,1)^Assumptions!$G$15</f>
        <v>0.362943344075758</v>
      </c>
      <c r="N16" s="55" t="n">
        <f aca="false">IFERROR(K16/M16,0)</f>
        <v>46481.9155662576</v>
      </c>
      <c r="O16" s="29" t="n">
        <f aca="false">Baseline!V16</f>
        <v>0.0186669481491322</v>
      </c>
      <c r="P16" s="69"/>
      <c r="Q16" s="20" t="n">
        <f aca="false">IF(P16&lt;&gt;"",P16,Assumptions!$G$12*O16)</f>
        <v>3733.38962982644</v>
      </c>
      <c r="R16" s="20" t="n">
        <f aca="false">'History Y-1'!R16</f>
        <v>1842.09</v>
      </c>
      <c r="S16" s="23" t="n">
        <f aca="false">Baseline!J16*(1+Assumptions!$G$13)*IFERROR(MAX(0,Q16)/R16,1)^Assumptions!$G$16</f>
        <v>0.247042234503556</v>
      </c>
      <c r="T16" s="55" t="n">
        <f aca="false">IFERROR(Q16/S16,0)</f>
        <v>15112.3537128333</v>
      </c>
      <c r="U16" s="49" t="n">
        <f aca="false">E16+K16+Q16</f>
        <v>56115.2650814729</v>
      </c>
    </row>
    <row r="17" customFormat="false" ht="15" hidden="false" customHeight="false" outlineLevel="0" collapsed="false">
      <c r="A17" s="13" t="n">
        <v>12</v>
      </c>
      <c r="B17" s="14" t="str">
        <f aca="false">Calendar!D17</f>
        <v>P3</v>
      </c>
      <c r="C17" s="29" t="n">
        <f aca="false">Baseline!T17</f>
        <v>0.0164951830936809</v>
      </c>
      <c r="D17" s="69"/>
      <c r="E17" s="20" t="n">
        <f aca="false">IF(D17&lt;&gt;"",D17,Assumptions!$G$10*C17)</f>
        <v>31340.8478779938</v>
      </c>
      <c r="F17" s="20" t="n">
        <f aca="false">'History Y-1'!P17</f>
        <v>36708.65</v>
      </c>
      <c r="G17" s="23" t="n">
        <f aca="false">Baseline!H17*(1+Assumptions!$G$13)*IFERROR(MAX(0,E17)/F17,1)^Assumptions!$G$14</f>
        <v>0.41641466190032</v>
      </c>
      <c r="H17" s="55" t="n">
        <f aca="false">IFERROR(E17/G17,0)</f>
        <v>75263.555166307</v>
      </c>
      <c r="I17" s="29" t="n">
        <f aca="false">Baseline!U17</f>
        <v>0.0187094999603406</v>
      </c>
      <c r="J17" s="69"/>
      <c r="K17" s="20" t="n">
        <f aca="false">IF(J17&lt;&gt;"",J17,Assumptions!$G$11*I17)</f>
        <v>17774.0249623235</v>
      </c>
      <c r="L17" s="20" t="n">
        <f aca="false">'History Y-1'!Q17</f>
        <v>14687.85</v>
      </c>
      <c r="M17" s="23" t="n">
        <f aca="false">Baseline!I17*(1+Assumptions!$G$13)*IFERROR(MAX(0,K17)/L17,1)^Assumptions!$G$15</f>
        <v>0.348666075362396</v>
      </c>
      <c r="N17" s="55" t="n">
        <f aca="false">IFERROR(K17/M17,0)</f>
        <v>50977.2134953181</v>
      </c>
      <c r="O17" s="29" t="n">
        <f aca="false">Baseline!V17</f>
        <v>0.0180048911204128</v>
      </c>
      <c r="P17" s="69"/>
      <c r="Q17" s="20" t="n">
        <f aca="false">IF(P17&lt;&gt;"",P17,Assumptions!$G$12*O17)</f>
        <v>3600.97822408256</v>
      </c>
      <c r="R17" s="20" t="n">
        <f aca="false">'History Y-1'!R17</f>
        <v>2013.77</v>
      </c>
      <c r="S17" s="23" t="n">
        <f aca="false">Baseline!J17*(1+Assumptions!$G$13)*IFERROR(MAX(0,Q17)/R17,1)^Assumptions!$G$16</f>
        <v>0.231565685715002</v>
      </c>
      <c r="T17" s="55" t="n">
        <f aca="false">IFERROR(Q17/S17,0)</f>
        <v>15550.5692173859</v>
      </c>
      <c r="U17" s="49" t="n">
        <f aca="false">E17+K17+Q17</f>
        <v>52715.8510643999</v>
      </c>
    </row>
    <row r="18" customFormat="false" ht="15" hidden="false" customHeight="false" outlineLevel="0" collapsed="false">
      <c r="A18" s="13" t="n">
        <v>13</v>
      </c>
      <c r="B18" s="14" t="str">
        <f aca="false">Calendar!D18</f>
        <v>P3</v>
      </c>
      <c r="C18" s="29" t="n">
        <f aca="false">Baseline!T18</f>
        <v>0.0183017619744775</v>
      </c>
      <c r="D18" s="69"/>
      <c r="E18" s="20" t="n">
        <f aca="false">IF(D18&lt;&gt;"",D18,Assumptions!$G$10*C18)</f>
        <v>34773.3477515073</v>
      </c>
      <c r="F18" s="20" t="n">
        <f aca="false">'History Y-1'!P18</f>
        <v>33959.87</v>
      </c>
      <c r="G18" s="23" t="n">
        <f aca="false">Baseline!H18*(1+Assumptions!$G$13)*IFERROR(MAX(0,E18)/F18,1)^Assumptions!$G$14</f>
        <v>0.496460497693752</v>
      </c>
      <c r="H18" s="55" t="n">
        <f aca="false">IFERROR(E18/G18,0)</f>
        <v>70042.5268738253</v>
      </c>
      <c r="I18" s="29" t="n">
        <f aca="false">Baseline!U18</f>
        <v>0.0183670924535024</v>
      </c>
      <c r="J18" s="69"/>
      <c r="K18" s="20" t="n">
        <f aca="false">IF(J18&lt;&gt;"",J18,Assumptions!$G$11*I18)</f>
        <v>17448.7378308273</v>
      </c>
      <c r="L18" s="20" t="n">
        <f aca="false">'History Y-1'!Q18</f>
        <v>14790.54</v>
      </c>
      <c r="M18" s="23" t="n">
        <f aca="false">Baseline!I18*(1+Assumptions!$G$13)*IFERROR(MAX(0,K18)/L18,1)^Assumptions!$G$15</f>
        <v>0.364932142559908</v>
      </c>
      <c r="N18" s="55" t="n">
        <f aca="false">IFERROR(K18/M18,0)</f>
        <v>47813.6502540685</v>
      </c>
      <c r="O18" s="29" t="n">
        <f aca="false">Baseline!V18</f>
        <v>0.0176150169444241</v>
      </c>
      <c r="P18" s="69"/>
      <c r="Q18" s="20" t="n">
        <f aca="false">IF(P18&lt;&gt;"",P18,Assumptions!$G$12*O18)</f>
        <v>3523.00338888481</v>
      </c>
      <c r="R18" s="20" t="n">
        <f aca="false">'History Y-1'!R18</f>
        <v>1781.61</v>
      </c>
      <c r="S18" s="23" t="n">
        <f aca="false">Baseline!J18*(1+Assumptions!$G$13)*IFERROR(MAX(0,Q18)/R18,1)^Assumptions!$G$16</f>
        <v>0.243087270281987</v>
      </c>
      <c r="T18" s="55" t="n">
        <f aca="false">IFERROR(Q18/S18,0)</f>
        <v>14492.7514501193</v>
      </c>
      <c r="U18" s="49" t="n">
        <f aca="false">E18+K18+Q18</f>
        <v>55745.0889712194</v>
      </c>
    </row>
    <row r="19" customFormat="false" ht="15" hidden="false" customHeight="false" outlineLevel="0" collapsed="false">
      <c r="A19" s="13" t="n">
        <v>14</v>
      </c>
      <c r="B19" s="14" t="str">
        <f aca="false">Calendar!D19</f>
        <v>P4</v>
      </c>
      <c r="C19" s="29" t="n">
        <f aca="false">Baseline!T19</f>
        <v>0.0193890265515024</v>
      </c>
      <c r="D19" s="69"/>
      <c r="E19" s="20" t="n">
        <f aca="false">IF(D19&lt;&gt;"",D19,Assumptions!$G$10*C19)</f>
        <v>36839.1504478545</v>
      </c>
      <c r="F19" s="20" t="n">
        <f aca="false">'History Y-1'!P19</f>
        <v>37318.58</v>
      </c>
      <c r="G19" s="23" t="n">
        <f aca="false">Baseline!H19*(1+Assumptions!$G$13)*IFERROR(MAX(0,E19)/F19,1)^Assumptions!$G$14</f>
        <v>0.472232363964624</v>
      </c>
      <c r="H19" s="55" t="n">
        <f aca="false">IFERROR(E19/G19,0)</f>
        <v>78010.6431896612</v>
      </c>
      <c r="I19" s="29" t="n">
        <f aca="false">Baseline!U19</f>
        <v>0.0192923512195471</v>
      </c>
      <c r="J19" s="69"/>
      <c r="K19" s="20" t="n">
        <f aca="false">IF(J19&lt;&gt;"",J19,Assumptions!$G$11*I19)</f>
        <v>18327.7336585697</v>
      </c>
      <c r="L19" s="20" t="n">
        <f aca="false">'History Y-1'!Q19</f>
        <v>15323.61</v>
      </c>
      <c r="M19" s="23" t="n">
        <f aca="false">Baseline!I19*(1+Assumptions!$G$13)*IFERROR(MAX(0,K19)/L19,1)^Assumptions!$G$15</f>
        <v>0.37856585158675</v>
      </c>
      <c r="N19" s="55" t="n">
        <f aca="false">IFERROR(K19/M19,0)</f>
        <v>48413.5945747601</v>
      </c>
      <c r="O19" s="29" t="n">
        <f aca="false">Baseline!V19</f>
        <v>0.0192743425606568</v>
      </c>
      <c r="P19" s="69"/>
      <c r="Q19" s="20" t="n">
        <f aca="false">IF(P19&lt;&gt;"",P19,Assumptions!$G$12*O19)</f>
        <v>3854.86851213136</v>
      </c>
      <c r="R19" s="20" t="n">
        <f aca="false">'History Y-1'!R19</f>
        <v>1957.93</v>
      </c>
      <c r="S19" s="23" t="n">
        <f aca="false">Baseline!J19*(1+Assumptions!$G$13)*IFERROR(MAX(0,Q19)/R19,1)^Assumptions!$G$16</f>
        <v>0.249820484891913</v>
      </c>
      <c r="T19" s="55" t="n">
        <f aca="false">IFERROR(Q19/S19,0)</f>
        <v>15430.5541188875</v>
      </c>
      <c r="U19" s="49" t="n">
        <f aca="false">E19+K19+Q19</f>
        <v>59021.7526185556</v>
      </c>
    </row>
    <row r="20" customFormat="false" ht="15" hidden="false" customHeight="false" outlineLevel="0" collapsed="false">
      <c r="A20" s="13" t="n">
        <v>15</v>
      </c>
      <c r="B20" s="14" t="str">
        <f aca="false">Calendar!D20</f>
        <v>P4</v>
      </c>
      <c r="C20" s="29" t="n">
        <f aca="false">Baseline!T20</f>
        <v>0.0196823824118215</v>
      </c>
      <c r="D20" s="69"/>
      <c r="E20" s="20" t="n">
        <f aca="false">IF(D20&lt;&gt;"",D20,Assumptions!$G$10*C20)</f>
        <v>37396.5265824609</v>
      </c>
      <c r="F20" s="20" t="n">
        <f aca="false">'History Y-1'!P20</f>
        <v>39714.38</v>
      </c>
      <c r="G20" s="23" t="n">
        <f aca="false">Baseline!H20*(1+Assumptions!$G$13)*IFERROR(MAX(0,E20)/F20,1)^Assumptions!$G$14</f>
        <v>0.477619564803111</v>
      </c>
      <c r="H20" s="55" t="n">
        <f aca="false">IFERROR(E20/G20,0)</f>
        <v>78297.7276022536</v>
      </c>
      <c r="I20" s="29" t="n">
        <f aca="false">Baseline!U20</f>
        <v>0.0179283342145303</v>
      </c>
      <c r="J20" s="69"/>
      <c r="K20" s="20" t="n">
        <f aca="false">IF(J20&lt;&gt;"",J20,Assumptions!$G$11*I20)</f>
        <v>17031.9175038038</v>
      </c>
      <c r="L20" s="20" t="n">
        <f aca="false">'History Y-1'!Q20</f>
        <v>15030.91</v>
      </c>
      <c r="M20" s="23" t="n">
        <f aca="false">Baseline!I20*(1+Assumptions!$G$13)*IFERROR(MAX(0,K20)/L20,1)^Assumptions!$G$15</f>
        <v>0.357980893969178</v>
      </c>
      <c r="N20" s="55" t="n">
        <f aca="false">IFERROR(K20/M20,0)</f>
        <v>47577.7277244027</v>
      </c>
      <c r="O20" s="29" t="n">
        <f aca="false">Baseline!V20</f>
        <v>0.0189804169568158</v>
      </c>
      <c r="P20" s="69"/>
      <c r="Q20" s="20" t="n">
        <f aca="false">IF(P20&lt;&gt;"",P20,Assumptions!$G$12*O20)</f>
        <v>3796.08339136316</v>
      </c>
      <c r="R20" s="20" t="n">
        <f aca="false">'History Y-1'!R20</f>
        <v>1976.75</v>
      </c>
      <c r="S20" s="23" t="n">
        <f aca="false">Baseline!J20*(1+Assumptions!$G$13)*IFERROR(MAX(0,Q20)/R20,1)^Assumptions!$G$16</f>
        <v>0.245833764533367</v>
      </c>
      <c r="T20" s="55" t="n">
        <f aca="false">IFERROR(Q20/S20,0)</f>
        <v>15441.6680660964</v>
      </c>
      <c r="U20" s="49" t="n">
        <f aca="false">E20+K20+Q20</f>
        <v>58224.5274776279</v>
      </c>
    </row>
    <row r="21" customFormat="false" ht="15" hidden="false" customHeight="false" outlineLevel="0" collapsed="false">
      <c r="A21" s="13" t="n">
        <v>16</v>
      </c>
      <c r="B21" s="14" t="str">
        <f aca="false">Calendar!D21</f>
        <v>P4</v>
      </c>
      <c r="C21" s="29" t="n">
        <f aca="false">Baseline!T21</f>
        <v>0.0190396014516943</v>
      </c>
      <c r="D21" s="69"/>
      <c r="E21" s="20" t="n">
        <f aca="false">IF(D21&lt;&gt;"",D21,Assumptions!$G$10*C21)</f>
        <v>36175.2427582191</v>
      </c>
      <c r="F21" s="20" t="n">
        <f aca="false">'History Y-1'!P21</f>
        <v>36687.17</v>
      </c>
      <c r="G21" s="23" t="n">
        <f aca="false">Baseline!H21*(1+Assumptions!$G$13)*IFERROR(MAX(0,E21)/F21,1)^Assumptions!$G$14</f>
        <v>0.477881568814651</v>
      </c>
      <c r="H21" s="55" t="n">
        <f aca="false">IFERROR(E21/G21,0)</f>
        <v>75699.1797108834</v>
      </c>
      <c r="I21" s="29" t="n">
        <f aca="false">Baseline!U21</f>
        <v>0.0185698590586314</v>
      </c>
      <c r="J21" s="69"/>
      <c r="K21" s="20" t="n">
        <f aca="false">IF(J21&lt;&gt;"",J21,Assumptions!$G$11*I21)</f>
        <v>17641.3661056998</v>
      </c>
      <c r="L21" s="20" t="n">
        <f aca="false">'History Y-1'!Q21</f>
        <v>15361.74</v>
      </c>
      <c r="M21" s="23" t="n">
        <f aca="false">Baseline!I21*(1+Assumptions!$G$13)*IFERROR(MAX(0,K21)/L21,1)^Assumptions!$G$15</f>
        <v>0.361153864933884</v>
      </c>
      <c r="N21" s="55" t="n">
        <f aca="false">IFERROR(K21/M21,0)</f>
        <v>48847.2305534634</v>
      </c>
      <c r="O21" s="29" t="n">
        <f aca="false">Baseline!V21</f>
        <v>0.0199294795935858</v>
      </c>
      <c r="P21" s="69"/>
      <c r="Q21" s="20" t="n">
        <f aca="false">IF(P21&lt;&gt;"",P21,Assumptions!$G$12*O21)</f>
        <v>3985.89591871715</v>
      </c>
      <c r="R21" s="20" t="n">
        <f aca="false">'History Y-1'!R21</f>
        <v>2124.85</v>
      </c>
      <c r="S21" s="23" t="n">
        <f aca="false">Baseline!J21*(1+Assumptions!$G$13)*IFERROR(MAX(0,Q21)/R21,1)^Assumptions!$G$16</f>
        <v>0.243534154393992</v>
      </c>
      <c r="T21" s="55" t="n">
        <f aca="false">IFERROR(Q21/S21,0)</f>
        <v>16366.8867253368</v>
      </c>
      <c r="U21" s="49" t="n">
        <f aca="false">E21+K21+Q21</f>
        <v>57802.5047826361</v>
      </c>
    </row>
    <row r="22" customFormat="false" ht="15" hidden="false" customHeight="false" outlineLevel="0" collapsed="false">
      <c r="A22" s="13" t="n">
        <v>17</v>
      </c>
      <c r="B22" s="14" t="str">
        <f aca="false">Calendar!D22</f>
        <v>P4</v>
      </c>
      <c r="C22" s="29" t="n">
        <f aca="false">Baseline!T22</f>
        <v>0.0191888771415155</v>
      </c>
      <c r="D22" s="69"/>
      <c r="E22" s="20" t="n">
        <f aca="false">IF(D22&lt;&gt;"",D22,Assumptions!$G$10*C22)</f>
        <v>36458.8665688794</v>
      </c>
      <c r="F22" s="20" t="n">
        <f aca="false">'History Y-1'!P22</f>
        <v>40006.56</v>
      </c>
      <c r="G22" s="23" t="n">
        <f aca="false">Baseline!H22*(1+Assumptions!$G$13)*IFERROR(MAX(0,E22)/F22,1)^Assumptions!$G$14</f>
        <v>0.45996748209837</v>
      </c>
      <c r="H22" s="55" t="n">
        <f aca="false">IFERROR(E22/G22,0)</f>
        <v>79264.0088437429</v>
      </c>
      <c r="I22" s="29" t="n">
        <f aca="false">Baseline!U22</f>
        <v>0.0199131324046796</v>
      </c>
      <c r="J22" s="69"/>
      <c r="K22" s="20" t="n">
        <f aca="false">IF(J22&lt;&gt;"",J22,Assumptions!$G$11*I22)</f>
        <v>18917.4757844456</v>
      </c>
      <c r="L22" s="20" t="n">
        <f aca="false">'History Y-1'!Q22</f>
        <v>17160.64</v>
      </c>
      <c r="M22" s="23" t="n">
        <f aca="false">Baseline!I22*(1+Assumptions!$G$13)*IFERROR(MAX(0,K22)/L22,1)^Assumptions!$G$15</f>
        <v>0.366658341181358</v>
      </c>
      <c r="N22" s="55" t="n">
        <f aca="false">IFERROR(K22/M22,0)</f>
        <v>51594.2872688899</v>
      </c>
      <c r="O22" s="29" t="n">
        <f aca="false">Baseline!V22</f>
        <v>0.0186149350979552</v>
      </c>
      <c r="P22" s="69"/>
      <c r="Q22" s="20" t="n">
        <f aca="false">IF(P22&lt;&gt;"",P22,Assumptions!$G$12*O22)</f>
        <v>3722.98701959104</v>
      </c>
      <c r="R22" s="20" t="n">
        <f aca="false">'History Y-1'!R22</f>
        <v>1841.85</v>
      </c>
      <c r="S22" s="23" t="n">
        <f aca="false">Baseline!J22*(1+Assumptions!$G$13)*IFERROR(MAX(0,Q22)/R22,1)^Assumptions!$G$16</f>
        <v>0.242530977486813</v>
      </c>
      <c r="T22" s="55" t="n">
        <f aca="false">IFERROR(Q22/S22,0)</f>
        <v>15350.5628772451</v>
      </c>
      <c r="U22" s="49" t="n">
        <f aca="false">E22+K22+Q22</f>
        <v>59099.3293729161</v>
      </c>
    </row>
    <row r="23" customFormat="false" ht="15" hidden="false" customHeight="false" outlineLevel="0" collapsed="false">
      <c r="A23" s="13" t="n">
        <v>18</v>
      </c>
      <c r="B23" s="14" t="str">
        <f aca="false">Calendar!D23</f>
        <v>P5</v>
      </c>
      <c r="C23" s="29" t="n">
        <f aca="false">Baseline!T23</f>
        <v>0.0187411426671637</v>
      </c>
      <c r="D23" s="69"/>
      <c r="E23" s="20" t="n">
        <f aca="false">IF(D23&lt;&gt;"",D23,Assumptions!$G$10*C23)</f>
        <v>35608.171067611</v>
      </c>
      <c r="F23" s="20" t="n">
        <f aca="false">'History Y-1'!P23</f>
        <v>37057.76</v>
      </c>
      <c r="G23" s="23" t="n">
        <f aca="false">Baseline!H23*(1+Assumptions!$G$13)*IFERROR(MAX(0,E23)/F23,1)^Assumptions!$G$14</f>
        <v>0.480785217267054</v>
      </c>
      <c r="H23" s="55" t="n">
        <f aca="false">IFERROR(E23/G23,0)</f>
        <v>74062.5330995407</v>
      </c>
      <c r="I23" s="29" t="n">
        <f aca="false">Baseline!U23</f>
        <v>0.0185948893171675</v>
      </c>
      <c r="J23" s="69"/>
      <c r="K23" s="20" t="n">
        <f aca="false">IF(J23&lt;&gt;"",J23,Assumptions!$G$11*I23)</f>
        <v>17665.1448513091</v>
      </c>
      <c r="L23" s="20" t="n">
        <f aca="false">'History Y-1'!Q23</f>
        <v>14641.73</v>
      </c>
      <c r="M23" s="23" t="n">
        <f aca="false">Baseline!I23*(1+Assumptions!$G$13)*IFERROR(MAX(0,K23)/L23,1)^Assumptions!$G$15</f>
        <v>0.375816485073696</v>
      </c>
      <c r="N23" s="55" t="n">
        <f aca="false">IFERROR(K23/M23,0)</f>
        <v>47004.7098861165</v>
      </c>
      <c r="O23" s="29" t="n">
        <f aca="false">Baseline!V23</f>
        <v>0.0191604969697105</v>
      </c>
      <c r="P23" s="69"/>
      <c r="Q23" s="20" t="n">
        <f aca="false">IF(P23&lt;&gt;"",P23,Assumptions!$G$12*O23)</f>
        <v>3832.09939394209</v>
      </c>
      <c r="R23" s="20" t="n">
        <f aca="false">'History Y-1'!R23</f>
        <v>1865.26</v>
      </c>
      <c r="S23" s="23" t="n">
        <f aca="false">Baseline!J23*(1+Assumptions!$G$13)*IFERROR(MAX(0,Q23)/R23,1)^Assumptions!$G$16</f>
        <v>0.250882151496618</v>
      </c>
      <c r="T23" s="55" t="n">
        <f aca="false">IFERROR(Q23/S23,0)</f>
        <v>15274.4998840372</v>
      </c>
      <c r="U23" s="49" t="n">
        <f aca="false">E23+K23+Q23</f>
        <v>57105.4153128622</v>
      </c>
    </row>
    <row r="24" customFormat="false" ht="15" hidden="false" customHeight="false" outlineLevel="0" collapsed="false">
      <c r="A24" s="13" t="n">
        <v>19</v>
      </c>
      <c r="B24" s="14" t="str">
        <f aca="false">Calendar!D24</f>
        <v>P5</v>
      </c>
      <c r="C24" s="29" t="n">
        <f aca="false">Baseline!T24</f>
        <v>0.0198871549260088</v>
      </c>
      <c r="D24" s="69"/>
      <c r="E24" s="20" t="n">
        <f aca="false">IF(D24&lt;&gt;"",D24,Assumptions!$G$10*C24)</f>
        <v>37785.5943594168</v>
      </c>
      <c r="F24" s="20" t="n">
        <f aca="false">'History Y-1'!P24</f>
        <v>37857.89</v>
      </c>
      <c r="G24" s="23" t="n">
        <f aca="false">Baseline!H24*(1+Assumptions!$G$13)*IFERROR(MAX(0,E24)/F24,1)^Assumptions!$G$14</f>
        <v>0.486293088233149</v>
      </c>
      <c r="H24" s="55" t="n">
        <f aca="false">IFERROR(E24/G24,0)</f>
        <v>77701.2778378229</v>
      </c>
      <c r="I24" s="29" t="n">
        <f aca="false">Baseline!U24</f>
        <v>0.0192894307445073</v>
      </c>
      <c r="J24" s="69"/>
      <c r="K24" s="20" t="n">
        <f aca="false">IF(J24&lt;&gt;"",J24,Assumptions!$G$11*I24)</f>
        <v>18324.959207282</v>
      </c>
      <c r="L24" s="20" t="n">
        <f aca="false">'History Y-1'!Q24</f>
        <v>17288.64</v>
      </c>
      <c r="M24" s="23" t="n">
        <f aca="false">Baseline!I24*(1+Assumptions!$G$13)*IFERROR(MAX(0,K24)/L24,1)^Assumptions!$G$15</f>
        <v>0.358984318010207</v>
      </c>
      <c r="N24" s="55" t="n">
        <f aca="false">IFERROR(K24/M24,0)</f>
        <v>51046.6844592384</v>
      </c>
      <c r="O24" s="29" t="n">
        <f aca="false">Baseline!V24</f>
        <v>0.0203241369988247</v>
      </c>
      <c r="P24" s="69"/>
      <c r="Q24" s="20" t="n">
        <f aca="false">IF(P24&lt;&gt;"",P24,Assumptions!$G$12*O24)</f>
        <v>4064.82739976494</v>
      </c>
      <c r="R24" s="20" t="n">
        <f aca="false">'History Y-1'!R24</f>
        <v>2130.95</v>
      </c>
      <c r="S24" s="23" t="n">
        <f aca="false">Baseline!J24*(1+Assumptions!$G$13)*IFERROR(MAX(0,Q24)/R24,1)^Assumptions!$G$16</f>
        <v>0.252139962874909</v>
      </c>
      <c r="T24" s="55" t="n">
        <f aca="false">IFERROR(Q24/S24,0)</f>
        <v>16121.3135491004</v>
      </c>
      <c r="U24" s="49" t="n">
        <f aca="false">E24+K24+Q24</f>
        <v>60175.3809664637</v>
      </c>
    </row>
    <row r="25" customFormat="false" ht="15" hidden="false" customHeight="false" outlineLevel="0" collapsed="false">
      <c r="A25" s="13" t="n">
        <v>20</v>
      </c>
      <c r="B25" s="14" t="str">
        <f aca="false">Calendar!D25</f>
        <v>P5</v>
      </c>
      <c r="C25" s="29" t="n">
        <f aca="false">Baseline!T25</f>
        <v>0.019699923303285</v>
      </c>
      <c r="D25" s="69"/>
      <c r="E25" s="20" t="n">
        <f aca="false">IF(D25&lt;&gt;"",D25,Assumptions!$G$10*C25)</f>
        <v>37429.8542762415</v>
      </c>
      <c r="F25" s="20" t="n">
        <f aca="false">'History Y-1'!P25</f>
        <v>40239.85</v>
      </c>
      <c r="G25" s="23" t="n">
        <f aca="false">Baseline!H25*(1+Assumptions!$G$13)*IFERROR(MAX(0,E25)/F25,1)^Assumptions!$G$14</f>
        <v>0.471271514967625</v>
      </c>
      <c r="H25" s="55" t="n">
        <f aca="false">IFERROR(E25/G25,0)</f>
        <v>79423.1204039837</v>
      </c>
      <c r="I25" s="29" t="n">
        <f aca="false">Baseline!U25</f>
        <v>0.0189968541534762</v>
      </c>
      <c r="J25" s="69"/>
      <c r="K25" s="20" t="n">
        <f aca="false">IF(J25&lt;&gt;"",J25,Assumptions!$G$11*I25)</f>
        <v>18047.0114458024</v>
      </c>
      <c r="L25" s="20" t="n">
        <f aca="false">'History Y-1'!Q25</f>
        <v>16415.73</v>
      </c>
      <c r="M25" s="23" t="n">
        <f aca="false">Baseline!I25*(1+Assumptions!$G$13)*IFERROR(MAX(0,K25)/L25,1)^Assumptions!$G$15</f>
        <v>0.360027538740635</v>
      </c>
      <c r="N25" s="55" t="n">
        <f aca="false">IFERROR(K25/M25,0)</f>
        <v>50126.7528282151</v>
      </c>
      <c r="O25" s="29" t="n">
        <f aca="false">Baseline!V25</f>
        <v>0.0194699407835713</v>
      </c>
      <c r="P25" s="69"/>
      <c r="Q25" s="20" t="n">
        <f aca="false">IF(P25&lt;&gt;"",P25,Assumptions!$G$12*O25)</f>
        <v>3893.98815671425</v>
      </c>
      <c r="R25" s="20" t="n">
        <f aca="false">'History Y-1'!R25</f>
        <v>2124.03</v>
      </c>
      <c r="S25" s="23" t="n">
        <f aca="false">Baseline!J25*(1+Assumptions!$G$13)*IFERROR(MAX(0,Q25)/R25,1)^Assumptions!$G$16</f>
        <v>0.2431813677366</v>
      </c>
      <c r="T25" s="55" t="n">
        <f aca="false">IFERROR(Q25/S25,0)</f>
        <v>16012.6912392893</v>
      </c>
      <c r="U25" s="49" t="n">
        <f aca="false">E25+K25+Q25</f>
        <v>59370.8538787582</v>
      </c>
    </row>
    <row r="26" customFormat="false" ht="15" hidden="false" customHeight="false" outlineLevel="0" collapsed="false">
      <c r="A26" s="13" t="n">
        <v>21</v>
      </c>
      <c r="B26" s="14" t="str">
        <f aca="false">Calendar!D26</f>
        <v>P5</v>
      </c>
      <c r="C26" s="29" t="n">
        <f aca="false">Baseline!T26</f>
        <v>0.0260059573865678</v>
      </c>
      <c r="D26" s="69"/>
      <c r="E26" s="20" t="n">
        <f aca="false">IF(D26&lt;&gt;"",D26,Assumptions!$G$10*C26)</f>
        <v>49411.3190344789</v>
      </c>
      <c r="F26" s="20" t="n">
        <f aca="false">'History Y-1'!P26</f>
        <v>50550.92</v>
      </c>
      <c r="G26" s="23" t="n">
        <f aca="false">Baseline!H26*(1+Assumptions!$G$13)*IFERROR(MAX(0,E26)/F26,1)^Assumptions!$G$14</f>
        <v>0.468613020380607</v>
      </c>
      <c r="H26" s="55" t="n">
        <f aca="false">IFERROR(E26/G26,0)</f>
        <v>105441.626428449</v>
      </c>
      <c r="I26" s="29" t="n">
        <f aca="false">Baseline!U26</f>
        <v>0.0264833639123536</v>
      </c>
      <c r="J26" s="69"/>
      <c r="K26" s="20" t="n">
        <f aca="false">IF(J26&lt;&gt;"",J26,Assumptions!$G$11*I26)</f>
        <v>25159.1957167359</v>
      </c>
      <c r="L26" s="20" t="n">
        <f aca="false">'History Y-1'!Q26</f>
        <v>22274.08</v>
      </c>
      <c r="M26" s="23" t="n">
        <f aca="false">Baseline!I26*(1+Assumptions!$G$13)*IFERROR(MAX(0,K26)/L26,1)^Assumptions!$G$15</f>
        <v>0.361678370255118</v>
      </c>
      <c r="N26" s="55" t="n">
        <f aca="false">IFERROR(K26/M26,0)</f>
        <v>69562.3454037058</v>
      </c>
      <c r="O26" s="29" t="n">
        <f aca="false">Baseline!V26</f>
        <v>0.0250911135460668</v>
      </c>
      <c r="P26" s="69"/>
      <c r="Q26" s="20" t="n">
        <f aca="false">IF(P26&lt;&gt;"",P26,Assumptions!$G$12*O26)</f>
        <v>5018.22270921336</v>
      </c>
      <c r="R26" s="20" t="n">
        <f aca="false">'History Y-1'!R26</f>
        <v>2566.68</v>
      </c>
      <c r="S26" s="23" t="n">
        <f aca="false">Baseline!J26*(1+Assumptions!$G$13)*IFERROR(MAX(0,Q26)/R26,1)^Assumptions!$G$16</f>
        <v>0.243529652597577</v>
      </c>
      <c r="T26" s="55" t="n">
        <f aca="false">IFERROR(Q26/S26,0)</f>
        <v>20606.2081380528</v>
      </c>
      <c r="U26" s="49" t="n">
        <f aca="false">E26+K26+Q26</f>
        <v>79588.7374604282</v>
      </c>
    </row>
    <row r="27" customFormat="false" ht="15" hidden="false" customHeight="false" outlineLevel="0" collapsed="false">
      <c r="A27" s="13" t="n">
        <v>22</v>
      </c>
      <c r="B27" s="14" t="str">
        <f aca="false">Calendar!D27</f>
        <v>P6</v>
      </c>
      <c r="C27" s="29" t="n">
        <f aca="false">Baseline!T27</f>
        <v>0.0241123005089407</v>
      </c>
      <c r="D27" s="69"/>
      <c r="E27" s="20" t="n">
        <f aca="false">IF(D27&lt;&gt;"",D27,Assumptions!$G$10*C27)</f>
        <v>45813.3709669873</v>
      </c>
      <c r="F27" s="20" t="n">
        <f aca="false">'History Y-1'!P27</f>
        <v>42955.64</v>
      </c>
      <c r="G27" s="23" t="n">
        <f aca="false">Baseline!H27*(1+Assumptions!$G$13)*IFERROR(MAX(0,E27)/F27,1)^Assumptions!$G$14</f>
        <v>0.495408601941906</v>
      </c>
      <c r="H27" s="55" t="n">
        <f aca="false">IFERROR(E27/G27,0)</f>
        <v>92475.9295406009</v>
      </c>
      <c r="I27" s="29" t="n">
        <f aca="false">Baseline!U27</f>
        <v>0.0235677326617879</v>
      </c>
      <c r="J27" s="69"/>
      <c r="K27" s="20" t="n">
        <f aca="false">IF(J27&lt;&gt;"",J27,Assumptions!$G$11*I27)</f>
        <v>22389.3460286985</v>
      </c>
      <c r="L27" s="20" t="n">
        <f aca="false">'History Y-1'!Q27</f>
        <v>18078.64</v>
      </c>
      <c r="M27" s="23" t="n">
        <f aca="false">Baseline!I27*(1+Assumptions!$G$13)*IFERROR(MAX(0,K27)/L27,1)^Assumptions!$G$15</f>
        <v>0.375538547937643</v>
      </c>
      <c r="N27" s="55" t="n">
        <f aca="false">IFERROR(K27/M27,0)</f>
        <v>59619.3018044482</v>
      </c>
      <c r="O27" s="29" t="n">
        <f aca="false">Baseline!V27</f>
        <v>0.0239948930558891</v>
      </c>
      <c r="P27" s="69"/>
      <c r="Q27" s="20" t="n">
        <f aca="false">IF(P27&lt;&gt;"",P27,Assumptions!$G$12*O27)</f>
        <v>4798.97861117782</v>
      </c>
      <c r="R27" s="20" t="n">
        <f aca="false">'History Y-1'!R27</f>
        <v>2318.61</v>
      </c>
      <c r="S27" s="23" t="n">
        <f aca="false">Baseline!J27*(1+Assumptions!$G$13)*IFERROR(MAX(0,Q27)/R27,1)^Assumptions!$G$16</f>
        <v>0.242065530047464</v>
      </c>
      <c r="T27" s="55" t="n">
        <f aca="false">IFERROR(Q27/S27,0)</f>
        <v>19825.1217768876</v>
      </c>
      <c r="U27" s="49" t="n">
        <f aca="false">E27+K27+Q27</f>
        <v>73001.6956068636</v>
      </c>
    </row>
    <row r="28" customFormat="false" ht="15" hidden="false" customHeight="false" outlineLevel="0" collapsed="false">
      <c r="A28" s="13" t="n">
        <v>23</v>
      </c>
      <c r="B28" s="14" t="str">
        <f aca="false">Calendar!D28</f>
        <v>P6</v>
      </c>
      <c r="C28" s="29" t="n">
        <f aca="false">Baseline!T28</f>
        <v>0.022740631010661</v>
      </c>
      <c r="D28" s="69"/>
      <c r="E28" s="20" t="n">
        <f aca="false">IF(D28&lt;&gt;"",D28,Assumptions!$G$10*C28)</f>
        <v>43207.1989202558</v>
      </c>
      <c r="F28" s="20" t="n">
        <f aca="false">'History Y-1'!P28</f>
        <v>44456.68</v>
      </c>
      <c r="G28" s="23" t="n">
        <f aca="false">Baseline!H28*(1+Assumptions!$G$13)*IFERROR(MAX(0,E28)/F28,1)^Assumptions!$G$14</f>
        <v>0.492497792864967</v>
      </c>
      <c r="H28" s="55" t="n">
        <f aca="false">IFERROR(E28/G28,0)</f>
        <v>87730.7463022528</v>
      </c>
      <c r="I28" s="29" t="n">
        <f aca="false">Baseline!U28</f>
        <v>0.022580134664871</v>
      </c>
      <c r="J28" s="69"/>
      <c r="K28" s="20" t="n">
        <f aca="false">IF(J28&lt;&gt;"",J28,Assumptions!$G$11*I28)</f>
        <v>21451.1279316274</v>
      </c>
      <c r="L28" s="20" t="n">
        <f aca="false">'History Y-1'!Q28</f>
        <v>18404.89</v>
      </c>
      <c r="M28" s="23" t="n">
        <f aca="false">Baseline!I28*(1+Assumptions!$G$13)*IFERROR(MAX(0,K28)/L28,1)^Assumptions!$G$15</f>
        <v>0.380658855637215</v>
      </c>
      <c r="N28" s="55" t="n">
        <f aca="false">IFERROR(K28/M28,0)</f>
        <v>56352.6307452343</v>
      </c>
      <c r="O28" s="29" t="n">
        <f aca="false">Baseline!V28</f>
        <v>0.0224112134896524</v>
      </c>
      <c r="P28" s="69"/>
      <c r="Q28" s="20" t="n">
        <f aca="false">IF(P28&lt;&gt;"",P28,Assumptions!$G$12*O28)</f>
        <v>4482.24269793049</v>
      </c>
      <c r="R28" s="20" t="n">
        <f aca="false">'History Y-1'!R28</f>
        <v>2454.67</v>
      </c>
      <c r="S28" s="23" t="n">
        <f aca="false">Baseline!J28*(1+Assumptions!$G$13)*IFERROR(MAX(0,Q28)/R28,1)^Assumptions!$G$16</f>
        <v>0.240428278974228</v>
      </c>
      <c r="T28" s="55" t="n">
        <f aca="false">IFERROR(Q28/S28,0)</f>
        <v>18642.7433455569</v>
      </c>
      <c r="U28" s="49" t="n">
        <f aca="false">E28+K28+Q28</f>
        <v>69140.5695498138</v>
      </c>
    </row>
    <row r="29" customFormat="false" ht="15" hidden="false" customHeight="false" outlineLevel="0" collapsed="false">
      <c r="A29" s="13" t="n">
        <v>24</v>
      </c>
      <c r="B29" s="14" t="str">
        <f aca="false">Calendar!D29</f>
        <v>P6</v>
      </c>
      <c r="C29" s="29" t="n">
        <f aca="false">Baseline!T29</f>
        <v>0.0177048347646821</v>
      </c>
      <c r="D29" s="69"/>
      <c r="E29" s="20" t="n">
        <f aca="false">IF(D29&lt;&gt;"",D29,Assumptions!$G$10*C29)</f>
        <v>33639.186052896</v>
      </c>
      <c r="F29" s="20" t="n">
        <f aca="false">'History Y-1'!P29</f>
        <v>32278.28</v>
      </c>
      <c r="G29" s="23" t="n">
        <f aca="false">Baseline!H29*(1+Assumptions!$G$13)*IFERROR(MAX(0,E29)/F29,1)^Assumptions!$G$14</f>
        <v>0.486278876345847</v>
      </c>
      <c r="H29" s="55" t="n">
        <f aca="false">IFERROR(E29/G29,0)</f>
        <v>69176.7372370323</v>
      </c>
      <c r="I29" s="29" t="n">
        <f aca="false">Baseline!U29</f>
        <v>0.0186165630464681</v>
      </c>
      <c r="J29" s="69"/>
      <c r="K29" s="20" t="n">
        <f aca="false">IF(J29&lt;&gt;"",J29,Assumptions!$G$11*I29)</f>
        <v>17685.7348941447</v>
      </c>
      <c r="L29" s="20" t="n">
        <f aca="false">'History Y-1'!Q29</f>
        <v>14536.58</v>
      </c>
      <c r="M29" s="23" t="n">
        <f aca="false">Baseline!I29*(1+Assumptions!$G$13)*IFERROR(MAX(0,K29)/L29,1)^Assumptions!$G$15</f>
        <v>0.369635013567593</v>
      </c>
      <c r="N29" s="55" t="n">
        <f aca="false">IFERROR(K29/M29,0)</f>
        <v>47846.481650772</v>
      </c>
      <c r="O29" s="29" t="n">
        <f aca="false">Baseline!V29</f>
        <v>0.0183821624643718</v>
      </c>
      <c r="P29" s="69"/>
      <c r="Q29" s="20" t="n">
        <f aca="false">IF(P29&lt;&gt;"",P29,Assumptions!$G$12*O29)</f>
        <v>3676.43249287437</v>
      </c>
      <c r="R29" s="20" t="n">
        <f aca="false">'History Y-1'!R29</f>
        <v>1920.71</v>
      </c>
      <c r="S29" s="23" t="n">
        <f aca="false">Baseline!J29*(1+Assumptions!$G$13)*IFERROR(MAX(0,Q29)/R29,1)^Assumptions!$G$16</f>
        <v>0.248762197491411</v>
      </c>
      <c r="T29" s="55" t="n">
        <f aca="false">IFERROR(Q29/S29,0)</f>
        <v>14778.9034264392</v>
      </c>
      <c r="U29" s="49" t="n">
        <f aca="false">E29+K29+Q29</f>
        <v>55001.353439915</v>
      </c>
    </row>
    <row r="30" customFormat="false" ht="15" hidden="false" customHeight="false" outlineLevel="0" collapsed="false">
      <c r="A30" s="13" t="n">
        <v>25</v>
      </c>
      <c r="B30" s="14" t="str">
        <f aca="false">Calendar!D30</f>
        <v>P6</v>
      </c>
      <c r="C30" s="29" t="n">
        <f aca="false">Baseline!T30</f>
        <v>0.0177003851948292</v>
      </c>
      <c r="D30" s="69"/>
      <c r="E30" s="20" t="n">
        <f aca="false">IF(D30&lt;&gt;"",D30,Assumptions!$G$10*C30)</f>
        <v>33630.7318701755</v>
      </c>
      <c r="F30" s="20" t="n">
        <f aca="false">'History Y-1'!P30</f>
        <v>33008.3</v>
      </c>
      <c r="G30" s="23" t="n">
        <f aca="false">Baseline!H30*(1+Assumptions!$G$13)*IFERROR(MAX(0,E30)/F30,1)^Assumptions!$G$14</f>
        <v>0.501565890459602</v>
      </c>
      <c r="H30" s="55" t="n">
        <f aca="false">IFERROR(E30/G30,0)</f>
        <v>67051.4732159288</v>
      </c>
      <c r="I30" s="29" t="n">
        <f aca="false">Baseline!U30</f>
        <v>0.0174293290513516</v>
      </c>
      <c r="J30" s="69"/>
      <c r="K30" s="20" t="n">
        <f aca="false">IF(J30&lt;&gt;"",J30,Assumptions!$G$11*I30)</f>
        <v>16557.862598784</v>
      </c>
      <c r="L30" s="20" t="n">
        <f aca="false">'History Y-1'!Q30</f>
        <v>14042.97</v>
      </c>
      <c r="M30" s="23" t="n">
        <f aca="false">Baseline!I30*(1+Assumptions!$G$13)*IFERROR(MAX(0,K30)/L30,1)^Assumptions!$G$15</f>
        <v>0.369460676985227</v>
      </c>
      <c r="N30" s="55" t="n">
        <f aca="false">IFERROR(K30/M30,0)</f>
        <v>44816.3055778899</v>
      </c>
      <c r="O30" s="29" t="n">
        <f aca="false">Baseline!V30</f>
        <v>0.0165647066329341</v>
      </c>
      <c r="P30" s="69"/>
      <c r="Q30" s="20" t="n">
        <f aca="false">IF(P30&lt;&gt;"",P30,Assumptions!$G$12*O30)</f>
        <v>3312.94132658682</v>
      </c>
      <c r="R30" s="20" t="n">
        <f aca="false">'History Y-1'!R30</f>
        <v>1696.52</v>
      </c>
      <c r="S30" s="23" t="n">
        <f aca="false">Baseline!J30*(1+Assumptions!$G$13)*IFERROR(MAX(0,Q30)/R30,1)^Assumptions!$G$16</f>
        <v>0.246530193898292</v>
      </c>
      <c r="T30" s="55" t="n">
        <f aca="false">IFERROR(Q30/S30,0)</f>
        <v>13438.2781849172</v>
      </c>
      <c r="U30" s="49" t="n">
        <f aca="false">E30+K30+Q30</f>
        <v>53501.5357955463</v>
      </c>
    </row>
    <row r="31" customFormat="false" ht="15" hidden="false" customHeight="false" outlineLevel="0" collapsed="false">
      <c r="A31" s="13" t="n">
        <v>26</v>
      </c>
      <c r="B31" s="14" t="str">
        <f aca="false">Calendar!D31</f>
        <v>P6</v>
      </c>
      <c r="C31" s="29" t="n">
        <f aca="false">Baseline!T31</f>
        <v>0.0167352477769819</v>
      </c>
      <c r="D31" s="69"/>
      <c r="E31" s="20" t="n">
        <f aca="false">IF(D31&lt;&gt;"",D31,Assumptions!$G$10*C31)</f>
        <v>31796.9707762656</v>
      </c>
      <c r="F31" s="20" t="n">
        <f aca="false">'History Y-1'!P31</f>
        <v>41913.61</v>
      </c>
      <c r="G31" s="23" t="n">
        <f aca="false">Baseline!H31*(1+Assumptions!$G$13)*IFERROR(MAX(0,E31)/F31,1)^Assumptions!$G$14</f>
        <v>0.414135516640157</v>
      </c>
      <c r="H31" s="55" t="n">
        <f aca="false">IFERROR(E31/G31,0)</f>
        <v>76779.1447452552</v>
      </c>
      <c r="I31" s="29" t="n">
        <f aca="false">Baseline!U31</f>
        <v>0.0162303498656345</v>
      </c>
      <c r="J31" s="69"/>
      <c r="K31" s="20" t="n">
        <f aca="false">IF(J31&lt;&gt;"",J31,Assumptions!$G$11*I31)</f>
        <v>15418.8323723527</v>
      </c>
      <c r="L31" s="20" t="n">
        <f aca="false">'History Y-1'!Q31</f>
        <v>17226.75</v>
      </c>
      <c r="M31" s="23" t="n">
        <f aca="false">Baseline!I31*(1+Assumptions!$G$13)*IFERROR(MAX(0,K31)/L31,1)^Assumptions!$G$15</f>
        <v>0.315399350824207</v>
      </c>
      <c r="N31" s="55" t="n">
        <f aca="false">IFERROR(K31/M31,0)</f>
        <v>48886.6966024501</v>
      </c>
      <c r="O31" s="29" t="n">
        <f aca="false">Baseline!V31</f>
        <v>0.017123953150594</v>
      </c>
      <c r="P31" s="69"/>
      <c r="Q31" s="20" t="n">
        <f aca="false">IF(P31&lt;&gt;"",P31,Assumptions!$G$12*O31)</f>
        <v>3424.7906301188</v>
      </c>
      <c r="R31" s="20" t="n">
        <f aca="false">'History Y-1'!R31</f>
        <v>2210.58</v>
      </c>
      <c r="S31" s="23" t="n">
        <f aca="false">Baseline!J31*(1+Assumptions!$G$13)*IFERROR(MAX(0,Q31)/R31,1)^Assumptions!$G$16</f>
        <v>0.224898002562992</v>
      </c>
      <c r="T31" s="55" t="n">
        <f aca="false">IFERROR(Q31/S31,0)</f>
        <v>15228.1949643352</v>
      </c>
      <c r="U31" s="49" t="n">
        <f aca="false">E31+K31+Q31</f>
        <v>50640.5937787372</v>
      </c>
    </row>
    <row r="32" customFormat="false" ht="15" hidden="false" customHeight="false" outlineLevel="0" collapsed="false">
      <c r="A32" s="13" t="n">
        <v>27</v>
      </c>
      <c r="B32" s="14" t="str">
        <f aca="false">Calendar!D32</f>
        <v>P7</v>
      </c>
      <c r="C32" s="29" t="n">
        <f aca="false">Baseline!T32</f>
        <v>0.0160376202415434</v>
      </c>
      <c r="D32" s="69"/>
      <c r="E32" s="20" t="n">
        <f aca="false">IF(D32&lt;&gt;"",D32,Assumptions!$G$10*C32)</f>
        <v>30471.4784589324</v>
      </c>
      <c r="F32" s="20" t="n">
        <f aca="false">'History Y-1'!P32</f>
        <v>31353.06</v>
      </c>
      <c r="G32" s="23" t="n">
        <f aca="false">Baseline!H32*(1+Assumptions!$G$13)*IFERROR(MAX(0,E32)/F32,1)^Assumptions!$G$14</f>
        <v>0.466283576646236</v>
      </c>
      <c r="H32" s="55" t="n">
        <f aca="false">IFERROR(E32/G32,0)</f>
        <v>65349.6712839422</v>
      </c>
      <c r="I32" s="29" t="n">
        <f aca="false">Baseline!U32</f>
        <v>0.016770597989776</v>
      </c>
      <c r="J32" s="69"/>
      <c r="K32" s="20" t="n">
        <f aca="false">IF(J32&lt;&gt;"",J32,Assumptions!$G$11*I32)</f>
        <v>15932.0680902872</v>
      </c>
      <c r="L32" s="20" t="n">
        <f aca="false">'History Y-1'!Q32</f>
        <v>13980.34</v>
      </c>
      <c r="M32" s="23" t="n">
        <f aca="false">Baseline!I32*(1+Assumptions!$G$13)*IFERROR(MAX(0,K32)/L32,1)^Assumptions!$G$15</f>
        <v>0.367927610753429</v>
      </c>
      <c r="N32" s="55" t="n">
        <f aca="false">IFERROR(K32/M32,0)</f>
        <v>43302.1812569654</v>
      </c>
      <c r="O32" s="29" t="n">
        <f aca="false">Baseline!V32</f>
        <v>0.0163661542075525</v>
      </c>
      <c r="P32" s="69"/>
      <c r="Q32" s="20" t="n">
        <f aca="false">IF(P32&lt;&gt;"",P32,Assumptions!$G$12*O32)</f>
        <v>3273.2308415105</v>
      </c>
      <c r="R32" s="20" t="n">
        <f aca="false">'History Y-1'!R32</f>
        <v>1617.62</v>
      </c>
      <c r="S32" s="23" t="n">
        <f aca="false">Baseline!J32*(1+Assumptions!$G$13)*IFERROR(MAX(0,Q32)/R32,1)^Assumptions!$G$16</f>
        <v>0.242251022640397</v>
      </c>
      <c r="T32" s="55" t="n">
        <f aca="false">IFERROR(Q32/S32,0)</f>
        <v>13511.7317806718</v>
      </c>
      <c r="U32" s="49" t="n">
        <f aca="false">E32+K32+Q32</f>
        <v>49676.7773907301</v>
      </c>
    </row>
    <row r="33" customFormat="false" ht="15" hidden="false" customHeight="false" outlineLevel="0" collapsed="false">
      <c r="A33" s="13" t="n">
        <v>28</v>
      </c>
      <c r="B33" s="14" t="str">
        <f aca="false">Calendar!D33</f>
        <v>P7</v>
      </c>
      <c r="C33" s="29" t="n">
        <f aca="false">Baseline!T33</f>
        <v>0.0175472560061362</v>
      </c>
      <c r="D33" s="69"/>
      <c r="E33" s="20" t="n">
        <f aca="false">IF(D33&lt;&gt;"",D33,Assumptions!$G$10*C33)</f>
        <v>33339.7864116588</v>
      </c>
      <c r="F33" s="20" t="n">
        <f aca="false">'History Y-1'!P33</f>
        <v>36158.59</v>
      </c>
      <c r="G33" s="23" t="n">
        <f aca="false">Baseline!H33*(1+Assumptions!$G$13)*IFERROR(MAX(0,E33)/F33,1)^Assumptions!$G$14</f>
        <v>0.477746790784427</v>
      </c>
      <c r="H33" s="55" t="n">
        <f aca="false">IFERROR(E33/G33,0)</f>
        <v>69785.4743449291</v>
      </c>
      <c r="I33" s="29" t="n">
        <f aca="false">Baseline!U33</f>
        <v>0.0171762803501068</v>
      </c>
      <c r="J33" s="69"/>
      <c r="K33" s="20" t="n">
        <f aca="false">IF(J33&lt;&gt;"",J33,Assumptions!$G$11*I33)</f>
        <v>16317.4663326015</v>
      </c>
      <c r="L33" s="20" t="n">
        <f aca="false">'History Y-1'!Q33</f>
        <v>14479.8</v>
      </c>
      <c r="M33" s="23" t="n">
        <f aca="false">Baseline!I33*(1+Assumptions!$G$13)*IFERROR(MAX(0,K33)/L33,1)^Assumptions!$G$15</f>
        <v>0.373761603995114</v>
      </c>
      <c r="N33" s="55" t="n">
        <f aca="false">IFERROR(K33/M33,0)</f>
        <v>43657.4173435289</v>
      </c>
      <c r="O33" s="29" t="n">
        <f aca="false">Baseline!V33</f>
        <v>0.0160221680453144</v>
      </c>
      <c r="P33" s="69"/>
      <c r="Q33" s="20" t="n">
        <f aca="false">IF(P33&lt;&gt;"",P33,Assumptions!$G$12*O33)</f>
        <v>3204.43360906288</v>
      </c>
      <c r="R33" s="20" t="n">
        <f aca="false">'History Y-1'!R33</f>
        <v>1604.16</v>
      </c>
      <c r="S33" s="23" t="n">
        <f aca="false">Baseline!J33*(1+Assumptions!$G$13)*IFERROR(MAX(0,Q33)/R33,1)^Assumptions!$G$16</f>
        <v>0.24474374179695</v>
      </c>
      <c r="T33" s="55" t="n">
        <f aca="false">IFERROR(Q33/S33,0)</f>
        <v>13093.0155171094</v>
      </c>
      <c r="U33" s="49" t="n">
        <f aca="false">E33+K33+Q33</f>
        <v>52861.6863533232</v>
      </c>
    </row>
    <row r="34" customFormat="false" ht="15" hidden="false" customHeight="false" outlineLevel="0" collapsed="false">
      <c r="A34" s="13" t="n">
        <v>29</v>
      </c>
      <c r="B34" s="14" t="str">
        <f aca="false">Calendar!D34</f>
        <v>P7</v>
      </c>
      <c r="C34" s="29" t="n">
        <f aca="false">Baseline!T34</f>
        <v>0.0171452019899673</v>
      </c>
      <c r="D34" s="69"/>
      <c r="E34" s="20" t="n">
        <f aca="false">IF(D34&lt;&gt;"",D34,Assumptions!$G$10*C34)</f>
        <v>32575.883780938</v>
      </c>
      <c r="F34" s="20" t="n">
        <f aca="false">'History Y-1'!P34</f>
        <v>34877.82</v>
      </c>
      <c r="G34" s="23" t="n">
        <f aca="false">Baseline!H34*(1+Assumptions!$G$13)*IFERROR(MAX(0,E34)/F34,1)^Assumptions!$G$14</f>
        <v>0.478473200013111</v>
      </c>
      <c r="H34" s="55" t="n">
        <f aca="false">IFERROR(E34/G34,0)</f>
        <v>68082.985170424</v>
      </c>
      <c r="I34" s="29" t="n">
        <f aca="false">Baseline!U34</f>
        <v>0.016251008956601</v>
      </c>
      <c r="J34" s="69"/>
      <c r="K34" s="20" t="n">
        <f aca="false">IF(J34&lt;&gt;"",J34,Assumptions!$G$11*I34)</f>
        <v>15438.4585087709</v>
      </c>
      <c r="L34" s="20" t="n">
        <f aca="false">'History Y-1'!Q34</f>
        <v>13701.44</v>
      </c>
      <c r="M34" s="23" t="n">
        <f aca="false">Baseline!I34*(1+Assumptions!$G$13)*IFERROR(MAX(0,K34)/L34,1)^Assumptions!$G$15</f>
        <v>0.364721543747467</v>
      </c>
      <c r="N34" s="55" t="n">
        <f aca="false">IFERROR(K34/M34,0)</f>
        <v>42329.4394681015</v>
      </c>
      <c r="O34" s="29" t="n">
        <f aca="false">Baseline!V34</f>
        <v>0.015846400858396</v>
      </c>
      <c r="P34" s="69"/>
      <c r="Q34" s="20" t="n">
        <f aca="false">IF(P34&lt;&gt;"",P34,Assumptions!$G$12*O34)</f>
        <v>3169.28017167921</v>
      </c>
      <c r="R34" s="20" t="n">
        <f aca="false">'History Y-1'!R34</f>
        <v>1601.74</v>
      </c>
      <c r="S34" s="23" t="n">
        <f aca="false">Baseline!J34*(1+Assumptions!$G$13)*IFERROR(MAX(0,Q34)/R34,1)^Assumptions!$G$16</f>
        <v>0.243066771732055</v>
      </c>
      <c r="T34" s="55" t="n">
        <f aca="false">IFERROR(Q34/S34,0)</f>
        <v>13038.7224427898</v>
      </c>
      <c r="U34" s="49" t="n">
        <f aca="false">E34+K34+Q34</f>
        <v>51183.6224613881</v>
      </c>
    </row>
    <row r="35" customFormat="false" ht="15" hidden="false" customHeight="false" outlineLevel="0" collapsed="false">
      <c r="A35" s="13" t="n">
        <v>30</v>
      </c>
      <c r="B35" s="14" t="str">
        <f aca="false">Calendar!D35</f>
        <v>P7</v>
      </c>
      <c r="C35" s="29" t="n">
        <f aca="false">Baseline!T35</f>
        <v>0.0158919804716002</v>
      </c>
      <c r="D35" s="69"/>
      <c r="E35" s="20" t="n">
        <f aca="false">IF(D35&lt;&gt;"",D35,Assumptions!$G$10*C35)</f>
        <v>30194.7628960404</v>
      </c>
      <c r="F35" s="20" t="n">
        <f aca="false">'History Y-1'!P35</f>
        <v>30750.38</v>
      </c>
      <c r="G35" s="23" t="n">
        <f aca="false">Baseline!H35*(1+Assumptions!$G$13)*IFERROR(MAX(0,E35)/F35,1)^Assumptions!$G$14</f>
        <v>0.476836900815655</v>
      </c>
      <c r="H35" s="55" t="n">
        <f aca="false">IFERROR(E35/G35,0)</f>
        <v>63323.0415775093</v>
      </c>
      <c r="I35" s="29" t="n">
        <f aca="false">Baseline!U35</f>
        <v>0.0166596044936919</v>
      </c>
      <c r="J35" s="69"/>
      <c r="K35" s="20" t="n">
        <f aca="false">IF(J35&lt;&gt;"",J35,Assumptions!$G$11*I35)</f>
        <v>15826.6242690073</v>
      </c>
      <c r="L35" s="20" t="n">
        <f aca="false">'History Y-1'!Q35</f>
        <v>13760.23</v>
      </c>
      <c r="M35" s="23" t="n">
        <f aca="false">Baseline!I35*(1+Assumptions!$G$13)*IFERROR(MAX(0,K35)/L35,1)^Assumptions!$G$15</f>
        <v>0.378539642626221</v>
      </c>
      <c r="N35" s="55" t="n">
        <f aca="false">IFERROR(K35/M35,0)</f>
        <v>41809.6877759113</v>
      </c>
      <c r="O35" s="29" t="n">
        <f aca="false">Baseline!V35</f>
        <v>0.0158956278699597</v>
      </c>
      <c r="P35" s="69"/>
      <c r="Q35" s="20" t="n">
        <f aca="false">IF(P35&lt;&gt;"",P35,Assumptions!$G$12*O35)</f>
        <v>3179.12557399193</v>
      </c>
      <c r="R35" s="20" t="n">
        <f aca="false">'History Y-1'!R35</f>
        <v>1588.49</v>
      </c>
      <c r="S35" s="23" t="n">
        <f aca="false">Baseline!J35*(1+Assumptions!$G$13)*IFERROR(MAX(0,Q35)/R35,1)^Assumptions!$G$16</f>
        <v>0.247771220673563</v>
      </c>
      <c r="T35" s="55" t="n">
        <f aca="false">IFERROR(Q35/S35,0)</f>
        <v>12830.8911961184</v>
      </c>
      <c r="U35" s="49" t="n">
        <f aca="false">E35+K35+Q35</f>
        <v>49200.5127390396</v>
      </c>
    </row>
    <row r="36" customFormat="false" ht="15" hidden="false" customHeight="false" outlineLevel="0" collapsed="false">
      <c r="A36" s="13" t="n">
        <v>31</v>
      </c>
      <c r="B36" s="14" t="str">
        <f aca="false">Calendar!D36</f>
        <v>P8</v>
      </c>
      <c r="C36" s="29" t="n">
        <f aca="false">Baseline!T36</f>
        <v>0.0165414857271884</v>
      </c>
      <c r="D36" s="69"/>
      <c r="E36" s="20" t="n">
        <f aca="false">IF(D36&lt;&gt;"",D36,Assumptions!$G$10*C36)</f>
        <v>31428.8228816581</v>
      </c>
      <c r="F36" s="20" t="n">
        <f aca="false">'History Y-1'!P36</f>
        <v>31948.91</v>
      </c>
      <c r="G36" s="23" t="n">
        <f aca="false">Baseline!H36*(1+Assumptions!$G$13)*IFERROR(MAX(0,E36)/F36,1)^Assumptions!$G$14</f>
        <v>0.469261477456409</v>
      </c>
      <c r="H36" s="55" t="n">
        <f aca="false">IFERROR(E36/G36,0)</f>
        <v>66975.0754995174</v>
      </c>
      <c r="I36" s="29" t="n">
        <f aca="false">Baseline!U36</f>
        <v>0.0165634713805818</v>
      </c>
      <c r="J36" s="69"/>
      <c r="K36" s="20" t="n">
        <f aca="false">IF(J36&lt;&gt;"",J36,Assumptions!$G$11*I36)</f>
        <v>15735.2978115527</v>
      </c>
      <c r="L36" s="20" t="n">
        <f aca="false">'History Y-1'!Q36</f>
        <v>14240.43</v>
      </c>
      <c r="M36" s="23" t="n">
        <f aca="false">Baseline!I36*(1+Assumptions!$G$13)*IFERROR(MAX(0,K36)/L36,1)^Assumptions!$G$15</f>
        <v>0.361410037055039</v>
      </c>
      <c r="N36" s="55" t="n">
        <f aca="false">IFERROR(K36/M36,0)</f>
        <v>43538.6298061124</v>
      </c>
      <c r="O36" s="29" t="n">
        <f aca="false">Baseline!V36</f>
        <v>0.0175001928338084</v>
      </c>
      <c r="P36" s="69"/>
      <c r="Q36" s="20" t="n">
        <f aca="false">IF(P36&lt;&gt;"",P36,Assumptions!$G$12*O36)</f>
        <v>3500.03856676167</v>
      </c>
      <c r="R36" s="20" t="n">
        <f aca="false">'History Y-1'!R36</f>
        <v>1833.82</v>
      </c>
      <c r="S36" s="23" t="n">
        <f aca="false">Baseline!J36*(1+Assumptions!$G$13)*IFERROR(MAX(0,Q36)/R36,1)^Assumptions!$G$16</f>
        <v>0.248785173074621</v>
      </c>
      <c r="T36" s="55" t="n">
        <f aca="false">IFERROR(Q36/S36,0)</f>
        <v>14068.5175225932</v>
      </c>
      <c r="U36" s="49" t="n">
        <f aca="false">E36+K36+Q36</f>
        <v>50664.1592599725</v>
      </c>
    </row>
    <row r="37" customFormat="false" ht="15" hidden="false" customHeight="false" outlineLevel="0" collapsed="false">
      <c r="A37" s="13" t="n">
        <v>32</v>
      </c>
      <c r="B37" s="14" t="str">
        <f aca="false">Calendar!D37</f>
        <v>P8</v>
      </c>
      <c r="C37" s="29" t="n">
        <f aca="false">Baseline!T37</f>
        <v>0.0167113045994267</v>
      </c>
      <c r="D37" s="69"/>
      <c r="E37" s="20" t="n">
        <f aca="false">IF(D37&lt;&gt;"",D37,Assumptions!$G$10*C37)</f>
        <v>31751.4787389108</v>
      </c>
      <c r="F37" s="20" t="n">
        <f aca="false">'History Y-1'!P37</f>
        <v>33845.24</v>
      </c>
      <c r="G37" s="23" t="n">
        <f aca="false">Baseline!H37*(1+Assumptions!$G$13)*IFERROR(MAX(0,E37)/F37,1)^Assumptions!$G$14</f>
        <v>0.459676072701095</v>
      </c>
      <c r="H37" s="55" t="n">
        <f aca="false">IFERROR(E37/G37,0)</f>
        <v>69073.5946997121</v>
      </c>
      <c r="I37" s="29" t="n">
        <f aca="false">Baseline!U37</f>
        <v>0.0169418506715788</v>
      </c>
      <c r="J37" s="69"/>
      <c r="K37" s="20" t="n">
        <f aca="false">IF(J37&lt;&gt;"",J37,Assumptions!$G$11*I37)</f>
        <v>16094.7581379998</v>
      </c>
      <c r="L37" s="20" t="n">
        <f aca="false">'History Y-1'!Q37</f>
        <v>13976.46</v>
      </c>
      <c r="M37" s="23" t="n">
        <f aca="false">Baseline!I37*(1+Assumptions!$G$13)*IFERROR(MAX(0,K37)/L37,1)^Assumptions!$G$15</f>
        <v>0.381651385285277</v>
      </c>
      <c r="N37" s="55" t="n">
        <f aca="false">IFERROR(K37/M37,0)</f>
        <v>42171.3604575792</v>
      </c>
      <c r="O37" s="29" t="n">
        <f aca="false">Baseline!V37</f>
        <v>0.0173865177158043</v>
      </c>
      <c r="P37" s="69"/>
      <c r="Q37" s="20" t="n">
        <f aca="false">IF(P37&lt;&gt;"",P37,Assumptions!$G$12*O37)</f>
        <v>3477.30354316087</v>
      </c>
      <c r="R37" s="20" t="n">
        <f aca="false">'History Y-1'!R37</f>
        <v>1750.75</v>
      </c>
      <c r="S37" s="23" t="n">
        <f aca="false">Baseline!J37*(1+Assumptions!$G$13)*IFERROR(MAX(0,Q37)/R37,1)^Assumptions!$G$16</f>
        <v>0.254431920803916</v>
      </c>
      <c r="T37" s="55" t="n">
        <f aca="false">IFERROR(Q37/S37,0)</f>
        <v>13666.9311467437</v>
      </c>
      <c r="U37" s="49" t="n">
        <f aca="false">E37+K37+Q37</f>
        <v>51323.5404200715</v>
      </c>
    </row>
    <row r="38" customFormat="false" ht="15" hidden="false" customHeight="false" outlineLevel="0" collapsed="false">
      <c r="A38" s="13" t="n">
        <v>33</v>
      </c>
      <c r="B38" s="14" t="str">
        <f aca="false">Calendar!D38</f>
        <v>P8</v>
      </c>
      <c r="C38" s="29" t="n">
        <f aca="false">Baseline!T38</f>
        <v>0.0165598966788383</v>
      </c>
      <c r="D38" s="69"/>
      <c r="E38" s="20" t="n">
        <f aca="false">IF(D38&lt;&gt;"",D38,Assumptions!$G$10*C38)</f>
        <v>31463.8036897928</v>
      </c>
      <c r="F38" s="20" t="n">
        <f aca="false">'History Y-1'!P38</f>
        <v>33503.33</v>
      </c>
      <c r="G38" s="23" t="n">
        <f aca="false">Baseline!H38*(1+Assumptions!$G$13)*IFERROR(MAX(0,E38)/F38,1)^Assumptions!$G$14</f>
        <v>0.47060045779043</v>
      </c>
      <c r="H38" s="55" t="n">
        <f aca="false">IFERROR(E38/G38,0)</f>
        <v>66858.846329054</v>
      </c>
      <c r="I38" s="29" t="n">
        <f aca="false">Baseline!U38</f>
        <v>0.0161325260838083</v>
      </c>
      <c r="J38" s="69"/>
      <c r="K38" s="20" t="n">
        <f aca="false">IF(J38&lt;&gt;"",J38,Assumptions!$G$11*I38)</f>
        <v>15325.8997796179</v>
      </c>
      <c r="L38" s="20" t="n">
        <f aca="false">'History Y-1'!Q38</f>
        <v>13009.62</v>
      </c>
      <c r="M38" s="23" t="n">
        <f aca="false">Baseline!I38*(1+Assumptions!$G$13)*IFERROR(MAX(0,K38)/L38,1)^Assumptions!$G$15</f>
        <v>0.361708106816091</v>
      </c>
      <c r="N38" s="55" t="n">
        <f aca="false">IFERROR(K38/M38,0)</f>
        <v>42370.904856192</v>
      </c>
      <c r="O38" s="29" t="n">
        <f aca="false">Baseline!V38</f>
        <v>0.0163065368434751</v>
      </c>
      <c r="P38" s="69"/>
      <c r="Q38" s="20" t="n">
        <f aca="false">IF(P38&lt;&gt;"",P38,Assumptions!$G$12*O38)</f>
        <v>3261.30736869502</v>
      </c>
      <c r="R38" s="20" t="n">
        <f aca="false">'History Y-1'!R38</f>
        <v>1651.59</v>
      </c>
      <c r="S38" s="23" t="n">
        <f aca="false">Baseline!J38*(1+Assumptions!$G$13)*IFERROR(MAX(0,Q38)/R38,1)^Assumptions!$G$16</f>
        <v>0.245494934254688</v>
      </c>
      <c r="T38" s="55" t="n">
        <f aca="false">IFERROR(Q38/S38,0)</f>
        <v>13284.6218541992</v>
      </c>
      <c r="U38" s="49" t="n">
        <f aca="false">E38+K38+Q38</f>
        <v>50051.0108381058</v>
      </c>
    </row>
    <row r="39" customFormat="false" ht="15" hidden="false" customHeight="false" outlineLevel="0" collapsed="false">
      <c r="A39" s="13" t="n">
        <v>34</v>
      </c>
      <c r="B39" s="14" t="str">
        <f aca="false">Calendar!D39</f>
        <v>P8</v>
      </c>
      <c r="C39" s="29" t="n">
        <f aca="false">Baseline!T39</f>
        <v>0.0166826496655526</v>
      </c>
      <c r="D39" s="69"/>
      <c r="E39" s="20" t="n">
        <f aca="false">IF(D39&lt;&gt;"",D39,Assumptions!$G$10*C39)</f>
        <v>31697.0343645499</v>
      </c>
      <c r="F39" s="20" t="n">
        <f aca="false">'History Y-1'!P39</f>
        <v>33040.37</v>
      </c>
      <c r="G39" s="23" t="n">
        <f aca="false">Baseline!H39*(1+Assumptions!$G$13)*IFERROR(MAX(0,E39)/F39,1)^Assumptions!$G$14</f>
        <v>0.471988261073023</v>
      </c>
      <c r="H39" s="55" t="n">
        <f aca="false">IFERROR(E39/G39,0)</f>
        <v>67156.4040437988</v>
      </c>
      <c r="I39" s="29" t="n">
        <f aca="false">Baseline!U39</f>
        <v>0.0171473911842178</v>
      </c>
      <c r="J39" s="69"/>
      <c r="K39" s="20" t="n">
        <f aca="false">IF(J39&lt;&gt;"",J39,Assumptions!$G$11*I39)</f>
        <v>16290.0216250069</v>
      </c>
      <c r="L39" s="20" t="n">
        <f aca="false">'History Y-1'!Q39</f>
        <v>13653.4</v>
      </c>
      <c r="M39" s="23" t="n">
        <f aca="false">Baseline!I39*(1+Assumptions!$G$13)*IFERROR(MAX(0,K39)/L39,1)^Assumptions!$G$15</f>
        <v>0.369685019433299</v>
      </c>
      <c r="N39" s="55" t="n">
        <f aca="false">IFERROR(K39/M39,0)</f>
        <v>44064.5976133367</v>
      </c>
      <c r="O39" s="29" t="n">
        <f aca="false">Baseline!V39</f>
        <v>0.0168631088307071</v>
      </c>
      <c r="P39" s="69"/>
      <c r="Q39" s="20" t="n">
        <f aca="false">IF(P39&lt;&gt;"",P39,Assumptions!$G$12*O39)</f>
        <v>3372.62176614141</v>
      </c>
      <c r="R39" s="20" t="n">
        <f aca="false">'History Y-1'!R39</f>
        <v>1655.8</v>
      </c>
      <c r="S39" s="23" t="n">
        <f aca="false">Baseline!J39*(1+Assumptions!$G$13)*IFERROR(MAX(0,Q39)/R39,1)^Assumptions!$G$16</f>
        <v>0.253852258268504</v>
      </c>
      <c r="T39" s="55" t="n">
        <f aca="false">IFERROR(Q39/S39,0)</f>
        <v>13285.7662529601</v>
      </c>
      <c r="U39" s="49" t="n">
        <f aca="false">E39+K39+Q39</f>
        <v>51359.6777556983</v>
      </c>
    </row>
    <row r="40" customFormat="false" ht="15" hidden="false" customHeight="false" outlineLevel="0" collapsed="false">
      <c r="A40" s="13" t="n">
        <v>35</v>
      </c>
      <c r="B40" s="14" t="str">
        <f aca="false">Calendar!D40</f>
        <v>P9</v>
      </c>
      <c r="C40" s="29" t="n">
        <f aca="false">Baseline!T40</f>
        <v>0.0160177460042026</v>
      </c>
      <c r="D40" s="69"/>
      <c r="E40" s="20" t="n">
        <f aca="false">IF(D40&lt;&gt;"",D40,Assumptions!$G$10*C40)</f>
        <v>30433.7174079849</v>
      </c>
      <c r="F40" s="20" t="n">
        <f aca="false">'History Y-1'!P40</f>
        <v>31552.13</v>
      </c>
      <c r="G40" s="23" t="n">
        <f aca="false">Baseline!H40*(1+Assumptions!$G$13)*IFERROR(MAX(0,E40)/F40,1)^Assumptions!$G$14</f>
        <v>0.467145306334696</v>
      </c>
      <c r="H40" s="55" t="n">
        <f aca="false">IFERROR(E40/G40,0)</f>
        <v>65148.2889698137</v>
      </c>
      <c r="I40" s="29" t="n">
        <f aca="false">Baseline!U40</f>
        <v>0.0163152825293363</v>
      </c>
      <c r="J40" s="69"/>
      <c r="K40" s="20" t="n">
        <f aca="false">IF(J40&lt;&gt;"",J40,Assumptions!$G$11*I40)</f>
        <v>15499.5184028695</v>
      </c>
      <c r="L40" s="20" t="n">
        <f aca="false">'History Y-1'!Q40</f>
        <v>13628.48</v>
      </c>
      <c r="M40" s="23" t="n">
        <f aca="false">Baseline!I40*(1+Assumptions!$G$13)*IFERROR(MAX(0,K40)/L40,1)^Assumptions!$G$15</f>
        <v>0.373828691632329</v>
      </c>
      <c r="N40" s="55" t="n">
        <f aca="false">IFERROR(K40/M40,0)</f>
        <v>41461.5537806651</v>
      </c>
      <c r="O40" s="29" t="n">
        <f aca="false">Baseline!V40</f>
        <v>0.0164098268356293</v>
      </c>
      <c r="P40" s="69"/>
      <c r="Q40" s="20" t="n">
        <f aca="false">IF(P40&lt;&gt;"",P40,Assumptions!$G$12*O40)</f>
        <v>3281.96536712586</v>
      </c>
      <c r="R40" s="20" t="n">
        <f aca="false">'History Y-1'!R40</f>
        <v>1584.64</v>
      </c>
      <c r="S40" s="23" t="n">
        <f aca="false">Baseline!J40*(1+Assumptions!$G$13)*IFERROR(MAX(0,Q40)/R40,1)^Assumptions!$G$16</f>
        <v>0.253783038025929</v>
      </c>
      <c r="T40" s="55" t="n">
        <f aca="false">IFERROR(Q40/S40,0)</f>
        <v>12932.169906448</v>
      </c>
      <c r="U40" s="49" t="n">
        <f aca="false">E40+K40+Q40</f>
        <v>49215.2011779803</v>
      </c>
    </row>
    <row r="41" customFormat="false" ht="15" hidden="false" customHeight="false" outlineLevel="0" collapsed="false">
      <c r="A41" s="13" t="n">
        <v>36</v>
      </c>
      <c r="B41" s="14" t="str">
        <f aca="false">Calendar!D41</f>
        <v>P9</v>
      </c>
      <c r="C41" s="29" t="n">
        <f aca="false">Baseline!T41</f>
        <v>0.0198229576226393</v>
      </c>
      <c r="D41" s="69"/>
      <c r="E41" s="20" t="n">
        <f aca="false">IF(D41&lt;&gt;"",D41,Assumptions!$G$10*C41)</f>
        <v>37663.6194830147</v>
      </c>
      <c r="F41" s="20" t="n">
        <f aca="false">'History Y-1'!P41</f>
        <v>37885.74</v>
      </c>
      <c r="G41" s="23" t="n">
        <f aca="false">Baseline!H41*(1+Assumptions!$G$13)*IFERROR(MAX(0,E41)/F41,1)^Assumptions!$G$14</f>
        <v>0.479115695479992</v>
      </c>
      <c r="H41" s="55" t="n">
        <f aca="false">IFERROR(E41/G41,0)</f>
        <v>78610.6984979531</v>
      </c>
      <c r="I41" s="29" t="n">
        <f aca="false">Baseline!U41</f>
        <v>0.0201921967966294</v>
      </c>
      <c r="J41" s="69"/>
      <c r="K41" s="20" t="n">
        <f aca="false">IF(J41&lt;&gt;"",J41,Assumptions!$G$11*I41)</f>
        <v>19182.5869567979</v>
      </c>
      <c r="L41" s="20" t="n">
        <f aca="false">'History Y-1'!Q41</f>
        <v>15980.36</v>
      </c>
      <c r="M41" s="23" t="n">
        <f aca="false">Baseline!I41*(1+Assumptions!$G$13)*IFERROR(MAX(0,K41)/L41,1)^Assumptions!$G$15</f>
        <v>0.366232898184864</v>
      </c>
      <c r="N41" s="55" t="n">
        <f aca="false">IFERROR(K41/M41,0)</f>
        <v>52378.1098090075</v>
      </c>
      <c r="O41" s="29" t="n">
        <f aca="false">Baseline!V41</f>
        <v>0.0209686297442508</v>
      </c>
      <c r="P41" s="69"/>
      <c r="Q41" s="20" t="n">
        <f aca="false">IF(P41&lt;&gt;"",P41,Assumptions!$G$12*O41)</f>
        <v>4193.72594885017</v>
      </c>
      <c r="R41" s="20" t="n">
        <f aca="false">'History Y-1'!R41</f>
        <v>2063.56</v>
      </c>
      <c r="S41" s="23" t="n">
        <f aca="false">Baseline!J41*(1+Assumptions!$G$13)*IFERROR(MAX(0,Q41)/R41,1)^Assumptions!$G$16</f>
        <v>0.253919323624297</v>
      </c>
      <c r="T41" s="55" t="n">
        <f aca="false">IFERROR(Q41/S41,0)</f>
        <v>16515.977945244</v>
      </c>
      <c r="U41" s="49" t="n">
        <f aca="false">E41+K41+Q41</f>
        <v>61039.9323886628</v>
      </c>
    </row>
    <row r="42" customFormat="false" ht="15" hidden="false" customHeight="false" outlineLevel="0" collapsed="false">
      <c r="A42" s="13" t="n">
        <v>37</v>
      </c>
      <c r="B42" s="14" t="str">
        <f aca="false">Calendar!D42</f>
        <v>P9</v>
      </c>
      <c r="C42" s="29" t="n">
        <f aca="false">Baseline!T42</f>
        <v>0.0170837852517994</v>
      </c>
      <c r="D42" s="69"/>
      <c r="E42" s="20" t="n">
        <f aca="false">IF(D42&lt;&gt;"",D42,Assumptions!$G$10*C42)</f>
        <v>32459.1919784188</v>
      </c>
      <c r="F42" s="20" t="n">
        <f aca="false">'History Y-1'!P42</f>
        <v>33132.71</v>
      </c>
      <c r="G42" s="23" t="n">
        <f aca="false">Baseline!H42*(1+Assumptions!$G$13)*IFERROR(MAX(0,E42)/F42,1)^Assumptions!$G$14</f>
        <v>0.470074158568642</v>
      </c>
      <c r="H42" s="55" t="n">
        <f aca="false">IFERROR(E42/G42,0)</f>
        <v>69051.2154023864</v>
      </c>
      <c r="I42" s="29" t="n">
        <f aca="false">Baseline!U42</f>
        <v>0.0184497886303796</v>
      </c>
      <c r="J42" s="69"/>
      <c r="K42" s="20" t="n">
        <f aca="false">IF(J42&lt;&gt;"",J42,Assumptions!$G$11*I42)</f>
        <v>17527.2991988606</v>
      </c>
      <c r="L42" s="20" t="n">
        <f aca="false">'History Y-1'!Q42</f>
        <v>15757.14</v>
      </c>
      <c r="M42" s="23" t="n">
        <f aca="false">Baseline!I42*(1+Assumptions!$G$13)*IFERROR(MAX(0,K42)/L42,1)^Assumptions!$G$15</f>
        <v>0.367014804641305</v>
      </c>
      <c r="N42" s="55" t="n">
        <f aca="false">IFERROR(K42/M42,0)</f>
        <v>47756.3819693611</v>
      </c>
      <c r="O42" s="29" t="n">
        <f aca="false">Baseline!V42</f>
        <v>0.0175587680607494</v>
      </c>
      <c r="P42" s="69"/>
      <c r="Q42" s="20" t="n">
        <f aca="false">IF(P42&lt;&gt;"",P42,Assumptions!$G$12*O42)</f>
        <v>3511.75361214989</v>
      </c>
      <c r="R42" s="20" t="n">
        <f aca="false">'History Y-1'!R42</f>
        <v>1718.92</v>
      </c>
      <c r="S42" s="23" t="n">
        <f aca="false">Baseline!J42*(1+Assumptions!$G$13)*IFERROR(MAX(0,Q42)/R42,1)^Assumptions!$G$16</f>
        <v>0.240469584629131</v>
      </c>
      <c r="T42" s="55" t="n">
        <f aca="false">IFERROR(Q42/S42,0)</f>
        <v>14603.7330149922</v>
      </c>
      <c r="U42" s="49" t="n">
        <f aca="false">E42+K42+Q42</f>
        <v>53498.2447894293</v>
      </c>
    </row>
    <row r="43" customFormat="false" ht="15" hidden="false" customHeight="false" outlineLevel="0" collapsed="false">
      <c r="A43" s="13" t="n">
        <v>38</v>
      </c>
      <c r="B43" s="14" t="str">
        <f aca="false">Calendar!D43</f>
        <v>P9</v>
      </c>
      <c r="C43" s="29" t="n">
        <f aca="false">Baseline!T43</f>
        <v>0.0191845411976051</v>
      </c>
      <c r="D43" s="69"/>
      <c r="E43" s="20" t="n">
        <f aca="false">IF(D43&lt;&gt;"",D43,Assumptions!$G$10*C43)</f>
        <v>36450.6282754497</v>
      </c>
      <c r="F43" s="20" t="n">
        <f aca="false">'History Y-1'!P43</f>
        <v>39427.43</v>
      </c>
      <c r="G43" s="23" t="n">
        <f aca="false">Baseline!H43*(1+Assumptions!$G$13)*IFERROR(MAX(0,E43)/F43,1)^Assumptions!$G$14</f>
        <v>0.451672639452441</v>
      </c>
      <c r="H43" s="55" t="n">
        <f aca="false">IFERROR(E43/G43,0)</f>
        <v>80701.4308407932</v>
      </c>
      <c r="I43" s="29" t="n">
        <f aca="false">Baseline!U43</f>
        <v>0.0197526803368575</v>
      </c>
      <c r="J43" s="69"/>
      <c r="K43" s="20" t="n">
        <f aca="false">IF(J43&lt;&gt;"",J43,Assumptions!$G$11*I43)</f>
        <v>18765.0463200146</v>
      </c>
      <c r="L43" s="20" t="n">
        <f aca="false">'History Y-1'!Q43</f>
        <v>17129.66</v>
      </c>
      <c r="M43" s="23" t="n">
        <f aca="false">Baseline!I43*(1+Assumptions!$G$13)*IFERROR(MAX(0,K43)/L43,1)^Assumptions!$G$15</f>
        <v>0.360512703225755</v>
      </c>
      <c r="N43" s="55" t="n">
        <f aca="false">IFERROR(K43/M43,0)</f>
        <v>52050.9989027039</v>
      </c>
      <c r="O43" s="29" t="n">
        <f aca="false">Baseline!V43</f>
        <v>0.0187460010991113</v>
      </c>
      <c r="P43" s="69"/>
      <c r="Q43" s="20" t="n">
        <f aca="false">IF(P43&lt;&gt;"",P43,Assumptions!$G$12*O43)</f>
        <v>3749.20021982225</v>
      </c>
      <c r="R43" s="20" t="n">
        <f aca="false">'History Y-1'!R43</f>
        <v>1923.51</v>
      </c>
      <c r="S43" s="23" t="n">
        <f aca="false">Baseline!J43*(1+Assumptions!$G$13)*IFERROR(MAX(0,Q43)/R43,1)^Assumptions!$G$16</f>
        <v>0.242210427087142</v>
      </c>
      <c r="T43" s="55" t="n">
        <f aca="false">IFERROR(Q43/S43,0)</f>
        <v>15479.1032942333</v>
      </c>
      <c r="U43" s="49" t="n">
        <f aca="false">E43+K43+Q43</f>
        <v>58964.8748152866</v>
      </c>
    </row>
    <row r="44" customFormat="false" ht="15" hidden="false" customHeight="false" outlineLevel="0" collapsed="false">
      <c r="A44" s="13" t="n">
        <v>39</v>
      </c>
      <c r="B44" s="14" t="str">
        <f aca="false">Calendar!D44</f>
        <v>P9</v>
      </c>
      <c r="C44" s="29" t="n">
        <f aca="false">Baseline!T44</f>
        <v>0.0192500708383183</v>
      </c>
      <c r="D44" s="69"/>
      <c r="E44" s="20" t="n">
        <f aca="false">IF(D44&lt;&gt;"",D44,Assumptions!$G$10*C44)</f>
        <v>36575.1345928048</v>
      </c>
      <c r="F44" s="20" t="n">
        <f aca="false">'History Y-1'!P44</f>
        <v>37271.68</v>
      </c>
      <c r="G44" s="23" t="n">
        <f aca="false">Baseline!H44*(1+Assumptions!$G$13)*IFERROR(MAX(0,E44)/F44,1)^Assumptions!$G$14</f>
        <v>0.481501827215161</v>
      </c>
      <c r="H44" s="55" t="n">
        <f aca="false">IFERROR(E44/G44,0)</f>
        <v>75960.5312493676</v>
      </c>
      <c r="I44" s="29" t="n">
        <f aca="false">Baseline!U44</f>
        <v>0.0195125874590423</v>
      </c>
      <c r="J44" s="69"/>
      <c r="K44" s="20" t="n">
        <f aca="false">IF(J44&lt;&gt;"",J44,Assumptions!$G$11*I44)</f>
        <v>18536.9580860902</v>
      </c>
      <c r="L44" s="20" t="n">
        <f aca="false">'History Y-1'!Q44</f>
        <v>16329.16</v>
      </c>
      <c r="M44" s="23" t="n">
        <f aca="false">Baseline!I44*(1+Assumptions!$G$13)*IFERROR(MAX(0,K44)/L44,1)^Assumptions!$G$15</f>
        <v>0.36147333595858</v>
      </c>
      <c r="N44" s="55" t="n">
        <f aca="false">IFERROR(K44/M44,0)</f>
        <v>51281.6748624975</v>
      </c>
      <c r="O44" s="29" t="n">
        <f aca="false">Baseline!V44</f>
        <v>0.0191937176721405</v>
      </c>
      <c r="P44" s="69"/>
      <c r="Q44" s="20" t="n">
        <f aca="false">IF(P44&lt;&gt;"",P44,Assumptions!$G$12*O44)</f>
        <v>3838.7435344281</v>
      </c>
      <c r="R44" s="20" t="n">
        <f aca="false">'History Y-1'!R44</f>
        <v>1925.89</v>
      </c>
      <c r="S44" s="23" t="n">
        <f aca="false">Baseline!J44*(1+Assumptions!$G$13)*IFERROR(MAX(0,Q44)/R44,1)^Assumptions!$G$16</f>
        <v>0.244939391149232</v>
      </c>
      <c r="T44" s="55" t="n">
        <f aca="false">IFERROR(Q44/S44,0)</f>
        <v>15672.2179981631</v>
      </c>
      <c r="U44" s="49" t="n">
        <f aca="false">E44+K44+Q44</f>
        <v>58950.8362133231</v>
      </c>
    </row>
    <row r="45" customFormat="false" ht="15" hidden="false" customHeight="false" outlineLevel="0" collapsed="false">
      <c r="A45" s="13" t="n">
        <v>40</v>
      </c>
      <c r="B45" s="14" t="str">
        <f aca="false">Calendar!D45</f>
        <v>P10</v>
      </c>
      <c r="C45" s="29" t="n">
        <f aca="false">Baseline!T45</f>
        <v>0.018719312693694</v>
      </c>
      <c r="D45" s="69"/>
      <c r="E45" s="20" t="n">
        <f aca="false">IF(D45&lt;&gt;"",D45,Assumptions!$G$10*C45)</f>
        <v>35566.6941180186</v>
      </c>
      <c r="F45" s="20" t="n">
        <f aca="false">'History Y-1'!P45</f>
        <v>38185.64</v>
      </c>
      <c r="G45" s="23" t="n">
        <f aca="false">Baseline!H45*(1+Assumptions!$G$13)*IFERROR(MAX(0,E45)/F45,1)^Assumptions!$G$14</f>
        <v>0.470638112435296</v>
      </c>
      <c r="H45" s="55" t="n">
        <f aca="false">IFERROR(E45/G45,0)</f>
        <v>75571.2152889199</v>
      </c>
      <c r="I45" s="29" t="n">
        <f aca="false">Baseline!U45</f>
        <v>0.0177734769480566</v>
      </c>
      <c r="J45" s="69"/>
      <c r="K45" s="20" t="n">
        <f aca="false">IF(J45&lt;&gt;"",J45,Assumptions!$G$11*I45)</f>
        <v>16884.8031006538</v>
      </c>
      <c r="L45" s="20" t="n">
        <f aca="false">'History Y-1'!Q45</f>
        <v>14601.92</v>
      </c>
      <c r="M45" s="23" t="n">
        <f aca="false">Baseline!I45*(1+Assumptions!$G$13)*IFERROR(MAX(0,K45)/L45,1)^Assumptions!$G$15</f>
        <v>0.360954459149379</v>
      </c>
      <c r="N45" s="55" t="n">
        <f aca="false">IFERROR(K45/M45,0)</f>
        <v>46778.2089198851</v>
      </c>
      <c r="O45" s="29" t="n">
        <f aca="false">Baseline!V45</f>
        <v>0.0188470387375653</v>
      </c>
      <c r="P45" s="69"/>
      <c r="Q45" s="20" t="n">
        <f aca="false">IF(P45&lt;&gt;"",P45,Assumptions!$G$12*O45)</f>
        <v>3769.40774751306</v>
      </c>
      <c r="R45" s="20" t="n">
        <f aca="false">'History Y-1'!R45</f>
        <v>2014.29</v>
      </c>
      <c r="S45" s="23" t="n">
        <f aca="false">Baseline!J45*(1+Assumptions!$G$13)*IFERROR(MAX(0,Q45)/R45,1)^Assumptions!$G$16</f>
        <v>0.247083137431577</v>
      </c>
      <c r="T45" s="55" t="n">
        <f aca="false">IFERROR(Q45/S45,0)</f>
        <v>15255.6252389214</v>
      </c>
      <c r="U45" s="49" t="n">
        <f aca="false">E45+K45+Q45</f>
        <v>56220.9049661854</v>
      </c>
    </row>
    <row r="46" customFormat="false" ht="15" hidden="false" customHeight="false" outlineLevel="0" collapsed="false">
      <c r="A46" s="13" t="n">
        <v>41</v>
      </c>
      <c r="B46" s="14" t="str">
        <f aca="false">Calendar!D46</f>
        <v>P10</v>
      </c>
      <c r="C46" s="29" t="n">
        <f aca="false">Baseline!T46</f>
        <v>0.0188173910608789</v>
      </c>
      <c r="D46" s="69"/>
      <c r="E46" s="20" t="n">
        <f aca="false">IF(D46&lt;&gt;"",D46,Assumptions!$G$10*C46)</f>
        <v>35753.04301567</v>
      </c>
      <c r="F46" s="20" t="n">
        <f aca="false">'History Y-1'!P46</f>
        <v>34939.46</v>
      </c>
      <c r="G46" s="23" t="n">
        <f aca="false">Baseline!H46*(1+Assumptions!$G$13)*IFERROR(MAX(0,E46)/F46,1)^Assumptions!$G$14</f>
        <v>0.483046321555495</v>
      </c>
      <c r="H46" s="55" t="n">
        <f aca="false">IFERROR(E46/G46,0)</f>
        <v>74015.7649902785</v>
      </c>
      <c r="I46" s="29" t="n">
        <f aca="false">Baseline!U46</f>
        <v>0.0193496393812308</v>
      </c>
      <c r="J46" s="69"/>
      <c r="K46" s="20" t="n">
        <f aca="false">IF(J46&lt;&gt;"",J46,Assumptions!$G$11*I46)</f>
        <v>18382.1574121692</v>
      </c>
      <c r="L46" s="20" t="n">
        <f aca="false">'History Y-1'!Q46</f>
        <v>15929.36</v>
      </c>
      <c r="M46" s="23" t="n">
        <f aca="false">Baseline!I46*(1+Assumptions!$G$13)*IFERROR(MAX(0,K46)/L46,1)^Assumptions!$G$15</f>
        <v>0.372190034128793</v>
      </c>
      <c r="N46" s="55" t="n">
        <f aca="false">IFERROR(K46/M46,0)</f>
        <v>49389.1714623617</v>
      </c>
      <c r="O46" s="29" t="n">
        <f aca="false">Baseline!V46</f>
        <v>0.0185230213496019</v>
      </c>
      <c r="P46" s="69"/>
      <c r="Q46" s="20" t="n">
        <f aca="false">IF(P46&lt;&gt;"",P46,Assumptions!$G$12*O46)</f>
        <v>3704.60426992037</v>
      </c>
      <c r="R46" s="20" t="n">
        <f aca="false">'History Y-1'!R46</f>
        <v>1737.05</v>
      </c>
      <c r="S46" s="23" t="n">
        <f aca="false">Baseline!J46*(1+Assumptions!$G$13)*IFERROR(MAX(0,Q46)/R46,1)^Assumptions!$G$16</f>
        <v>0.242576657223616</v>
      </c>
      <c r="T46" s="55" t="n">
        <f aca="false">IFERROR(Q46/S46,0)</f>
        <v>15271.8910068306</v>
      </c>
      <c r="U46" s="49" t="n">
        <f aca="false">E46+K46+Q46</f>
        <v>57839.8046977596</v>
      </c>
    </row>
    <row r="47" customFormat="false" ht="15" hidden="false" customHeight="false" outlineLevel="0" collapsed="false">
      <c r="A47" s="13" t="n">
        <v>42</v>
      </c>
      <c r="B47" s="14" t="str">
        <f aca="false">Calendar!D47</f>
        <v>P10</v>
      </c>
      <c r="C47" s="29" t="n">
        <f aca="false">Baseline!T47</f>
        <v>0.0182689671801008</v>
      </c>
      <c r="D47" s="69"/>
      <c r="E47" s="20" t="n">
        <f aca="false">IF(D47&lt;&gt;"",D47,Assumptions!$G$10*C47)</f>
        <v>34711.0376421915</v>
      </c>
      <c r="F47" s="20" t="n">
        <f aca="false">'History Y-1'!P47</f>
        <v>33609.47</v>
      </c>
      <c r="G47" s="23" t="n">
        <f aca="false">Baseline!H47*(1+Assumptions!$G$13)*IFERROR(MAX(0,E47)/F47,1)^Assumptions!$G$14</f>
        <v>0.476483907457993</v>
      </c>
      <c r="H47" s="55" t="n">
        <f aca="false">IFERROR(E47/G47,0)</f>
        <v>72848.2895201484</v>
      </c>
      <c r="I47" s="29" t="n">
        <f aca="false">Baseline!U47</f>
        <v>0.0195629333330467</v>
      </c>
      <c r="J47" s="69"/>
      <c r="K47" s="20" t="n">
        <f aca="false">IF(J47&lt;&gt;"",J47,Assumptions!$G$11*I47)</f>
        <v>18584.7866663944</v>
      </c>
      <c r="L47" s="20" t="n">
        <f aca="false">'History Y-1'!Q47</f>
        <v>16377.84</v>
      </c>
      <c r="M47" s="23" t="n">
        <f aca="false">Baseline!I47*(1+Assumptions!$G$13)*IFERROR(MAX(0,K47)/L47,1)^Assumptions!$G$15</f>
        <v>0.371030572130008</v>
      </c>
      <c r="N47" s="55" t="n">
        <f aca="false">IFERROR(K47/M47,0)</f>
        <v>50089.6369797859</v>
      </c>
      <c r="O47" s="29" t="n">
        <f aca="false">Baseline!V47</f>
        <v>0.019389394334036</v>
      </c>
      <c r="P47" s="69"/>
      <c r="Q47" s="20" t="n">
        <f aca="false">IF(P47&lt;&gt;"",P47,Assumptions!$G$12*O47)</f>
        <v>3877.87886680719</v>
      </c>
      <c r="R47" s="20" t="n">
        <f aca="false">'History Y-1'!R47</f>
        <v>1977.48</v>
      </c>
      <c r="S47" s="23" t="n">
        <f aca="false">Baseline!J47*(1+Assumptions!$G$13)*IFERROR(MAX(0,Q47)/R47,1)^Assumptions!$G$16</f>
        <v>0.244291843967346</v>
      </c>
      <c r="T47" s="55" t="n">
        <f aca="false">IFERROR(Q47/S47,0)</f>
        <v>15873.9596207131</v>
      </c>
      <c r="U47" s="49" t="n">
        <f aca="false">E47+K47+Q47</f>
        <v>57173.7031753931</v>
      </c>
    </row>
    <row r="48" customFormat="false" ht="15" hidden="false" customHeight="false" outlineLevel="0" collapsed="false">
      <c r="A48" s="13" t="n">
        <v>43</v>
      </c>
      <c r="B48" s="14" t="str">
        <f aca="false">Calendar!D48</f>
        <v>P10</v>
      </c>
      <c r="C48" s="29" t="n">
        <f aca="false">Baseline!T48</f>
        <v>0.0370352928101324</v>
      </c>
      <c r="D48" s="69"/>
      <c r="E48" s="20" t="n">
        <f aca="false">IF(D48&lt;&gt;"",D48,Assumptions!$G$10*C48)</f>
        <v>70367.0563392516</v>
      </c>
      <c r="F48" s="20" t="n">
        <f aca="false">'History Y-1'!P48</f>
        <v>76256.36</v>
      </c>
      <c r="G48" s="23" t="n">
        <f aca="false">Baseline!H48*(1+Assumptions!$G$13)*IFERROR(MAX(0,E48)/F48,1)^Assumptions!$G$14</f>
        <v>0.458616694843001</v>
      </c>
      <c r="H48" s="55" t="n">
        <f aca="false">IFERROR(E48/G48,0)</f>
        <v>153433.263835588</v>
      </c>
      <c r="I48" s="29" t="n">
        <f aca="false">Baseline!U48</f>
        <v>0.0374646529103777</v>
      </c>
      <c r="J48" s="69"/>
      <c r="K48" s="20" t="n">
        <f aca="false">IF(J48&lt;&gt;"",J48,Assumptions!$G$11*I48)</f>
        <v>35591.4202648589</v>
      </c>
      <c r="L48" s="20" t="n">
        <f aca="false">'History Y-1'!Q48</f>
        <v>31155.22</v>
      </c>
      <c r="M48" s="23" t="n">
        <f aca="false">Baseline!I48*(1+Assumptions!$G$13)*IFERROR(MAX(0,K48)/L48,1)^Assumptions!$G$15</f>
        <v>0.371501647419841</v>
      </c>
      <c r="N48" s="55" t="n">
        <f aca="false">IFERROR(K48/M48,0)</f>
        <v>95804.2057472665</v>
      </c>
      <c r="O48" s="29" t="n">
        <f aca="false">Baseline!V48</f>
        <v>0.0351478047730289</v>
      </c>
      <c r="P48" s="69"/>
      <c r="Q48" s="20" t="n">
        <f aca="false">IF(P48&lt;&gt;"",P48,Assumptions!$G$12*O48)</f>
        <v>7029.56095460577</v>
      </c>
      <c r="R48" s="20" t="n">
        <f aca="false">'History Y-1'!R48</f>
        <v>3593.97</v>
      </c>
      <c r="S48" s="23" t="n">
        <f aca="false">Baseline!J48*(1+Assumptions!$G$13)*IFERROR(MAX(0,Q48)/R48,1)^Assumptions!$G$16</f>
        <v>0.239249787125757</v>
      </c>
      <c r="T48" s="55" t="n">
        <f aca="false">IFERROR(Q48/S48,0)</f>
        <v>29381.6811252201</v>
      </c>
      <c r="U48" s="49" t="n">
        <f aca="false">E48+K48+Q48</f>
        <v>112988.037558716</v>
      </c>
    </row>
    <row r="49" customFormat="false" ht="15" hidden="false" customHeight="false" outlineLevel="0" collapsed="false">
      <c r="A49" s="13" t="n">
        <v>44</v>
      </c>
      <c r="B49" s="14" t="str">
        <f aca="false">Calendar!D49</f>
        <v>P11</v>
      </c>
      <c r="C49" s="29" t="n">
        <f aca="false">Baseline!T49</f>
        <v>0.0294728315079737</v>
      </c>
      <c r="D49" s="69"/>
      <c r="E49" s="20" t="n">
        <f aca="false">IF(D49&lt;&gt;"",D49,Assumptions!$G$10*C49)</f>
        <v>55998.3798651501</v>
      </c>
      <c r="F49" s="20" t="n">
        <f aca="false">'History Y-1'!P49</f>
        <v>58261.13</v>
      </c>
      <c r="G49" s="23" t="n">
        <f aca="false">Baseline!H49*(1+Assumptions!$G$13)*IFERROR(MAX(0,E49)/F49,1)^Assumptions!$G$14</f>
        <v>0.471309411995588</v>
      </c>
      <c r="H49" s="55" t="n">
        <f aca="false">IFERROR(E49/G49,0)</f>
        <v>118814.473973786</v>
      </c>
      <c r="I49" s="29" t="n">
        <f aca="false">Baseline!U49</f>
        <v>0.0289637535253471</v>
      </c>
      <c r="J49" s="69"/>
      <c r="K49" s="20" t="n">
        <f aca="false">IF(J49&lt;&gt;"",J49,Assumptions!$G$11*I49)</f>
        <v>27515.5658490798</v>
      </c>
      <c r="L49" s="20" t="n">
        <f aca="false">'History Y-1'!Q49</f>
        <v>23675.46</v>
      </c>
      <c r="M49" s="23" t="n">
        <f aca="false">Baseline!I49*(1+Assumptions!$G$13)*IFERROR(MAX(0,K49)/L49,1)^Assumptions!$G$15</f>
        <v>0.367338960261152</v>
      </c>
      <c r="N49" s="55" t="n">
        <f aca="false">IFERROR(K49/M49,0)</f>
        <v>74905.1116971589</v>
      </c>
      <c r="O49" s="29" t="n">
        <f aca="false">Baseline!V49</f>
        <v>0.0280011260877319</v>
      </c>
      <c r="P49" s="69"/>
      <c r="Q49" s="20" t="n">
        <f aca="false">IF(P49&lt;&gt;"",P49,Assumptions!$G$12*O49)</f>
        <v>5600.22521754638</v>
      </c>
      <c r="R49" s="20" t="n">
        <f aca="false">'History Y-1'!R49</f>
        <v>2914.76</v>
      </c>
      <c r="S49" s="23" t="n">
        <f aca="false">Baseline!J49*(1+Assumptions!$G$13)*IFERROR(MAX(0,Q49)/R49,1)^Assumptions!$G$16</f>
        <v>0.236015338651734</v>
      </c>
      <c r="T49" s="55" t="n">
        <f aca="false">IFERROR(Q49/S49,0)</f>
        <v>23728.2256718497</v>
      </c>
      <c r="U49" s="49" t="n">
        <f aca="false">E49+K49+Q49</f>
        <v>89114.1709317762</v>
      </c>
    </row>
    <row r="50" customFormat="false" ht="15" hidden="false" customHeight="false" outlineLevel="0" collapsed="false">
      <c r="A50" s="13" t="n">
        <v>45</v>
      </c>
      <c r="B50" s="14" t="str">
        <f aca="false">Calendar!D50</f>
        <v>P11</v>
      </c>
      <c r="C50" s="29" t="n">
        <f aca="false">Baseline!T50</f>
        <v>0.0263901731189404</v>
      </c>
      <c r="D50" s="69"/>
      <c r="E50" s="20" t="n">
        <f aca="false">IF(D50&lt;&gt;"",D50,Assumptions!$G$10*C50)</f>
        <v>50141.3289259867</v>
      </c>
      <c r="F50" s="20" t="n">
        <f aca="false">'History Y-1'!P50</f>
        <v>51163.9</v>
      </c>
      <c r="G50" s="23" t="n">
        <f aca="false">Baseline!H50*(1+Assumptions!$G$13)*IFERROR(MAX(0,E50)/F50,1)^Assumptions!$G$14</f>
        <v>0.48113111439333</v>
      </c>
      <c r="H50" s="55" t="n">
        <f aca="false">IFERROR(E50/G50,0)</f>
        <v>104215.519275263</v>
      </c>
      <c r="I50" s="29" t="n">
        <f aca="false">Baseline!U50</f>
        <v>0.0262307284185672</v>
      </c>
      <c r="J50" s="69"/>
      <c r="K50" s="20" t="n">
        <f aca="false">IF(J50&lt;&gt;"",J50,Assumptions!$G$11*I50)</f>
        <v>24919.1919976388</v>
      </c>
      <c r="L50" s="20" t="n">
        <f aca="false">'History Y-1'!Q50</f>
        <v>21015.98</v>
      </c>
      <c r="M50" s="23" t="n">
        <f aca="false">Baseline!I50*(1+Assumptions!$G$13)*IFERROR(MAX(0,K50)/L50,1)^Assumptions!$G$15</f>
        <v>0.373808161061287</v>
      </c>
      <c r="N50" s="55" t="n">
        <f aca="false">IFERROR(K50/M50,0)</f>
        <v>66663.0496426033</v>
      </c>
      <c r="O50" s="29" t="n">
        <f aca="false">Baseline!V50</f>
        <v>0.026772894990003</v>
      </c>
      <c r="P50" s="69"/>
      <c r="Q50" s="20" t="n">
        <f aca="false">IF(P50&lt;&gt;"",P50,Assumptions!$G$12*O50)</f>
        <v>5354.57899800059</v>
      </c>
      <c r="R50" s="20" t="n">
        <f aca="false">'History Y-1'!R50</f>
        <v>2930.05</v>
      </c>
      <c r="S50" s="23" t="n">
        <f aca="false">Baseline!J50*(1+Assumptions!$G$13)*IFERROR(MAX(0,Q50)/R50,1)^Assumptions!$G$16</f>
        <v>0.242041305800794</v>
      </c>
      <c r="T50" s="55" t="n">
        <f aca="false">IFERROR(Q50/S50,0)</f>
        <v>22122.5834998905</v>
      </c>
      <c r="U50" s="49" t="n">
        <f aca="false">E50+K50+Q50</f>
        <v>80415.0999216261</v>
      </c>
    </row>
    <row r="51" customFormat="false" ht="15" hidden="false" customHeight="false" outlineLevel="0" collapsed="false">
      <c r="A51" s="13" t="n">
        <v>46</v>
      </c>
      <c r="B51" s="14" t="str">
        <f aca="false">Calendar!D51</f>
        <v>P11</v>
      </c>
      <c r="C51" s="29" t="n">
        <f aca="false">Baseline!T51</f>
        <v>0.0240746335585466</v>
      </c>
      <c r="D51" s="69"/>
      <c r="E51" s="20" t="n">
        <f aca="false">IF(D51&lt;&gt;"",D51,Assumptions!$G$10*C51)</f>
        <v>45741.8037612385</v>
      </c>
      <c r="F51" s="20" t="n">
        <f aca="false">'History Y-1'!P51</f>
        <v>45763.85</v>
      </c>
      <c r="G51" s="23" t="n">
        <f aca="false">Baseline!H51*(1+Assumptions!$G$13)*IFERROR(MAX(0,E51)/F51,1)^Assumptions!$G$14</f>
        <v>0.491058871298728</v>
      </c>
      <c r="H51" s="55" t="n">
        <f aca="false">IFERROR(E51/G51,0)</f>
        <v>93149.3277786893</v>
      </c>
      <c r="I51" s="29" t="n">
        <f aca="false">Baseline!U51</f>
        <v>0.0230895078923771</v>
      </c>
      <c r="J51" s="69"/>
      <c r="K51" s="20" t="n">
        <f aca="false">IF(J51&lt;&gt;"",J51,Assumptions!$G$11*I51)</f>
        <v>21935.0324977582</v>
      </c>
      <c r="L51" s="20" t="n">
        <f aca="false">'History Y-1'!Q51</f>
        <v>19179.39</v>
      </c>
      <c r="M51" s="23" t="n">
        <f aca="false">Baseline!I51*(1+Assumptions!$G$13)*IFERROR(MAX(0,K51)/L51,1)^Assumptions!$G$15</f>
        <v>0.370685570727813</v>
      </c>
      <c r="N51" s="55" t="n">
        <f aca="false">IFERROR(K51/M51,0)</f>
        <v>59174.2280517973</v>
      </c>
      <c r="O51" s="29" t="n">
        <f aca="false">Baseline!V51</f>
        <v>0.0245988209465439</v>
      </c>
      <c r="P51" s="69"/>
      <c r="Q51" s="20" t="n">
        <f aca="false">IF(P51&lt;&gt;"",P51,Assumptions!$G$12*O51)</f>
        <v>4919.76418930878</v>
      </c>
      <c r="R51" s="20" t="n">
        <f aca="false">'History Y-1'!R51</f>
        <v>2550.57</v>
      </c>
      <c r="S51" s="23" t="n">
        <f aca="false">Baseline!J51*(1+Assumptions!$G$13)*IFERROR(MAX(0,Q51)/R51,1)^Assumptions!$G$16</f>
        <v>0.247814791638352</v>
      </c>
      <c r="T51" s="55" t="n">
        <f aca="false">IFERROR(Q51/S51,0)</f>
        <v>19852.5848952892</v>
      </c>
      <c r="U51" s="49" t="n">
        <f aca="false">E51+K51+Q51</f>
        <v>72596.6004483055</v>
      </c>
    </row>
    <row r="52" customFormat="false" ht="15" hidden="false" customHeight="false" outlineLevel="0" collapsed="false">
      <c r="A52" s="13" t="n">
        <v>47</v>
      </c>
      <c r="B52" s="14" t="str">
        <f aca="false">Calendar!D52</f>
        <v>P11</v>
      </c>
      <c r="C52" s="29" t="n">
        <f aca="false">Baseline!T52</f>
        <v>0.0184983569002559</v>
      </c>
      <c r="D52" s="69"/>
      <c r="E52" s="20" t="n">
        <f aca="false">IF(D52&lt;&gt;"",D52,Assumptions!$G$10*C52)</f>
        <v>35146.8781104862</v>
      </c>
      <c r="F52" s="20" t="n">
        <f aca="false">'History Y-1'!P52</f>
        <v>35459.1</v>
      </c>
      <c r="G52" s="23" t="n">
        <f aca="false">Baseline!H52*(1+Assumptions!$G$13)*IFERROR(MAX(0,E52)/F52,1)^Assumptions!$G$14</f>
        <v>0.499064174443558</v>
      </c>
      <c r="H52" s="55" t="n">
        <f aca="false">IFERROR(E52/G52,0)</f>
        <v>70425.5683142832</v>
      </c>
      <c r="I52" s="29" t="n">
        <f aca="false">Baseline!U52</f>
        <v>0.0171204844276778</v>
      </c>
      <c r="J52" s="69"/>
      <c r="K52" s="20" t="n">
        <f aca="false">IF(J52&lt;&gt;"",J52,Assumptions!$G$11*I52)</f>
        <v>16264.4602062939</v>
      </c>
      <c r="L52" s="20" t="n">
        <f aca="false">'History Y-1'!Q52</f>
        <v>13976.39</v>
      </c>
      <c r="M52" s="23" t="n">
        <f aca="false">Baseline!I52*(1+Assumptions!$G$13)*IFERROR(MAX(0,K52)/L52,1)^Assumptions!$G$15</f>
        <v>0.36534634848534</v>
      </c>
      <c r="N52" s="55" t="n">
        <f aca="false">IFERROR(K52/M52,0)</f>
        <v>44517.9218944528</v>
      </c>
      <c r="O52" s="29" t="n">
        <f aca="false">Baseline!V52</f>
        <v>0.0173790645908162</v>
      </c>
      <c r="P52" s="69"/>
      <c r="Q52" s="20" t="n">
        <f aca="false">IF(P52&lt;&gt;"",P52,Assumptions!$G$12*O52)</f>
        <v>3475.81291816324</v>
      </c>
      <c r="R52" s="20" t="n">
        <f aca="false">'History Y-1'!R52</f>
        <v>1697.24</v>
      </c>
      <c r="S52" s="23" t="n">
        <f aca="false">Baseline!J52*(1+Assumptions!$G$13)*IFERROR(MAX(0,Q52)/R52,1)^Assumptions!$G$16</f>
        <v>0.246063891224529</v>
      </c>
      <c r="T52" s="55" t="n">
        <f aca="false">IFERROR(Q52/S52,0)</f>
        <v>14125.6520851798</v>
      </c>
      <c r="U52" s="49" t="n">
        <f aca="false">E52+K52+Q52</f>
        <v>54887.1512349433</v>
      </c>
    </row>
    <row r="53" customFormat="false" ht="15" hidden="false" customHeight="false" outlineLevel="0" collapsed="false">
      <c r="A53" s="13" t="n">
        <v>48</v>
      </c>
      <c r="B53" s="14" t="str">
        <f aca="false">Calendar!D53</f>
        <v>P12</v>
      </c>
      <c r="C53" s="29" t="n">
        <f aca="false">Baseline!T53</f>
        <v>0.0292563276898597</v>
      </c>
      <c r="D53" s="69"/>
      <c r="E53" s="20" t="n">
        <f aca="false">IF(D53&lt;&gt;"",D53,Assumptions!$G$10*C53)</f>
        <v>55587.0226107334</v>
      </c>
      <c r="F53" s="20" t="n">
        <f aca="false">'History Y-1'!P53</f>
        <v>54425.7</v>
      </c>
      <c r="G53" s="23" t="n">
        <f aca="false">Baseline!H53*(1+Assumptions!$G$13)*IFERROR(MAX(0,E53)/F53,1)^Assumptions!$G$14</f>
        <v>0.479976909572683</v>
      </c>
      <c r="H53" s="55" t="n">
        <f aca="false">IFERROR(E53/G53,0)</f>
        <v>115811.868242207</v>
      </c>
      <c r="I53" s="29" t="n">
        <f aca="false">Baseline!U53</f>
        <v>0.0297545484441373</v>
      </c>
      <c r="J53" s="69"/>
      <c r="K53" s="20" t="n">
        <f aca="false">IF(J53&lt;&gt;"",J53,Assumptions!$G$11*I53)</f>
        <v>28266.8210219304</v>
      </c>
      <c r="L53" s="20" t="n">
        <f aca="false">'History Y-1'!Q53</f>
        <v>23813.17</v>
      </c>
      <c r="M53" s="23" t="n">
        <f aca="false">Baseline!I53*(1+Assumptions!$G$13)*IFERROR(MAX(0,K53)/L53,1)^Assumptions!$G$15</f>
        <v>0.383750907035857</v>
      </c>
      <c r="N53" s="55" t="n">
        <f aca="false">IFERROR(K53/M53,0)</f>
        <v>73659.2943591121</v>
      </c>
      <c r="O53" s="29" t="n">
        <f aca="false">Baseline!V53</f>
        <v>0.0294383646289437</v>
      </c>
      <c r="P53" s="69"/>
      <c r="Q53" s="20" t="n">
        <f aca="false">IF(P53&lt;&gt;"",P53,Assumptions!$G$12*O53)</f>
        <v>5887.67292578874</v>
      </c>
      <c r="R53" s="20" t="n">
        <f aca="false">'History Y-1'!R53</f>
        <v>3100.19</v>
      </c>
      <c r="S53" s="23" t="n">
        <f aca="false">Baseline!J53*(1+Assumptions!$G$13)*IFERROR(MAX(0,Q53)/R53,1)^Assumptions!$G$16</f>
        <v>0.242999462911506</v>
      </c>
      <c r="T53" s="55" t="n">
        <f aca="false">IFERROR(Q53/S53,0)</f>
        <v>24229.1602427651</v>
      </c>
      <c r="U53" s="49" t="n">
        <f aca="false">E53+K53+Q53</f>
        <v>89741.5165584526</v>
      </c>
    </row>
    <row r="54" customFormat="false" ht="15" hidden="false" customHeight="false" outlineLevel="0" collapsed="false">
      <c r="A54" s="13" t="n">
        <v>49</v>
      </c>
      <c r="B54" s="14" t="str">
        <f aca="false">Calendar!D54</f>
        <v>P12</v>
      </c>
      <c r="C54" s="29" t="n">
        <f aca="false">Baseline!T54</f>
        <v>0.0236182116504201</v>
      </c>
      <c r="D54" s="69"/>
      <c r="E54" s="20" t="n">
        <f aca="false">IF(D54&lt;&gt;"",D54,Assumptions!$G$10*C54)</f>
        <v>44874.6021357982</v>
      </c>
      <c r="F54" s="20" t="n">
        <f aca="false">'History Y-1'!P54</f>
        <v>45704.88</v>
      </c>
      <c r="G54" s="23" t="n">
        <f aca="false">Baseline!H54*(1+Assumptions!$G$13)*IFERROR(MAX(0,E54)/F54,1)^Assumptions!$G$14</f>
        <v>0.474400448471485</v>
      </c>
      <c r="H54" s="55" t="n">
        <f aca="false">IFERROR(E54/G54,0)</f>
        <v>94592.2422299218</v>
      </c>
      <c r="I54" s="29" t="n">
        <f aca="false">Baseline!U54</f>
        <v>0.0250312220889572</v>
      </c>
      <c r="J54" s="69"/>
      <c r="K54" s="20" t="n">
        <f aca="false">IF(J54&lt;&gt;"",J54,Assumptions!$G$11*I54)</f>
        <v>23779.6609845094</v>
      </c>
      <c r="L54" s="20" t="n">
        <f aca="false">'History Y-1'!Q54</f>
        <v>20789.79</v>
      </c>
      <c r="M54" s="23" t="n">
        <f aca="false">Baseline!I54*(1+Assumptions!$G$13)*IFERROR(MAX(0,K54)/L54,1)^Assumptions!$G$15</f>
        <v>0.370824256645937</v>
      </c>
      <c r="N54" s="55" t="n">
        <f aca="false">IFERROR(K54/M54,0)</f>
        <v>64126.4980872441</v>
      </c>
      <c r="O54" s="29" t="n">
        <f aca="false">Baseline!V54</f>
        <v>0.0237903977294905</v>
      </c>
      <c r="P54" s="69"/>
      <c r="Q54" s="20" t="n">
        <f aca="false">IF(P54&lt;&gt;"",P54,Assumptions!$G$12*O54)</f>
        <v>4758.0795458981</v>
      </c>
      <c r="R54" s="20" t="n">
        <f aca="false">'History Y-1'!R54</f>
        <v>2452.57</v>
      </c>
      <c r="S54" s="23" t="n">
        <f aca="false">Baseline!J54*(1+Assumptions!$G$13)*IFERROR(MAX(0,Q54)/R54,1)^Assumptions!$G$16</f>
        <v>0.248289790772006</v>
      </c>
      <c r="T54" s="55" t="n">
        <f aca="false">IFERROR(Q54/S54,0)</f>
        <v>19163.4119594842</v>
      </c>
      <c r="U54" s="49" t="n">
        <f aca="false">E54+K54+Q54</f>
        <v>73412.3426662056</v>
      </c>
    </row>
    <row r="55" customFormat="false" ht="15" hidden="false" customHeight="false" outlineLevel="0" collapsed="false">
      <c r="A55" s="13" t="n">
        <v>50</v>
      </c>
      <c r="B55" s="14" t="str">
        <f aca="false">Calendar!D55</f>
        <v>P12</v>
      </c>
      <c r="C55" s="29" t="n">
        <f aca="false">Baseline!T55</f>
        <v>0.020401460538364</v>
      </c>
      <c r="D55" s="69"/>
      <c r="E55" s="20" t="n">
        <f aca="false">IF(D55&lt;&gt;"",D55,Assumptions!$G$10*C55)</f>
        <v>38762.7750228916</v>
      </c>
      <c r="F55" s="20" t="n">
        <f aca="false">'History Y-1'!P55</f>
        <v>39724.7</v>
      </c>
      <c r="G55" s="23" t="n">
        <f aca="false">Baseline!H55*(1+Assumptions!$G$13)*IFERROR(MAX(0,E55)/F55,1)^Assumptions!$G$14</f>
        <v>0.473761944195073</v>
      </c>
      <c r="H55" s="55" t="n">
        <f aca="false">IFERROR(E55/G55,0)</f>
        <v>81819.0981733454</v>
      </c>
      <c r="I55" s="29" t="n">
        <f aca="false">Baseline!U55</f>
        <v>0.020593260681148</v>
      </c>
      <c r="J55" s="69"/>
      <c r="K55" s="20" t="n">
        <f aca="false">IF(J55&lt;&gt;"",J55,Assumptions!$G$11*I55)</f>
        <v>19563.5976470906</v>
      </c>
      <c r="L55" s="20" t="n">
        <f aca="false">'History Y-1'!Q55</f>
        <v>17201.62</v>
      </c>
      <c r="M55" s="23" t="n">
        <f aca="false">Baseline!I55*(1+Assumptions!$G$13)*IFERROR(MAX(0,K55)/L55,1)^Assumptions!$G$15</f>
        <v>0.360535651365101</v>
      </c>
      <c r="N55" s="55" t="n">
        <f aca="false">IFERROR(K55/M55,0)</f>
        <v>54262.5883820828</v>
      </c>
      <c r="O55" s="29" t="n">
        <f aca="false">Baseline!V55</f>
        <v>0.0207402114366609</v>
      </c>
      <c r="P55" s="69"/>
      <c r="Q55" s="20" t="n">
        <f aca="false">IF(P55&lt;&gt;"",P55,Assumptions!$G$12*O55)</f>
        <v>4148.04228733217</v>
      </c>
      <c r="R55" s="20" t="n">
        <f aca="false">'History Y-1'!R55</f>
        <v>1984.77</v>
      </c>
      <c r="S55" s="23" t="n">
        <f aca="false">Baseline!J55*(1+Assumptions!$G$13)*IFERROR(MAX(0,Q55)/R55,1)^Assumptions!$G$16</f>
        <v>0.248860935034724</v>
      </c>
      <c r="T55" s="55" t="n">
        <f aca="false">IFERROR(Q55/S55,0)</f>
        <v>16668.1134053981</v>
      </c>
      <c r="U55" s="49" t="n">
        <f aca="false">E55+K55+Q55</f>
        <v>62474.4149573144</v>
      </c>
    </row>
    <row r="56" customFormat="false" ht="15" hidden="false" customHeight="false" outlineLevel="0" collapsed="false">
      <c r="A56" s="13" t="n">
        <v>51</v>
      </c>
      <c r="B56" s="14" t="str">
        <f aca="false">Calendar!D56</f>
        <v>P12</v>
      </c>
      <c r="C56" s="29" t="n">
        <f aca="false">Baseline!T56</f>
        <v>0.0171238773214511</v>
      </c>
      <c r="D56" s="69"/>
      <c r="E56" s="20" t="n">
        <f aca="false">IF(D56&lt;&gt;"",D56,Assumptions!$G$10*C56)</f>
        <v>32535.3669107572</v>
      </c>
      <c r="F56" s="20" t="n">
        <f aca="false">'History Y-1'!P56</f>
        <v>34134.48</v>
      </c>
      <c r="G56" s="23" t="n">
        <f aca="false">Baseline!H56*(1+Assumptions!$G$13)*IFERROR(MAX(0,E56)/F56,1)^Assumptions!$G$14</f>
        <v>0.479285733257429</v>
      </c>
      <c r="H56" s="55" t="n">
        <f aca="false">IFERROR(E56/G56,0)</f>
        <v>67883.0281252751</v>
      </c>
      <c r="I56" s="29" t="n">
        <f aca="false">Baseline!U56</f>
        <v>0.0158902792051609</v>
      </c>
      <c r="J56" s="69"/>
      <c r="K56" s="20" t="n">
        <f aca="false">IF(J56&lt;&gt;"",J56,Assumptions!$G$11*I56)</f>
        <v>15095.7652449029</v>
      </c>
      <c r="L56" s="20" t="n">
        <f aca="false">'History Y-1'!Q56</f>
        <v>12965.18</v>
      </c>
      <c r="M56" s="23" t="n">
        <f aca="false">Baseline!I56*(1+Assumptions!$G$13)*IFERROR(MAX(0,K56)/L56,1)^Assumptions!$G$15</f>
        <v>0.361667177055907</v>
      </c>
      <c r="N56" s="55" t="n">
        <f aca="false">IFERROR(K56/M56,0)</f>
        <v>41739.3841702405</v>
      </c>
      <c r="O56" s="29" t="n">
        <f aca="false">Baseline!V56</f>
        <v>0.016562823510408</v>
      </c>
      <c r="P56" s="69"/>
      <c r="Q56" s="20" t="n">
        <f aca="false">IF(P56&lt;&gt;"",P56,Assumptions!$G$12*O56)</f>
        <v>3312.5647020816</v>
      </c>
      <c r="R56" s="20" t="n">
        <f aca="false">'History Y-1'!R56</f>
        <v>1672.66</v>
      </c>
      <c r="S56" s="23" t="n">
        <f aca="false">Baseline!J56*(1+Assumptions!$G$13)*IFERROR(MAX(0,Q56)/R56,1)^Assumptions!$G$16</f>
        <v>0.251281828741211</v>
      </c>
      <c r="T56" s="55" t="n">
        <f aca="false">IFERROR(Q56/S56,0)</f>
        <v>13182.6671219156</v>
      </c>
      <c r="U56" s="49" t="n">
        <f aca="false">E56+K56+Q56</f>
        <v>50943.6968577416</v>
      </c>
    </row>
    <row r="57" customFormat="false" ht="15" hidden="false" customHeight="false" outlineLevel="0" collapsed="false">
      <c r="A57" s="13" t="n">
        <v>52</v>
      </c>
      <c r="B57" s="14" t="str">
        <f aca="false">Calendar!D57</f>
        <v>P12</v>
      </c>
      <c r="C57" s="29" t="n">
        <f aca="false">Baseline!T57</f>
        <v>0.0148100508558949</v>
      </c>
      <c r="D57" s="69"/>
      <c r="E57" s="20" t="n">
        <f aca="false">IF(D57&lt;&gt;"",D57,Assumptions!$G$10*C57)</f>
        <v>28139.0966262004</v>
      </c>
      <c r="F57" s="20" t="n">
        <f aca="false">'History Y-1'!P57</f>
        <v>28007.9</v>
      </c>
      <c r="G57" s="23" t="n">
        <f aca="false">Baseline!H57*(1+Assumptions!$G$13)*IFERROR(MAX(0,E57)/F57,1)^Assumptions!$G$14</f>
        <v>0.465146144425754</v>
      </c>
      <c r="H57" s="55" t="n">
        <f aca="false">IFERROR(E57/G57,0)</f>
        <v>60495.1733200745</v>
      </c>
      <c r="I57" s="29" t="n">
        <f aca="false">Baseline!U57</f>
        <v>0.0148409352512304</v>
      </c>
      <c r="J57" s="69"/>
      <c r="K57" s="20" t="n">
        <f aca="false">IF(J57&lt;&gt;"",J57,Assumptions!$G$11*I57)</f>
        <v>14098.8884886689</v>
      </c>
      <c r="L57" s="20" t="n">
        <f aca="false">'History Y-1'!Q57</f>
        <v>11169.99</v>
      </c>
      <c r="M57" s="23" t="n">
        <f aca="false">Baseline!I57*(1+Assumptions!$G$13)*IFERROR(MAX(0,K57)/L57,1)^Assumptions!$G$15</f>
        <v>0.369976195045768</v>
      </c>
      <c r="N57" s="55" t="n">
        <f aca="false">IFERROR(K57/M57,0)</f>
        <v>38107.5557764595</v>
      </c>
      <c r="O57" s="29" t="n">
        <f aca="false">Baseline!V57</f>
        <v>0.0154220827351111</v>
      </c>
      <c r="P57" s="69"/>
      <c r="Q57" s="20" t="n">
        <f aca="false">IF(P57&lt;&gt;"",P57,Assumptions!$G$12*O57)</f>
        <v>3084.41654702221</v>
      </c>
      <c r="R57" s="20" t="n">
        <f aca="false">'History Y-1'!R57</f>
        <v>1599.16</v>
      </c>
      <c r="S57" s="23" t="n">
        <f aca="false">Baseline!J57*(1+Assumptions!$G$13)*IFERROR(MAX(0,Q57)/R57,1)^Assumptions!$G$16</f>
        <v>0.236581019769359</v>
      </c>
      <c r="T57" s="55" t="n">
        <f aca="false">IFERROR(Q57/S57,0)</f>
        <v>13037.4640790254</v>
      </c>
      <c r="U57" s="49" t="n">
        <f aca="false">E57+K57+Q57</f>
        <v>45322.4016618914</v>
      </c>
    </row>
    <row r="58" customFormat="false" ht="15" hidden="false" customHeight="false" outlineLevel="0" collapsed="false">
      <c r="A58" s="60" t="s">
        <v>483</v>
      </c>
      <c r="B58" s="61"/>
      <c r="C58" s="64" t="n">
        <f aca="false">SUM(C6:C57)</f>
        <v>1</v>
      </c>
      <c r="D58" s="75"/>
      <c r="E58" s="63" t="n">
        <f aca="false">SUM(E6:E57)</f>
        <v>1900000</v>
      </c>
      <c r="F58" s="63" t="n">
        <f aca="false">SUM(F6:F57)</f>
        <v>1964450.91</v>
      </c>
      <c r="G58" s="65" t="n">
        <f aca="false">IFERROR(E58/H58,0)</f>
        <v>0.473618256972525</v>
      </c>
      <c r="H58" s="62" t="n">
        <f aca="false">SUM(H6:H57)</f>
        <v>4011669.67706276</v>
      </c>
      <c r="I58" s="64" t="n">
        <f aca="false">SUM(I6:I57)</f>
        <v>1</v>
      </c>
      <c r="J58" s="75"/>
      <c r="K58" s="63" t="n">
        <f aca="false">SUM(K6:K57)</f>
        <v>950000</v>
      </c>
      <c r="L58" s="63" t="n">
        <f aca="false">SUM(L6:L57)</f>
        <v>824446.47</v>
      </c>
      <c r="M58" s="65" t="n">
        <f aca="false">IFERROR(K58/N58,0)</f>
        <v>0.367714059760115</v>
      </c>
      <c r="N58" s="62" t="n">
        <f aca="false">SUM(N6:N57)</f>
        <v>2583529.17106229</v>
      </c>
      <c r="O58" s="64" t="n">
        <f aca="false">SUM(O6:O57)</f>
        <v>1</v>
      </c>
      <c r="P58" s="75"/>
      <c r="Q58" s="63" t="n">
        <f aca="false">SUM(Q6:Q57)</f>
        <v>200000</v>
      </c>
      <c r="R58" s="63" t="n">
        <f aca="false">SUM(R6:R57)</f>
        <v>102409.74</v>
      </c>
      <c r="S58" s="65" t="n">
        <f aca="false">IFERROR(Q58/T58,0)</f>
        <v>0.244871775246765</v>
      </c>
      <c r="T58" s="62" t="n">
        <f aca="false">SUM(T6:T57)</f>
        <v>816753.992159585</v>
      </c>
      <c r="U58" s="63" t="n">
        <f aca="false">SUM(U6:U57)</f>
        <v>3050000</v>
      </c>
    </row>
    <row r="60" customFormat="false" ht="15" hidden="false" customHeight="false" outlineLevel="0" collapsed="false">
      <c r="A60" s="8" t="s">
        <v>565</v>
      </c>
    </row>
    <row r="61" customFormat="false" ht="15" hidden="false" customHeight="false" outlineLevel="0" collapsed="false">
      <c r="A61" s="13" t="s">
        <v>566</v>
      </c>
      <c r="E61" s="20" t="n">
        <f aca="false">E58-Assumptions!$G$10</f>
        <v>0</v>
      </c>
    </row>
    <row r="62" customFormat="false" ht="15" hidden="false" customHeight="false" outlineLevel="0" collapsed="false">
      <c r="A62" s="13" t="s">
        <v>567</v>
      </c>
      <c r="E62" s="20" t="n">
        <f aca="false">K58-Assumptions!$G$11</f>
        <v>0</v>
      </c>
    </row>
    <row r="63" customFormat="false" ht="15" hidden="false" customHeight="false" outlineLevel="0" collapsed="false">
      <c r="A63" s="13" t="s">
        <v>568</v>
      </c>
      <c r="E63" s="20" t="n">
        <f aca="false">Q58-Assumptions!$G$12</f>
        <v>0</v>
      </c>
    </row>
    <row r="64" customFormat="false" ht="15" hidden="false" customHeight="false" outlineLevel="0" collapsed="false">
      <c r="A64" s="13" t="s">
        <v>569</v>
      </c>
    </row>
  </sheetData>
  <sheetProtection sheet="true" formatColumns="false" formatRows="false"/>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5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2" min="1" style="0" width="7"/>
    <col collapsed="false" customWidth="true" hidden="false" outlineLevel="0" max="3" min="3" style="0" width="22"/>
    <col collapsed="false" customWidth="true" hidden="false" outlineLevel="0" max="26" min="4" style="0" width="12"/>
  </cols>
  <sheetData>
    <row r="1" customFormat="false" ht="17.35" hidden="false" customHeight="false" outlineLevel="0" collapsed="false">
      <c r="A1" s="1" t="s">
        <v>570</v>
      </c>
    </row>
    <row r="2" customFormat="false" ht="15" hidden="false" customHeight="false" outlineLevel="0" collapsed="false">
      <c r="A2" s="2" t="s">
        <v>571</v>
      </c>
    </row>
    <row r="5" customFormat="false" ht="42" hidden="false" customHeight="true" outlineLevel="0" collapsed="false">
      <c r="A5" s="19" t="s">
        <v>410</v>
      </c>
      <c r="B5" s="19" t="s">
        <v>413</v>
      </c>
      <c r="C5" s="19" t="s">
        <v>446</v>
      </c>
      <c r="D5" s="19" t="s">
        <v>447</v>
      </c>
      <c r="E5" s="19" t="s">
        <v>448</v>
      </c>
      <c r="F5" s="19" t="s">
        <v>572</v>
      </c>
      <c r="G5" s="19" t="s">
        <v>450</v>
      </c>
      <c r="H5" s="19" t="s">
        <v>451</v>
      </c>
      <c r="I5" s="19" t="s">
        <v>452</v>
      </c>
      <c r="J5" s="19" t="s">
        <v>453</v>
      </c>
      <c r="K5" s="19" t="s">
        <v>464</v>
      </c>
      <c r="L5" s="19" t="s">
        <v>573</v>
      </c>
      <c r="M5" s="19" t="s">
        <v>454</v>
      </c>
      <c r="N5" s="19" t="s">
        <v>465</v>
      </c>
      <c r="O5" s="19" t="s">
        <v>574</v>
      </c>
      <c r="P5" s="19" t="s">
        <v>467</v>
      </c>
      <c r="Q5" s="19" t="s">
        <v>575</v>
      </c>
      <c r="R5" s="19" t="s">
        <v>457</v>
      </c>
      <c r="S5" s="19" t="s">
        <v>468</v>
      </c>
      <c r="T5" s="19" t="s">
        <v>458</v>
      </c>
      <c r="U5" s="19" t="s">
        <v>97</v>
      </c>
      <c r="V5" s="19" t="s">
        <v>456</v>
      </c>
      <c r="W5" s="19" t="s">
        <v>576</v>
      </c>
      <c r="X5" s="19" t="s">
        <v>91</v>
      </c>
      <c r="Y5" s="19" t="s">
        <v>577</v>
      </c>
      <c r="Z5" s="19" t="s">
        <v>578</v>
      </c>
    </row>
    <row r="6" customFormat="false" ht="15" hidden="false" customHeight="false" outlineLevel="0" collapsed="false">
      <c r="A6" s="13" t="n">
        <v>1</v>
      </c>
      <c r="B6" s="14" t="str">
        <f aca="false">Calendar!D6</f>
        <v>P1</v>
      </c>
      <c r="C6" s="14" t="str">
        <f aca="false">Calendar!F6&amp;""</f>
        <v/>
      </c>
      <c r="D6" s="21" t="n">
        <f aca="false">'Media Plan'!H6</f>
        <v>62450.2667659094</v>
      </c>
      <c r="E6" s="21" t="n">
        <f aca="false">'Media Plan'!N6</f>
        <v>38498.1068283715</v>
      </c>
      <c r="F6" s="21" t="n">
        <f aca="false">'Media Plan'!T6</f>
        <v>12947.8694258626</v>
      </c>
      <c r="G6" s="21" t="n">
        <f aca="false">'History Y-1'!$F$58*(1+Assumptions!$G$6)*Baseline!Q6</f>
        <v>108507.123320242</v>
      </c>
      <c r="H6" s="21" t="n">
        <f aca="false">'History Y-1'!$G$58*(1+Assumptions!$G$7)*Baseline!R6</f>
        <v>30562.3172227431</v>
      </c>
      <c r="I6" s="21" t="n">
        <f aca="false">'History Y-1'!$H$58*(1+Assumptions!$G$8)*Baseline!S6</f>
        <v>17370.834307353</v>
      </c>
      <c r="J6" s="55" t="n">
        <f aca="false">SUM(D6:I6)</f>
        <v>270336.517870481</v>
      </c>
      <c r="K6" s="29" t="n">
        <f aca="false">Baseline!B6*(1+Assumptions!$G$18)</f>
        <v>0.0212658125863818</v>
      </c>
      <c r="L6" s="31" t="n">
        <f aca="false">Calendar!G6</f>
        <v>0</v>
      </c>
      <c r="M6" s="55" t="n">
        <f aca="false">J6*K6*(1+L6)</f>
        <v>5748.92572428871</v>
      </c>
      <c r="N6" s="23" t="n">
        <f aca="false">Baseline!C6*(1+Assumptions!$G$19)</f>
        <v>76.8682868603814</v>
      </c>
      <c r="O6" s="49" t="n">
        <f aca="false">M6*N6</f>
        <v>441910.07171365</v>
      </c>
      <c r="P6" s="31" t="n">
        <f aca="false">MAX(0,MIN(0.9,Baseline!E6+Assumptions!$G$20))</f>
        <v>0.077110324454184</v>
      </c>
      <c r="Q6" s="49" t="n">
        <f aca="false">O6/(1-P6)</f>
        <v>478833.043020332</v>
      </c>
      <c r="R6" s="49" t="n">
        <f aca="false">Q6-O6</f>
        <v>36922.971306682</v>
      </c>
      <c r="S6" s="31" t="n">
        <f aca="false">MAX(0,Baseline!F6+Assumptions!$G$21)</f>
        <v>0.254153851431718</v>
      </c>
      <c r="T6" s="49" t="n">
        <f aca="false">O6*S6</f>
        <v>112313.146712491</v>
      </c>
      <c r="U6" s="49" t="n">
        <f aca="false">O6-T6</f>
        <v>329596.92500116</v>
      </c>
      <c r="V6" s="21" t="n">
        <f aca="false">M6*Baseline!D6</f>
        <v>10990.3878504921</v>
      </c>
      <c r="W6" s="55" t="n">
        <f aca="false">IFERROR(T6/N6,0)</f>
        <v>1461.11161442285</v>
      </c>
      <c r="X6" s="21" t="n">
        <f aca="false">M6*Baseline!G6</f>
        <v>2052.21399510606</v>
      </c>
      <c r="Y6" s="49" t="n">
        <f aca="false">IFERROR(O6*I6/J6,0)</f>
        <v>28395.5223473214</v>
      </c>
      <c r="Z6" s="55" t="n">
        <f aca="false">V6*S6</f>
        <v>2793.24940093092</v>
      </c>
    </row>
    <row r="7" customFormat="false" ht="15" hidden="false" customHeight="false" outlineLevel="0" collapsed="false">
      <c r="A7" s="13" t="n">
        <v>2</v>
      </c>
      <c r="B7" s="14" t="str">
        <f aca="false">Calendar!D7</f>
        <v>P1</v>
      </c>
      <c r="C7" s="14" t="str">
        <f aca="false">Calendar!F7&amp;""</f>
        <v/>
      </c>
      <c r="D7" s="21" t="n">
        <f aca="false">'Media Plan'!H7</f>
        <v>67493.3762060362</v>
      </c>
      <c r="E7" s="21" t="n">
        <f aca="false">'Media Plan'!N7</f>
        <v>42302.7914293994</v>
      </c>
      <c r="F7" s="21" t="n">
        <f aca="false">'Media Plan'!T7</f>
        <v>13319.3004459641</v>
      </c>
      <c r="G7" s="21" t="n">
        <f aca="false">'History Y-1'!$F$58*(1+Assumptions!$G$6)*Baseline!Q7</f>
        <v>113224.173415279</v>
      </c>
      <c r="H7" s="21" t="n">
        <f aca="false">'History Y-1'!$G$58*(1+Assumptions!$G$7)*Baseline!R7</f>
        <v>29449.3689372216</v>
      </c>
      <c r="I7" s="21" t="n">
        <f aca="false">'History Y-1'!$H$58*(1+Assumptions!$G$8)*Baseline!S7</f>
        <v>18994.0301664573</v>
      </c>
      <c r="J7" s="55" t="n">
        <f aca="false">SUM(D7:I7)</f>
        <v>284783.040600358</v>
      </c>
      <c r="K7" s="29" t="n">
        <f aca="false">Baseline!B7*(1+Assumptions!$G$18)</f>
        <v>0.021601116421813</v>
      </c>
      <c r="L7" s="31" t="n">
        <f aca="false">Calendar!G7</f>
        <v>0</v>
      </c>
      <c r="M7" s="55" t="n">
        <f aca="false">J7*K7*(1+L7)</f>
        <v>6151.63161496623</v>
      </c>
      <c r="N7" s="23" t="n">
        <f aca="false">Baseline!C7*(1+Assumptions!$G$19)</f>
        <v>76.7322785893059</v>
      </c>
      <c r="O7" s="49" t="n">
        <f aca="false">M7*N7</f>
        <v>472028.710858371</v>
      </c>
      <c r="P7" s="31" t="n">
        <f aca="false">MAX(0,MIN(0.9,Baseline!E7+Assumptions!$G$20))</f>
        <v>0.0763282292155085</v>
      </c>
      <c r="Q7" s="49" t="n">
        <f aca="false">O7/(1-P7)</f>
        <v>511035.116356829</v>
      </c>
      <c r="R7" s="49" t="n">
        <f aca="false">Q7-O7</f>
        <v>39006.4054984581</v>
      </c>
      <c r="S7" s="31" t="n">
        <f aca="false">MAX(0,Baseline!F7+Assumptions!$G$21)</f>
        <v>0.260498513514979</v>
      </c>
      <c r="T7" s="49" t="n">
        <f aca="false">O7*S7</f>
        <v>122962.777514997</v>
      </c>
      <c r="U7" s="49" t="n">
        <f aca="false">O7-T7</f>
        <v>349065.933343374</v>
      </c>
      <c r="V7" s="21" t="n">
        <f aca="false">M7*Baseline!D7</f>
        <v>11888.3175092445</v>
      </c>
      <c r="W7" s="55" t="n">
        <f aca="false">IFERROR(T7/N7,0)</f>
        <v>1602.49089139045</v>
      </c>
      <c r="X7" s="21" t="n">
        <f aca="false">M7*Baseline!G7</f>
        <v>2216.62218502162</v>
      </c>
      <c r="Y7" s="49" t="n">
        <f aca="false">IFERROR(O7*I7/J7,0)</f>
        <v>31482.6597629444</v>
      </c>
      <c r="Z7" s="55" t="n">
        <f aca="false">V7*S7</f>
        <v>3096.88903935228</v>
      </c>
    </row>
    <row r="8" customFormat="false" ht="15" hidden="false" customHeight="false" outlineLevel="0" collapsed="false">
      <c r="A8" s="13" t="n">
        <v>3</v>
      </c>
      <c r="B8" s="14" t="str">
        <f aca="false">Calendar!D8</f>
        <v>P1</v>
      </c>
      <c r="C8" s="14" t="str">
        <f aca="false">Calendar!F8&amp;""</f>
        <v/>
      </c>
      <c r="D8" s="21" t="n">
        <f aca="false">'Media Plan'!H8</f>
        <v>68508.7213891986</v>
      </c>
      <c r="E8" s="21" t="n">
        <f aca="false">'Media Plan'!N8</f>
        <v>41717.3170882031</v>
      </c>
      <c r="F8" s="21" t="n">
        <f aca="false">'Media Plan'!T8</f>
        <v>13638.4290599076</v>
      </c>
      <c r="G8" s="21" t="n">
        <f aca="false">'History Y-1'!$F$58*(1+Assumptions!$G$6)*Baseline!Q8</f>
        <v>113072.983391421</v>
      </c>
      <c r="H8" s="21" t="n">
        <f aca="false">'History Y-1'!$G$58*(1+Assumptions!$G$7)*Baseline!R8</f>
        <v>31180.8296805907</v>
      </c>
      <c r="I8" s="21" t="n">
        <f aca="false">'History Y-1'!$H$58*(1+Assumptions!$G$8)*Baseline!S8</f>
        <v>19664.5154289109</v>
      </c>
      <c r="J8" s="55" t="n">
        <f aca="false">SUM(D8:I8)</f>
        <v>287782.796038232</v>
      </c>
      <c r="K8" s="29" t="n">
        <f aca="false">Baseline!B8*(1+Assumptions!$G$18)</f>
        <v>0.0218344557386314</v>
      </c>
      <c r="L8" s="31" t="n">
        <f aca="false">Calendar!G8</f>
        <v>0</v>
      </c>
      <c r="M8" s="55" t="n">
        <f aca="false">J8*K8*(1+L8)</f>
        <v>6283.58072243636</v>
      </c>
      <c r="N8" s="23" t="n">
        <f aca="false">Baseline!C8*(1+Assumptions!$G$19)</f>
        <v>77.8797159543039</v>
      </c>
      <c r="O8" s="49" t="n">
        <f aca="false">M8*N8</f>
        <v>489363.481839283</v>
      </c>
      <c r="P8" s="31" t="n">
        <f aca="false">MAX(0,MIN(0.9,Baseline!E8+Assumptions!$G$20))</f>
        <v>0.0825000239061912</v>
      </c>
      <c r="Q8" s="49" t="n">
        <f aca="false">O8/(1-P8)</f>
        <v>533366.206637643</v>
      </c>
      <c r="R8" s="49" t="n">
        <f aca="false">Q8-O8</f>
        <v>44002.72479836</v>
      </c>
      <c r="S8" s="31" t="n">
        <f aca="false">MAX(0,Baseline!F8+Assumptions!$G$21)</f>
        <v>0.253393127812901</v>
      </c>
      <c r="T8" s="49" t="n">
        <f aca="false">O8*S8</f>
        <v>124001.343300668</v>
      </c>
      <c r="U8" s="49" t="n">
        <f aca="false">O8-T8</f>
        <v>365362.138538616</v>
      </c>
      <c r="V8" s="21" t="n">
        <f aca="false">M8*Baseline!D8</f>
        <v>11885.4358068983</v>
      </c>
      <c r="W8" s="55" t="n">
        <f aca="false">IFERROR(T8/N8,0)</f>
        <v>1592.216173123</v>
      </c>
      <c r="X8" s="21" t="n">
        <f aca="false">M8*Baseline!G8</f>
        <v>2261.41476862223</v>
      </c>
      <c r="Y8" s="49" t="n">
        <f aca="false">IFERROR(O8*I8/J8,0)</f>
        <v>33438.7457188223</v>
      </c>
      <c r="Z8" s="55" t="n">
        <f aca="false">V8*S8</f>
        <v>3011.6877545294</v>
      </c>
    </row>
    <row r="9" customFormat="false" ht="15" hidden="false" customHeight="false" outlineLevel="0" collapsed="false">
      <c r="A9" s="13" t="n">
        <v>4</v>
      </c>
      <c r="B9" s="14" t="str">
        <f aca="false">Calendar!D9</f>
        <v>P1</v>
      </c>
      <c r="C9" s="14" t="str">
        <f aca="false">Calendar!F9&amp;""</f>
        <v/>
      </c>
      <c r="D9" s="21" t="n">
        <f aca="false">'Media Plan'!H9</f>
        <v>60157.123704439</v>
      </c>
      <c r="E9" s="21" t="n">
        <f aca="false">'Media Plan'!N9</f>
        <v>38687.1810577072</v>
      </c>
      <c r="F9" s="21" t="n">
        <f aca="false">'Media Plan'!T9</f>
        <v>12527.5451030819</v>
      </c>
      <c r="G9" s="21" t="n">
        <f aca="false">'History Y-1'!$F$58*(1+Assumptions!$G$6)*Baseline!Q9</f>
        <v>106798.256016083</v>
      </c>
      <c r="H9" s="21" t="n">
        <f aca="false">'History Y-1'!$G$58*(1+Assumptions!$G$7)*Baseline!R9</f>
        <v>28630.122672111</v>
      </c>
      <c r="I9" s="21" t="n">
        <f aca="false">'History Y-1'!$H$58*(1+Assumptions!$G$8)*Baseline!S9</f>
        <v>17687.0990680388</v>
      </c>
      <c r="J9" s="55" t="n">
        <f aca="false">SUM(D9:I9)</f>
        <v>264487.327621461</v>
      </c>
      <c r="K9" s="29" t="n">
        <f aca="false">Baseline!B9*(1+Assumptions!$G$18)</f>
        <v>0.0212668465341303</v>
      </c>
      <c r="L9" s="31" t="n">
        <f aca="false">Calendar!G9</f>
        <v>0</v>
      </c>
      <c r="M9" s="55" t="n">
        <f aca="false">J9*K9*(1+L9)</f>
        <v>5624.81140674786</v>
      </c>
      <c r="N9" s="23" t="n">
        <f aca="false">Baseline!C9*(1+Assumptions!$G$19)</f>
        <v>78.0236824662813</v>
      </c>
      <c r="O9" s="49" t="n">
        <f aca="false">M9*N9</f>
        <v>438868.499132812</v>
      </c>
      <c r="P9" s="31" t="n">
        <f aca="false">MAX(0,MIN(0.9,Baseline!E9+Assumptions!$G$20))</f>
        <v>0.0833619544337161</v>
      </c>
      <c r="Q9" s="49" t="n">
        <f aca="false">O9/(1-P9)</f>
        <v>478780.584392704</v>
      </c>
      <c r="R9" s="49" t="n">
        <f aca="false">Q9-O9</f>
        <v>39912.0852598926</v>
      </c>
      <c r="S9" s="31" t="n">
        <f aca="false">MAX(0,Baseline!F9+Assumptions!$G$21)</f>
        <v>0.251372841126127</v>
      </c>
      <c r="T9" s="49" t="n">
        <f aca="false">O9*S9</f>
        <v>110319.621507774</v>
      </c>
      <c r="U9" s="49" t="n">
        <f aca="false">O9-T9</f>
        <v>328548.877625037</v>
      </c>
      <c r="V9" s="21" t="n">
        <f aca="false">M9*Baseline!D9</f>
        <v>10821.0702380851</v>
      </c>
      <c r="W9" s="55" t="n">
        <f aca="false">IFERROR(T9/N9,0)</f>
        <v>1413.92482411286</v>
      </c>
      <c r="X9" s="21" t="n">
        <f aca="false">M9*Baseline!G9</f>
        <v>1917.88990031231</v>
      </c>
      <c r="Y9" s="49" t="n">
        <f aca="false">IFERROR(O9*I9/J9,0)</f>
        <v>29348.5162098696</v>
      </c>
      <c r="Z9" s="55" t="n">
        <f aca="false">V9*S9</f>
        <v>2720.12316977284</v>
      </c>
    </row>
    <row r="10" customFormat="false" ht="15" hidden="false" customHeight="false" outlineLevel="0" collapsed="false">
      <c r="A10" s="13" t="n">
        <v>5</v>
      </c>
      <c r="B10" s="14" t="str">
        <f aca="false">Calendar!D10</f>
        <v>P2</v>
      </c>
      <c r="C10" s="14" t="str">
        <f aca="false">Calendar!F10&amp;""</f>
        <v/>
      </c>
      <c r="D10" s="21" t="n">
        <f aca="false">'Media Plan'!H10</f>
        <v>66401.9083507024</v>
      </c>
      <c r="E10" s="21" t="n">
        <f aca="false">'Media Plan'!N10</f>
        <v>40933.6557723986</v>
      </c>
      <c r="F10" s="21" t="n">
        <f aca="false">'Media Plan'!T10</f>
        <v>13377.2037689949</v>
      </c>
      <c r="G10" s="21" t="n">
        <f aca="false">'History Y-1'!$F$58*(1+Assumptions!$G$6)*Baseline!Q10</f>
        <v>108261.318790687</v>
      </c>
      <c r="H10" s="21" t="n">
        <f aca="false">'History Y-1'!$G$58*(1+Assumptions!$G$7)*Baseline!R10</f>
        <v>28713.9273613117</v>
      </c>
      <c r="I10" s="21" t="n">
        <f aca="false">'History Y-1'!$H$58*(1+Assumptions!$G$8)*Baseline!S10</f>
        <v>18426.8380814973</v>
      </c>
      <c r="J10" s="55" t="n">
        <f aca="false">SUM(D10:I10)</f>
        <v>276114.852125592</v>
      </c>
      <c r="K10" s="29" t="n">
        <f aca="false">Baseline!B10*(1+Assumptions!$G$18)</f>
        <v>0.0213085080530256</v>
      </c>
      <c r="L10" s="31" t="n">
        <f aca="false">Calendar!G10</f>
        <v>0</v>
      </c>
      <c r="M10" s="55" t="n">
        <f aca="false">J10*K10*(1+L10)</f>
        <v>5883.59555007816</v>
      </c>
      <c r="N10" s="23" t="n">
        <f aca="false">Baseline!C10*(1+Assumptions!$G$19)</f>
        <v>75.4184592536832</v>
      </c>
      <c r="O10" s="49" t="n">
        <f aca="false">M10*N10</f>
        <v>443731.711258721</v>
      </c>
      <c r="P10" s="31" t="n">
        <f aca="false">MAX(0,MIN(0.9,Baseline!E10+Assumptions!$G$20))</f>
        <v>0.0829063407147102</v>
      </c>
      <c r="Q10" s="49" t="n">
        <f aca="false">O10/(1-P10)</f>
        <v>483845.577565688</v>
      </c>
      <c r="R10" s="49" t="n">
        <f aca="false">Q10-O10</f>
        <v>40113.8663069666</v>
      </c>
      <c r="S10" s="31" t="n">
        <f aca="false">MAX(0,Baseline!F10+Assumptions!$G$21)</f>
        <v>0.262005503131197</v>
      </c>
      <c r="T10" s="49" t="n">
        <f aca="false">O10*S10</f>
        <v>116260.150263608</v>
      </c>
      <c r="U10" s="49" t="n">
        <f aca="false">O10-T10</f>
        <v>327471.560995113</v>
      </c>
      <c r="V10" s="21" t="n">
        <f aca="false">M10*Baseline!D10</f>
        <v>11074.860246366</v>
      </c>
      <c r="W10" s="55" t="n">
        <f aca="false">IFERROR(T10/N10,0)</f>
        <v>1541.5344123187</v>
      </c>
      <c r="X10" s="21" t="n">
        <f aca="false">M10*Baseline!G10</f>
        <v>2098.42510400781</v>
      </c>
      <c r="Y10" s="49" t="n">
        <f aca="false">IFERROR(O10*I10/J10,0)</f>
        <v>29612.9394418486</v>
      </c>
      <c r="Z10" s="55" t="n">
        <f aca="false">V10*S10</f>
        <v>2901.67433095682</v>
      </c>
    </row>
    <row r="11" customFormat="false" ht="15" hidden="false" customHeight="false" outlineLevel="0" collapsed="false">
      <c r="A11" s="13" t="n">
        <v>6</v>
      </c>
      <c r="B11" s="14" t="str">
        <f aca="false">Calendar!D11</f>
        <v>P2</v>
      </c>
      <c r="C11" s="14" t="str">
        <f aca="false">Calendar!F11&amp;""</f>
        <v/>
      </c>
      <c r="D11" s="21" t="n">
        <f aca="false">'Media Plan'!H11</f>
        <v>65069.2012259543</v>
      </c>
      <c r="E11" s="21" t="n">
        <f aca="false">'Media Plan'!N11</f>
        <v>40659.4484276064</v>
      </c>
      <c r="F11" s="21" t="n">
        <f aca="false">'Media Plan'!T11</f>
        <v>12952.4433708033</v>
      </c>
      <c r="G11" s="21" t="n">
        <f aca="false">'History Y-1'!$F$58*(1+Assumptions!$G$6)*Baseline!Q11</f>
        <v>110476.077069378</v>
      </c>
      <c r="H11" s="21" t="n">
        <f aca="false">'History Y-1'!$G$58*(1+Assumptions!$G$7)*Baseline!R11</f>
        <v>29400.3603623395</v>
      </c>
      <c r="I11" s="21" t="n">
        <f aca="false">'History Y-1'!$H$58*(1+Assumptions!$G$8)*Baseline!S11</f>
        <v>18865.6202627451</v>
      </c>
      <c r="J11" s="55" t="n">
        <f aca="false">SUM(D11:I11)</f>
        <v>277423.150718826</v>
      </c>
      <c r="K11" s="29" t="n">
        <f aca="false">Baseline!B11*(1+Assumptions!$G$18)</f>
        <v>0.0221930629813017</v>
      </c>
      <c r="L11" s="31" t="n">
        <f aca="false">Calendar!G11</f>
        <v>0</v>
      </c>
      <c r="M11" s="55" t="n">
        <f aca="false">J11*K11*(1+L11)</f>
        <v>6156.86945637407</v>
      </c>
      <c r="N11" s="23" t="n">
        <f aca="false">Baseline!C11*(1+Assumptions!$G$19)</f>
        <v>77.4824049522636</v>
      </c>
      <c r="O11" s="49" t="n">
        <f aca="false">M11*N11</f>
        <v>477049.052456998</v>
      </c>
      <c r="P11" s="31" t="n">
        <f aca="false">MAX(0,MIN(0.9,Baseline!E11+Assumptions!$G$20))</f>
        <v>0.0782325313472703</v>
      </c>
      <c r="Q11" s="49" t="n">
        <f aca="false">O11/(1-P11)</f>
        <v>517537.305969651</v>
      </c>
      <c r="R11" s="49" t="n">
        <f aca="false">Q11-O11</f>
        <v>40488.2535126525</v>
      </c>
      <c r="S11" s="31" t="n">
        <f aca="false">MAX(0,Baseline!F11+Assumptions!$G$21)</f>
        <v>0.257710082310918</v>
      </c>
      <c r="T11" s="49" t="n">
        <f aca="false">O11*S11</f>
        <v>122940.350575039</v>
      </c>
      <c r="U11" s="49" t="n">
        <f aca="false">O11-T11</f>
        <v>354108.70188196</v>
      </c>
      <c r="V11" s="21" t="n">
        <f aca="false">M11*Baseline!D11</f>
        <v>11935.6929082621</v>
      </c>
      <c r="W11" s="55" t="n">
        <f aca="false">IFERROR(T11/N11,0)</f>
        <v>1586.68733437974</v>
      </c>
      <c r="X11" s="21" t="n">
        <f aca="false">M11*Baseline!G11</f>
        <v>2133.38842105225</v>
      </c>
      <c r="Y11" s="49" t="n">
        <f aca="false">IFERROR(O11*I11/J11,0)</f>
        <v>32440.7903487392</v>
      </c>
      <c r="Z11" s="55" t="n">
        <f aca="false">V11*S11</f>
        <v>3075.94840182607</v>
      </c>
    </row>
    <row r="12" customFormat="false" ht="15" hidden="false" customHeight="false" outlineLevel="0" collapsed="false">
      <c r="A12" s="13" t="n">
        <v>7</v>
      </c>
      <c r="B12" s="14" t="str">
        <f aca="false">Calendar!D12</f>
        <v>P2</v>
      </c>
      <c r="C12" s="14" t="str">
        <f aca="false">Calendar!F12&amp;""</f>
        <v/>
      </c>
      <c r="D12" s="21" t="n">
        <f aca="false">'Media Plan'!H12</f>
        <v>64169.7723199088</v>
      </c>
      <c r="E12" s="21" t="n">
        <f aca="false">'Media Plan'!N12</f>
        <v>41930.5900884359</v>
      </c>
      <c r="F12" s="21" t="n">
        <f aca="false">'Media Plan'!T12</f>
        <v>13567.4818735846</v>
      </c>
      <c r="G12" s="21" t="n">
        <f aca="false">'History Y-1'!$F$58*(1+Assumptions!$G$6)*Baseline!Q12</f>
        <v>113678.350493606</v>
      </c>
      <c r="H12" s="21" t="n">
        <f aca="false">'History Y-1'!$G$58*(1+Assumptions!$G$7)*Baseline!R12</f>
        <v>29400.6847666719</v>
      </c>
      <c r="I12" s="21" t="n">
        <f aca="false">'History Y-1'!$H$58*(1+Assumptions!$G$8)*Baseline!S12</f>
        <v>18811.0620056125</v>
      </c>
      <c r="J12" s="55" t="n">
        <f aca="false">SUM(D12:I12)</f>
        <v>281557.94154782</v>
      </c>
      <c r="K12" s="29" t="n">
        <f aca="false">Baseline!B12*(1+Assumptions!$G$18)</f>
        <v>0.021431304562167</v>
      </c>
      <c r="L12" s="31" t="n">
        <f aca="false">Calendar!G12</f>
        <v>0</v>
      </c>
      <c r="M12" s="55" t="n">
        <f aca="false">J12*K12*(1+L12)</f>
        <v>6034.15399720814</v>
      </c>
      <c r="N12" s="23" t="n">
        <f aca="false">Baseline!C12*(1+Assumptions!$G$19)</f>
        <v>76.0577998459619</v>
      </c>
      <c r="O12" s="49" t="n">
        <f aca="false">M12*N12</f>
        <v>458944.476959368</v>
      </c>
      <c r="P12" s="31" t="n">
        <f aca="false">MAX(0,MIN(0.9,Baseline!E12+Assumptions!$G$20))</f>
        <v>0.0796188438534106</v>
      </c>
      <c r="Q12" s="49" t="n">
        <f aca="false">O12/(1-P12)</f>
        <v>498646.103187136</v>
      </c>
      <c r="R12" s="49" t="n">
        <f aca="false">Q12-O12</f>
        <v>39701.6262277683</v>
      </c>
      <c r="S12" s="31" t="n">
        <f aca="false">MAX(0,Baseline!F12+Assumptions!$G$21)</f>
        <v>0.259534122550686</v>
      </c>
      <c r="T12" s="49" t="n">
        <f aca="false">O12*S12</f>
        <v>119111.752127133</v>
      </c>
      <c r="U12" s="49" t="n">
        <f aca="false">O12-T12</f>
        <v>339832.724832235</v>
      </c>
      <c r="V12" s="21" t="n">
        <f aca="false">M12*Baseline!D12</f>
        <v>11512.5269255934</v>
      </c>
      <c r="W12" s="55" t="n">
        <f aca="false">IFERROR(T12/N12,0)</f>
        <v>1566.06886300113</v>
      </c>
      <c r="X12" s="21" t="n">
        <f aca="false">M12*Baseline!G12</f>
        <v>2079.56389059521</v>
      </c>
      <c r="Y12" s="49" t="n">
        <f aca="false">IFERROR(O12*I12/J12,0)</f>
        <v>30662.3672760081</v>
      </c>
      <c r="Z12" s="55" t="n">
        <f aca="false">V12*S12</f>
        <v>2987.89357397502</v>
      </c>
    </row>
    <row r="13" customFormat="false" ht="15" hidden="false" customHeight="false" outlineLevel="0" collapsed="false">
      <c r="A13" s="13" t="n">
        <v>8</v>
      </c>
      <c r="B13" s="14" t="str">
        <f aca="false">Calendar!D13</f>
        <v>P2</v>
      </c>
      <c r="C13" s="14" t="str">
        <f aca="false">Calendar!F13&amp;""</f>
        <v/>
      </c>
      <c r="D13" s="21" t="n">
        <f aca="false">'Media Plan'!H13</f>
        <v>61480.7624251421</v>
      </c>
      <c r="E13" s="21" t="n">
        <f aca="false">'Media Plan'!N13</f>
        <v>40728.9896233956</v>
      </c>
      <c r="F13" s="21" t="n">
        <f aca="false">'Media Plan'!T13</f>
        <v>13136.4544686534</v>
      </c>
      <c r="G13" s="21" t="n">
        <f aca="false">'History Y-1'!$F$58*(1+Assumptions!$G$6)*Baseline!Q13</f>
        <v>105901.383755382</v>
      </c>
      <c r="H13" s="21" t="n">
        <f aca="false">'History Y-1'!$G$58*(1+Assumptions!$G$7)*Baseline!R13</f>
        <v>29744.7766555873</v>
      </c>
      <c r="I13" s="21" t="n">
        <f aca="false">'History Y-1'!$H$58*(1+Assumptions!$G$8)*Baseline!S13</f>
        <v>18615.1116467082</v>
      </c>
      <c r="J13" s="55" t="n">
        <f aca="false">SUM(D13:I13)</f>
        <v>269607.478574869</v>
      </c>
      <c r="K13" s="29" t="n">
        <f aca="false">Baseline!B13*(1+Assumptions!$G$18)</f>
        <v>0.0215497916626946</v>
      </c>
      <c r="L13" s="31" t="n">
        <f aca="false">Calendar!G13</f>
        <v>0</v>
      </c>
      <c r="M13" s="55" t="n">
        <f aca="false">J13*K13*(1+L13)</f>
        <v>5809.98499399281</v>
      </c>
      <c r="N13" s="23" t="n">
        <f aca="false">Baseline!C13*(1+Assumptions!$G$19)</f>
        <v>77.1428516795667</v>
      </c>
      <c r="O13" s="49" t="n">
        <f aca="false">M13*N13</f>
        <v>448198.810652096</v>
      </c>
      <c r="P13" s="31" t="n">
        <f aca="false">MAX(0,MIN(0.9,Baseline!E13+Assumptions!$G$20))</f>
        <v>0.0794971979963994</v>
      </c>
      <c r="Q13" s="49" t="n">
        <f aca="false">O13/(1-P13)</f>
        <v>486906.514218674</v>
      </c>
      <c r="R13" s="49" t="n">
        <f aca="false">Q13-O13</f>
        <v>38707.7035665786</v>
      </c>
      <c r="S13" s="31" t="n">
        <f aca="false">MAX(0,Baseline!F13+Assumptions!$G$21)</f>
        <v>0.254978271906444</v>
      </c>
      <c r="T13" s="49" t="n">
        <f aca="false">O13*S13</f>
        <v>114280.958210595</v>
      </c>
      <c r="U13" s="49" t="n">
        <f aca="false">O13-T13</f>
        <v>333917.852441501</v>
      </c>
      <c r="V13" s="21" t="n">
        <f aca="false">M13*Baseline!D13</f>
        <v>10816.406551244</v>
      </c>
      <c r="W13" s="55" t="n">
        <f aca="false">IFERROR(T13/N13,0)</f>
        <v>1481.41993357066</v>
      </c>
      <c r="X13" s="21" t="n">
        <f aca="false">M13*Baseline!G13</f>
        <v>2106.81116047092</v>
      </c>
      <c r="Y13" s="49" t="n">
        <f aca="false">IFERROR(O13*I13/J13,0)</f>
        <v>30945.9920930706</v>
      </c>
      <c r="Z13" s="55" t="n">
        <f aca="false">V13*S13</f>
        <v>2757.94865067375</v>
      </c>
    </row>
    <row r="14" customFormat="false" ht="15" hidden="false" customHeight="false" outlineLevel="0" collapsed="false">
      <c r="A14" s="13" t="n">
        <v>9</v>
      </c>
      <c r="B14" s="14" t="str">
        <f aca="false">Calendar!D14</f>
        <v>P3</v>
      </c>
      <c r="C14" s="14" t="str">
        <f aca="false">Calendar!F14&amp;""</f>
        <v/>
      </c>
      <c r="D14" s="21" t="n">
        <f aca="false">'Media Plan'!H14</f>
        <v>73383.1600686382</v>
      </c>
      <c r="E14" s="21" t="n">
        <f aca="false">'Media Plan'!N14</f>
        <v>47110.3090789765</v>
      </c>
      <c r="F14" s="21" t="n">
        <f aca="false">'Media Plan'!T14</f>
        <v>14448.3865752162</v>
      </c>
      <c r="G14" s="21" t="n">
        <f aca="false">'History Y-1'!$F$58*(1+Assumptions!$G$6)*Baseline!Q14</f>
        <v>128332.158021013</v>
      </c>
      <c r="H14" s="21" t="n">
        <f aca="false">'History Y-1'!$G$58*(1+Assumptions!$G$7)*Baseline!R14</f>
        <v>33735.3099027277</v>
      </c>
      <c r="I14" s="21" t="n">
        <f aca="false">'History Y-1'!$H$58*(1+Assumptions!$G$8)*Baseline!S14</f>
        <v>21533.5250243501</v>
      </c>
      <c r="J14" s="55" t="n">
        <f aca="false">SUM(D14:I14)</f>
        <v>318542.848670922</v>
      </c>
      <c r="K14" s="29" t="n">
        <f aca="false">Baseline!B14*(1+Assumptions!$G$18)</f>
        <v>0.0216490887275402</v>
      </c>
      <c r="L14" s="31" t="n">
        <f aca="false">Calendar!G14</f>
        <v>0</v>
      </c>
      <c r="M14" s="55" t="n">
        <f aca="false">J14*K14*(1+L14)</f>
        <v>6896.1623944002</v>
      </c>
      <c r="N14" s="23" t="n">
        <f aca="false">Baseline!C14*(1+Assumptions!$G$19)</f>
        <v>76.2954364899872</v>
      </c>
      <c r="O14" s="49" t="n">
        <f aca="false">M14*N14</f>
        <v>526145.719986598</v>
      </c>
      <c r="P14" s="31" t="n">
        <f aca="false">MAX(0,MIN(0.9,Baseline!E14+Assumptions!$G$20))</f>
        <v>0.082405820674153</v>
      </c>
      <c r="Q14" s="49" t="n">
        <f aca="false">O14/(1-P14)</f>
        <v>573396.96768037</v>
      </c>
      <c r="R14" s="49" t="n">
        <f aca="false">Q14-O14</f>
        <v>47251.2476937716</v>
      </c>
      <c r="S14" s="31" t="n">
        <f aca="false">MAX(0,Baseline!F14+Assumptions!$G$21)</f>
        <v>0.253287307330355</v>
      </c>
      <c r="T14" s="49" t="n">
        <f aca="false">O14*S14</f>
        <v>133266.032678796</v>
      </c>
      <c r="U14" s="49" t="n">
        <f aca="false">O14-T14</f>
        <v>392879.687307802</v>
      </c>
      <c r="V14" s="21" t="n">
        <f aca="false">M14*Baseline!D14</f>
        <v>13191.5497851945</v>
      </c>
      <c r="W14" s="55" t="n">
        <f aca="false">IFERROR(T14/N14,0)</f>
        <v>1746.71040379048</v>
      </c>
      <c r="X14" s="21" t="n">
        <f aca="false">M14*Baseline!G14</f>
        <v>2375.78299278424</v>
      </c>
      <c r="Y14" s="49" t="n">
        <f aca="false">IFERROR(O14*I14/J14,0)</f>
        <v>35567.4976696482</v>
      </c>
      <c r="Z14" s="55" t="n">
        <f aca="false">V14*S14</f>
        <v>3341.25212460623</v>
      </c>
    </row>
    <row r="15" customFormat="false" ht="15" hidden="false" customHeight="false" outlineLevel="0" collapsed="false">
      <c r="A15" s="13" t="n">
        <v>10</v>
      </c>
      <c r="B15" s="14" t="str">
        <f aca="false">Calendar!D15</f>
        <v>P3</v>
      </c>
      <c r="C15" s="14" t="str">
        <f aca="false">Calendar!F15&amp;""</f>
        <v>Spring launch</v>
      </c>
      <c r="D15" s="21" t="n">
        <f aca="false">'Media Plan'!H15</f>
        <v>71000.763036394</v>
      </c>
      <c r="E15" s="21" t="n">
        <f aca="false">'Media Plan'!N15</f>
        <v>46603.4602001548</v>
      </c>
      <c r="F15" s="21" t="n">
        <f aca="false">'Media Plan'!T15</f>
        <v>15289.157566247</v>
      </c>
      <c r="G15" s="21" t="n">
        <f aca="false">'History Y-1'!$F$58*(1+Assumptions!$G$6)*Baseline!Q15</f>
        <v>120883.409752183</v>
      </c>
      <c r="H15" s="21" t="n">
        <f aca="false">'History Y-1'!$G$58*(1+Assumptions!$G$7)*Baseline!R15</f>
        <v>32310.4658811407</v>
      </c>
      <c r="I15" s="21" t="n">
        <f aca="false">'History Y-1'!$H$58*(1+Assumptions!$G$8)*Baseline!S15</f>
        <v>20144.0689465106</v>
      </c>
      <c r="J15" s="55" t="n">
        <f aca="false">SUM(D15:I15)</f>
        <v>306231.32538263</v>
      </c>
      <c r="K15" s="29" t="n">
        <f aca="false">Baseline!B15*(1+Assumptions!$G$18)</f>
        <v>0.0218297813239999</v>
      </c>
      <c r="L15" s="31" t="n">
        <f aca="false">Calendar!G15</f>
        <v>0</v>
      </c>
      <c r="M15" s="55" t="n">
        <f aca="false">J15*K15*(1+L15)</f>
        <v>6684.96286766148</v>
      </c>
      <c r="N15" s="23" t="n">
        <f aca="false">Baseline!C15*(1+Assumptions!$G$19)</f>
        <v>77.1276817775135</v>
      </c>
      <c r="O15" s="49" t="n">
        <f aca="false">M15*N15</f>
        <v>515595.688751488</v>
      </c>
      <c r="P15" s="31" t="n">
        <f aca="false">MAX(0,MIN(0.9,Baseline!E15+Assumptions!$G$20))</f>
        <v>0.0789715642970281</v>
      </c>
      <c r="Q15" s="49" t="n">
        <f aca="false">O15/(1-P15)</f>
        <v>559804.310882065</v>
      </c>
      <c r="R15" s="49" t="n">
        <f aca="false">Q15-O15</f>
        <v>44208.6221305765</v>
      </c>
      <c r="S15" s="31" t="n">
        <f aca="false">MAX(0,Baseline!F15+Assumptions!$G$21)</f>
        <v>0.259779330718454</v>
      </c>
      <c r="T15" s="49" t="n">
        <f aca="false">O15*S15</f>
        <v>133941.102945182</v>
      </c>
      <c r="U15" s="49" t="n">
        <f aca="false">O15-T15</f>
        <v>381654.585806306</v>
      </c>
      <c r="V15" s="21" t="n">
        <f aca="false">M15*Baseline!D15</f>
        <v>12905.4112716424</v>
      </c>
      <c r="W15" s="55" t="n">
        <f aca="false">IFERROR(T15/N15,0)</f>
        <v>1736.61517963881</v>
      </c>
      <c r="X15" s="21" t="n">
        <f aca="false">M15*Baseline!G15</f>
        <v>3082.03218661037</v>
      </c>
      <c r="Y15" s="49" t="n">
        <f aca="false">IFERROR(O15*I15/J15,0)</f>
        <v>33916.174610015</v>
      </c>
      <c r="Z15" s="55" t="n">
        <f aca="false">V15*S15</f>
        <v>3352.55910279365</v>
      </c>
    </row>
    <row r="16" customFormat="false" ht="15" hidden="false" customHeight="false" outlineLevel="0" collapsed="false">
      <c r="A16" s="13" t="n">
        <v>11</v>
      </c>
      <c r="B16" s="14" t="str">
        <f aca="false">Calendar!D16</f>
        <v>P3</v>
      </c>
      <c r="C16" s="14" t="str">
        <f aca="false">Calendar!F16&amp;""</f>
        <v/>
      </c>
      <c r="D16" s="21" t="n">
        <f aca="false">'Media Plan'!H16</f>
        <v>75982.3003959198</v>
      </c>
      <c r="E16" s="21" t="n">
        <f aca="false">'Media Plan'!N16</f>
        <v>46481.9155662576</v>
      </c>
      <c r="F16" s="21" t="n">
        <f aca="false">'Media Plan'!T16</f>
        <v>15112.3537128333</v>
      </c>
      <c r="G16" s="21" t="n">
        <f aca="false">'History Y-1'!$F$58*(1+Assumptions!$G$6)*Baseline!Q16</f>
        <v>125295.82635867</v>
      </c>
      <c r="H16" s="21" t="n">
        <f aca="false">'History Y-1'!$G$58*(1+Assumptions!$G$7)*Baseline!R16</f>
        <v>33719.880289172</v>
      </c>
      <c r="I16" s="21" t="n">
        <f aca="false">'History Y-1'!$H$58*(1+Assumptions!$G$8)*Baseline!S16</f>
        <v>21382.4566255976</v>
      </c>
      <c r="J16" s="55" t="n">
        <f aca="false">SUM(D16:I16)</f>
        <v>317974.73294845</v>
      </c>
      <c r="K16" s="29" t="n">
        <f aca="false">Baseline!B16*(1+Assumptions!$G$18)</f>
        <v>0.0220447056486497</v>
      </c>
      <c r="L16" s="31" t="n">
        <f aca="false">Calendar!G16</f>
        <v>0</v>
      </c>
      <c r="M16" s="55" t="n">
        <f aca="false">J16*K16*(1+L16)</f>
        <v>7009.65939155658</v>
      </c>
      <c r="N16" s="23" t="n">
        <f aca="false">Baseline!C16*(1+Assumptions!$G$19)</f>
        <v>75.872331831368</v>
      </c>
      <c r="O16" s="49" t="n">
        <f aca="false">M16*N16</f>
        <v>531839.203381046</v>
      </c>
      <c r="P16" s="31" t="n">
        <f aca="false">MAX(0,MIN(0.9,Baseline!E16+Assumptions!$G$20))</f>
        <v>0.0797780632675516</v>
      </c>
      <c r="Q16" s="49" t="n">
        <f aca="false">O16/(1-P16)</f>
        <v>577946.669332309</v>
      </c>
      <c r="R16" s="49" t="n">
        <f aca="false">Q16-O16</f>
        <v>46107.4659512637</v>
      </c>
      <c r="S16" s="31" t="n">
        <f aca="false">MAX(0,Baseline!F16+Assumptions!$G$21)</f>
        <v>0.267338092206024</v>
      </c>
      <c r="T16" s="49" t="n">
        <f aca="false">O16*S16</f>
        <v>142180.87799226</v>
      </c>
      <c r="U16" s="49" t="n">
        <f aca="false">O16-T16</f>
        <v>389658.325388785</v>
      </c>
      <c r="V16" s="21" t="n">
        <f aca="false">M16*Baseline!D16</f>
        <v>13065.5654257733</v>
      </c>
      <c r="W16" s="55" t="n">
        <f aca="false">IFERROR(T16/N16,0)</f>
        <v>1873.94896875277</v>
      </c>
      <c r="X16" s="21" t="n">
        <f aca="false">M16*Baseline!G16</f>
        <v>2454.68862599201</v>
      </c>
      <c r="Y16" s="49" t="n">
        <f aca="false">IFERROR(O16*I16/J16,0)</f>
        <v>35763.9381992381</v>
      </c>
      <c r="Z16" s="55" t="n">
        <f aca="false">V16*S16</f>
        <v>3492.92333451921</v>
      </c>
    </row>
    <row r="17" customFormat="false" ht="15" hidden="false" customHeight="false" outlineLevel="0" collapsed="false">
      <c r="A17" s="13" t="n">
        <v>12</v>
      </c>
      <c r="B17" s="14" t="str">
        <f aca="false">Calendar!D17</f>
        <v>P3</v>
      </c>
      <c r="C17" s="14" t="str">
        <f aca="false">Calendar!F17&amp;""</f>
        <v/>
      </c>
      <c r="D17" s="21" t="n">
        <f aca="false">'Media Plan'!H17</f>
        <v>75263.555166307</v>
      </c>
      <c r="E17" s="21" t="n">
        <f aca="false">'Media Plan'!N17</f>
        <v>50977.2134953181</v>
      </c>
      <c r="F17" s="21" t="n">
        <f aca="false">'Media Plan'!T17</f>
        <v>15550.5692173859</v>
      </c>
      <c r="G17" s="21" t="n">
        <f aca="false">'History Y-1'!$F$58*(1+Assumptions!$G$6)*Baseline!Q17</f>
        <v>120969.812186624</v>
      </c>
      <c r="H17" s="21" t="n">
        <f aca="false">'History Y-1'!$G$58*(1+Assumptions!$G$7)*Baseline!R17</f>
        <v>34225.938784325</v>
      </c>
      <c r="I17" s="21" t="n">
        <f aca="false">'History Y-1'!$H$58*(1+Assumptions!$G$8)*Baseline!S17</f>
        <v>20261.7978265486</v>
      </c>
      <c r="J17" s="55" t="n">
        <f aca="false">SUM(D17:I17)</f>
        <v>317248.886676508</v>
      </c>
      <c r="K17" s="29" t="n">
        <f aca="false">Baseline!B17*(1+Assumptions!$G$18)</f>
        <v>0.0215534649625705</v>
      </c>
      <c r="L17" s="31" t="n">
        <f aca="false">Calendar!G17</f>
        <v>0</v>
      </c>
      <c r="M17" s="55" t="n">
        <f aca="false">J17*K17*(1+L17)</f>
        <v>6837.81276339661</v>
      </c>
      <c r="N17" s="23" t="n">
        <f aca="false">Baseline!C17*(1+Assumptions!$G$19)</f>
        <v>74.1854586380475</v>
      </c>
      <c r="O17" s="49" t="n">
        <f aca="false">M17*N17</f>
        <v>507266.275933672</v>
      </c>
      <c r="P17" s="31" t="n">
        <f aca="false">MAX(0,MIN(0.9,Baseline!E17+Assumptions!$G$20))</f>
        <v>0.0820858914901117</v>
      </c>
      <c r="Q17" s="49" t="n">
        <f aca="false">O17/(1-P17)</f>
        <v>552629.348683998</v>
      </c>
      <c r="R17" s="49" t="n">
        <f aca="false">Q17-O17</f>
        <v>45363.0727503258</v>
      </c>
      <c r="S17" s="31" t="n">
        <f aca="false">MAX(0,Baseline!F17+Assumptions!$G$21)</f>
        <v>0.267646799119499</v>
      </c>
      <c r="T17" s="49" t="n">
        <f aca="false">O17*S17</f>
        <v>135768.195054916</v>
      </c>
      <c r="U17" s="49" t="n">
        <f aca="false">O17-T17</f>
        <v>371498.080878756</v>
      </c>
      <c r="V17" s="21" t="n">
        <f aca="false">M17*Baseline!D17</f>
        <v>12835.8864640317</v>
      </c>
      <c r="W17" s="55" t="n">
        <f aca="false">IFERROR(T17/N17,0)</f>
        <v>1830.11869910156</v>
      </c>
      <c r="X17" s="21" t="n">
        <f aca="false">M17*Baseline!G17</f>
        <v>2314.04386934036</v>
      </c>
      <c r="Y17" s="49" t="n">
        <f aca="false">IFERROR(O17*I17/J17,0)</f>
        <v>32397.6762688364</v>
      </c>
      <c r="Z17" s="55" t="n">
        <f aca="false">V17*S17</f>
        <v>3435.48392595939</v>
      </c>
    </row>
    <row r="18" customFormat="false" ht="15" hidden="false" customHeight="false" outlineLevel="0" collapsed="false">
      <c r="A18" s="13" t="n">
        <v>13</v>
      </c>
      <c r="B18" s="14" t="str">
        <f aca="false">Calendar!D18</f>
        <v>P3</v>
      </c>
      <c r="C18" s="14" t="str">
        <f aca="false">Calendar!F18&amp;""</f>
        <v/>
      </c>
      <c r="D18" s="21" t="n">
        <f aca="false">'Media Plan'!H18</f>
        <v>70042.5268738253</v>
      </c>
      <c r="E18" s="21" t="n">
        <f aca="false">'Media Plan'!N18</f>
        <v>47813.6502540685</v>
      </c>
      <c r="F18" s="21" t="n">
        <f aca="false">'Media Plan'!T18</f>
        <v>14492.7514501193</v>
      </c>
      <c r="G18" s="21" t="n">
        <f aca="false">'History Y-1'!$F$58*(1+Assumptions!$G$6)*Baseline!Q18</f>
        <v>124616.549994955</v>
      </c>
      <c r="H18" s="21" t="n">
        <f aca="false">'History Y-1'!$G$58*(1+Assumptions!$G$7)*Baseline!R18</f>
        <v>31910.8987529079</v>
      </c>
      <c r="I18" s="21" t="n">
        <f aca="false">'History Y-1'!$H$58*(1+Assumptions!$G$8)*Baseline!S18</f>
        <v>21287.0337439565</v>
      </c>
      <c r="J18" s="55" t="n">
        <f aca="false">SUM(D18:I18)</f>
        <v>310163.411069832</v>
      </c>
      <c r="K18" s="29" t="n">
        <f aca="false">Baseline!B18*(1+Assumptions!$G$18)</f>
        <v>0.0214783479335509</v>
      </c>
      <c r="L18" s="31" t="n">
        <f aca="false">Calendar!G18</f>
        <v>0</v>
      </c>
      <c r="M18" s="55" t="n">
        <f aca="false">J18*K18*(1+L18)</f>
        <v>6661.79765921482</v>
      </c>
      <c r="N18" s="23" t="n">
        <f aca="false">Baseline!C18*(1+Assumptions!$G$19)</f>
        <v>76.7587974953888</v>
      </c>
      <c r="O18" s="49" t="n">
        <f aca="false">M18*N18</f>
        <v>511351.577478925</v>
      </c>
      <c r="P18" s="31" t="n">
        <f aca="false">MAX(0,MIN(0.9,Baseline!E18+Assumptions!$G$20))</f>
        <v>0.0826368635711652</v>
      </c>
      <c r="Q18" s="49" t="n">
        <f aca="false">O18/(1-P18)</f>
        <v>557414.569185268</v>
      </c>
      <c r="R18" s="49" t="n">
        <f aca="false">Q18-O18</f>
        <v>46062.9917063428</v>
      </c>
      <c r="S18" s="31" t="n">
        <f aca="false">MAX(0,Baseline!F18+Assumptions!$G$21)</f>
        <v>0.256998513757347</v>
      </c>
      <c r="T18" s="49" t="n">
        <f aca="false">O18*S18</f>
        <v>131416.595419558</v>
      </c>
      <c r="U18" s="49" t="n">
        <f aca="false">O18-T18</f>
        <v>379934.982059367</v>
      </c>
      <c r="V18" s="21" t="n">
        <f aca="false">M18*Baseline!D18</f>
        <v>12539.0318796518</v>
      </c>
      <c r="W18" s="55" t="n">
        <f aca="false">IFERROR(T18/N18,0)</f>
        <v>1712.07209737038</v>
      </c>
      <c r="X18" s="21" t="n">
        <f aca="false">M18*Baseline!G18</f>
        <v>2320.04709670982</v>
      </c>
      <c r="Y18" s="49" t="n">
        <f aca="false">IFERROR(O18*I18/J18,0)</f>
        <v>35094.9141527481</v>
      </c>
      <c r="Z18" s="55" t="n">
        <f aca="false">V18*S18</f>
        <v>3222.51255702651</v>
      </c>
    </row>
    <row r="19" customFormat="false" ht="15" hidden="false" customHeight="false" outlineLevel="0" collapsed="false">
      <c r="A19" s="13" t="n">
        <v>14</v>
      </c>
      <c r="B19" s="14" t="str">
        <f aca="false">Calendar!D19</f>
        <v>P4</v>
      </c>
      <c r="C19" s="14" t="str">
        <f aca="false">Calendar!F19&amp;""</f>
        <v/>
      </c>
      <c r="D19" s="21" t="n">
        <f aca="false">'Media Plan'!H19</f>
        <v>78010.6431896612</v>
      </c>
      <c r="E19" s="21" t="n">
        <f aca="false">'Media Plan'!N19</f>
        <v>48413.5945747601</v>
      </c>
      <c r="F19" s="21" t="n">
        <f aca="false">'Media Plan'!T19</f>
        <v>15430.5541188875</v>
      </c>
      <c r="G19" s="21" t="n">
        <f aca="false">'History Y-1'!$F$58*(1+Assumptions!$G$6)*Baseline!Q19</f>
        <v>130252.911471242</v>
      </c>
      <c r="H19" s="21" t="n">
        <f aca="false">'History Y-1'!$G$58*(1+Assumptions!$G$7)*Baseline!R19</f>
        <v>36045.1011087347</v>
      </c>
      <c r="I19" s="21" t="n">
        <f aca="false">'History Y-1'!$H$58*(1+Assumptions!$G$8)*Baseline!S19</f>
        <v>22359.1459059554</v>
      </c>
      <c r="J19" s="55" t="n">
        <f aca="false">SUM(D19:I19)</f>
        <v>330511.950369241</v>
      </c>
      <c r="K19" s="29" t="n">
        <f aca="false">Baseline!B19*(1+Assumptions!$G$18)</f>
        <v>0.0219569698270599</v>
      </c>
      <c r="L19" s="31" t="n">
        <f aca="false">Calendar!G19</f>
        <v>0</v>
      </c>
      <c r="M19" s="55" t="n">
        <f aca="false">J19*K19*(1+L19)</f>
        <v>7257.04092174014</v>
      </c>
      <c r="N19" s="23" t="n">
        <f aca="false">Baseline!C19*(1+Assumptions!$G$19)</f>
        <v>76.9345577764959</v>
      </c>
      <c r="O19" s="49" t="n">
        <f aca="false">M19*N19</f>
        <v>558317.234080012</v>
      </c>
      <c r="P19" s="31" t="n">
        <f aca="false">MAX(0,MIN(0.9,Baseline!E19+Assumptions!$G$20))</f>
        <v>0.0782264682320803</v>
      </c>
      <c r="Q19" s="49" t="n">
        <f aca="false">O19/(1-P19)</f>
        <v>605698.921522713</v>
      </c>
      <c r="R19" s="49" t="n">
        <f aca="false">Q19-O19</f>
        <v>47381.6874427019</v>
      </c>
      <c r="S19" s="31" t="n">
        <f aca="false">MAX(0,Baseline!F19+Assumptions!$G$21)</f>
        <v>0.258401284826854</v>
      </c>
      <c r="T19" s="49" t="n">
        <f aca="false">O19*S19</f>
        <v>144269.89062725</v>
      </c>
      <c r="U19" s="49" t="n">
        <f aca="false">O19-T19</f>
        <v>414047.343452761</v>
      </c>
      <c r="V19" s="21" t="n">
        <f aca="false">M19*Baseline!D19</f>
        <v>13537.6675875071</v>
      </c>
      <c r="W19" s="55" t="n">
        <f aca="false">IFERROR(T19/N19,0)</f>
        <v>1875.22869821871</v>
      </c>
      <c r="X19" s="21" t="n">
        <f aca="false">M19*Baseline!G19</f>
        <v>2532.25690131129</v>
      </c>
      <c r="Y19" s="49" t="n">
        <f aca="false">IFERROR(O19*I19/J19,0)</f>
        <v>37770.1819394371</v>
      </c>
      <c r="Z19" s="55" t="n">
        <f aca="false">V19*S19</f>
        <v>3498.1506981707</v>
      </c>
    </row>
    <row r="20" customFormat="false" ht="15" hidden="false" customHeight="false" outlineLevel="0" collapsed="false">
      <c r="A20" s="13" t="n">
        <v>15</v>
      </c>
      <c r="B20" s="14" t="str">
        <f aca="false">Calendar!D20</f>
        <v>P4</v>
      </c>
      <c r="C20" s="14" t="str">
        <f aca="false">Calendar!F20&amp;""</f>
        <v/>
      </c>
      <c r="D20" s="21" t="n">
        <f aca="false">'Media Plan'!H20</f>
        <v>78297.7276022536</v>
      </c>
      <c r="E20" s="21" t="n">
        <f aca="false">'Media Plan'!N20</f>
        <v>47577.7277244027</v>
      </c>
      <c r="F20" s="21" t="n">
        <f aca="false">'Media Plan'!T20</f>
        <v>15441.6680660964</v>
      </c>
      <c r="G20" s="21" t="n">
        <f aca="false">'History Y-1'!$F$58*(1+Assumptions!$G$6)*Baseline!Q20</f>
        <v>127782.383676827</v>
      </c>
      <c r="H20" s="21" t="n">
        <f aca="false">'History Y-1'!$G$58*(1+Assumptions!$G$7)*Baseline!R20</f>
        <v>34543.0072695684</v>
      </c>
      <c r="I20" s="21" t="n">
        <f aca="false">'History Y-1'!$H$58*(1+Assumptions!$G$8)*Baseline!S20</f>
        <v>21455.2324251845</v>
      </c>
      <c r="J20" s="55" t="n">
        <f aca="false">SUM(D20:I20)</f>
        <v>325097.746764333</v>
      </c>
      <c r="K20" s="29" t="n">
        <f aca="false">Baseline!B20*(1+Assumptions!$G$18)</f>
        <v>0.0216161794988217</v>
      </c>
      <c r="L20" s="31" t="n">
        <f aca="false">Calendar!G20</f>
        <v>0</v>
      </c>
      <c r="M20" s="55" t="n">
        <f aca="false">J20*K20*(1+L20)</f>
        <v>7027.37124872031</v>
      </c>
      <c r="N20" s="23" t="n">
        <f aca="false">Baseline!C20*(1+Assumptions!$G$19)</f>
        <v>77.7163154592077</v>
      </c>
      <c r="O20" s="49" t="n">
        <f aca="false">M20*N20</f>
        <v>546141.400814514</v>
      </c>
      <c r="P20" s="31" t="n">
        <f aca="false">MAX(0,MIN(0.9,Baseline!E20+Assumptions!$G$20))</f>
        <v>0.0775871775762531</v>
      </c>
      <c r="Q20" s="49" t="n">
        <f aca="false">O20/(1-P20)</f>
        <v>592079.15104591</v>
      </c>
      <c r="R20" s="49" t="n">
        <f aca="false">Q20-O20</f>
        <v>45937.7502313962</v>
      </c>
      <c r="S20" s="31" t="n">
        <f aca="false">MAX(0,Baseline!F20+Assumptions!$G$21)</f>
        <v>0.257247648462997</v>
      </c>
      <c r="T20" s="49" t="n">
        <f aca="false">O20*S20</f>
        <v>140493.591087821</v>
      </c>
      <c r="U20" s="49" t="n">
        <f aca="false">O20-T20</f>
        <v>405647.809726693</v>
      </c>
      <c r="V20" s="21" t="n">
        <f aca="false">M20*Baseline!D20</f>
        <v>13388.5563583249</v>
      </c>
      <c r="W20" s="55" t="n">
        <f aca="false">IFERROR(T20/N20,0)</f>
        <v>1807.77472860977</v>
      </c>
      <c r="X20" s="21" t="n">
        <f aca="false">M20*Baseline!G20</f>
        <v>2432.60645375125</v>
      </c>
      <c r="Y20" s="49" t="n">
        <f aca="false">IFERROR(O20*I20/J20,0)</f>
        <v>36043.2848523723</v>
      </c>
      <c r="Z20" s="55" t="n">
        <f aca="false">V20*S20</f>
        <v>3444.17463949338</v>
      </c>
    </row>
    <row r="21" customFormat="false" ht="15" hidden="false" customHeight="false" outlineLevel="0" collapsed="false">
      <c r="A21" s="13" t="n">
        <v>16</v>
      </c>
      <c r="B21" s="14" t="str">
        <f aca="false">Calendar!D21</f>
        <v>P4</v>
      </c>
      <c r="C21" s="14" t="str">
        <f aca="false">Calendar!F21&amp;""</f>
        <v/>
      </c>
      <c r="D21" s="21" t="n">
        <f aca="false">'Media Plan'!H21</f>
        <v>75699.1797108834</v>
      </c>
      <c r="E21" s="21" t="n">
        <f aca="false">'Media Plan'!N21</f>
        <v>48847.2305534634</v>
      </c>
      <c r="F21" s="21" t="n">
        <f aca="false">'Media Plan'!T21</f>
        <v>16366.8867253368</v>
      </c>
      <c r="G21" s="21" t="n">
        <f aca="false">'History Y-1'!$F$58*(1+Assumptions!$G$6)*Baseline!Q21</f>
        <v>131512.862958741</v>
      </c>
      <c r="H21" s="21" t="n">
        <f aca="false">'History Y-1'!$G$58*(1+Assumptions!$G$7)*Baseline!R21</f>
        <v>36451.8054309481</v>
      </c>
      <c r="I21" s="21" t="n">
        <f aca="false">'History Y-1'!$H$58*(1+Assumptions!$G$8)*Baseline!S21</f>
        <v>22854.8561462462</v>
      </c>
      <c r="J21" s="55" t="n">
        <f aca="false">SUM(D21:I21)</f>
        <v>331732.821525619</v>
      </c>
      <c r="K21" s="29" t="n">
        <f aca="false">Baseline!B21*(1+Assumptions!$G$18)</f>
        <v>0.0217565755937496</v>
      </c>
      <c r="L21" s="31" t="n">
        <f aca="false">Calendar!G21</f>
        <v>0</v>
      </c>
      <c r="M21" s="55" t="n">
        <f aca="false">J21*K21*(1+L21)</f>
        <v>7217.37020844998</v>
      </c>
      <c r="N21" s="23" t="n">
        <f aca="false">Baseline!C21*(1+Assumptions!$G$19)</f>
        <v>77.7591318402696</v>
      </c>
      <c r="O21" s="49" t="n">
        <f aca="false">M21*N21</f>
        <v>561216.441578896</v>
      </c>
      <c r="P21" s="31" t="n">
        <f aca="false">MAX(0,MIN(0.9,Baseline!E21+Assumptions!$G$20))</f>
        <v>0.0824666775659074</v>
      </c>
      <c r="Q21" s="49" t="n">
        <f aca="false">O21/(1-P21)</f>
        <v>611657.830682448</v>
      </c>
      <c r="R21" s="49" t="n">
        <f aca="false">Q21-O21</f>
        <v>50441.3891035519</v>
      </c>
      <c r="S21" s="31" t="n">
        <f aca="false">MAX(0,Baseline!F21+Assumptions!$G$21)</f>
        <v>0.257869977537873</v>
      </c>
      <c r="T21" s="49" t="n">
        <f aca="false">O21*S21</f>
        <v>144720.871183835</v>
      </c>
      <c r="U21" s="49" t="n">
        <f aca="false">O21-T21</f>
        <v>416495.570395061</v>
      </c>
      <c r="V21" s="21" t="n">
        <f aca="false">M21*Baseline!D21</f>
        <v>13831.741864978</v>
      </c>
      <c r="W21" s="55" t="n">
        <f aca="false">IFERROR(T21/N21,0)</f>
        <v>1861.14309353551</v>
      </c>
      <c r="X21" s="21" t="n">
        <f aca="false">M21*Baseline!G21</f>
        <v>2490.35113887649</v>
      </c>
      <c r="Y21" s="49" t="n">
        <f aca="false">IFERROR(O21*I21/J21,0)</f>
        <v>38665.2155195421</v>
      </c>
      <c r="Z21" s="55" t="n">
        <f aca="false">V21*S21</f>
        <v>3566.79096403152</v>
      </c>
    </row>
    <row r="22" customFormat="false" ht="15" hidden="false" customHeight="false" outlineLevel="0" collapsed="false">
      <c r="A22" s="13" t="n">
        <v>17</v>
      </c>
      <c r="B22" s="14" t="str">
        <f aca="false">Calendar!D22</f>
        <v>P4</v>
      </c>
      <c r="C22" s="14" t="str">
        <f aca="false">Calendar!F22&amp;""</f>
        <v/>
      </c>
      <c r="D22" s="21" t="n">
        <f aca="false">'Media Plan'!H22</f>
        <v>79264.0088437429</v>
      </c>
      <c r="E22" s="21" t="n">
        <f aca="false">'Media Plan'!N22</f>
        <v>51594.2872688899</v>
      </c>
      <c r="F22" s="21" t="n">
        <f aca="false">'Media Plan'!T22</f>
        <v>15350.5628772451</v>
      </c>
      <c r="G22" s="21" t="n">
        <f aca="false">'History Y-1'!$F$58*(1+Assumptions!$G$6)*Baseline!Q22</f>
        <v>129442.959301554</v>
      </c>
      <c r="H22" s="21" t="n">
        <f aca="false">'History Y-1'!$G$58*(1+Assumptions!$G$7)*Baseline!R22</f>
        <v>36081.361370543</v>
      </c>
      <c r="I22" s="21" t="n">
        <f aca="false">'History Y-1'!$H$58*(1+Assumptions!$G$8)*Baseline!S22</f>
        <v>22383.6672524918</v>
      </c>
      <c r="J22" s="55" t="n">
        <f aca="false">SUM(D22:I22)</f>
        <v>334116.846914466</v>
      </c>
      <c r="K22" s="29" t="n">
        <f aca="false">Baseline!B22*(1+Assumptions!$G$18)</f>
        <v>0.0210877320741037</v>
      </c>
      <c r="L22" s="31" t="n">
        <f aca="false">Calendar!G22</f>
        <v>0</v>
      </c>
      <c r="M22" s="55" t="n">
        <f aca="false">J22*K22*(1+L22)</f>
        <v>7045.76654917659</v>
      </c>
      <c r="N22" s="23" t="n">
        <f aca="false">Baseline!C22*(1+Assumptions!$G$19)</f>
        <v>75.9261560410311</v>
      </c>
      <c r="O22" s="49" t="n">
        <f aca="false">M22*N22</f>
        <v>534957.970441459</v>
      </c>
      <c r="P22" s="31" t="n">
        <f aca="false">MAX(0,MIN(0.9,Baseline!E22+Assumptions!$G$20))</f>
        <v>0.0791205885732181</v>
      </c>
      <c r="Q22" s="49" t="n">
        <f aca="false">O22/(1-P22)</f>
        <v>580920.763135112</v>
      </c>
      <c r="R22" s="49" t="n">
        <f aca="false">Q22-O22</f>
        <v>45962.7926936531</v>
      </c>
      <c r="S22" s="31" t="n">
        <f aca="false">MAX(0,Baseline!F22+Assumptions!$G$21)</f>
        <v>0.26626757724974</v>
      </c>
      <c r="T22" s="49" t="n">
        <f aca="false">O22*S22</f>
        <v>142441.962719885</v>
      </c>
      <c r="U22" s="49" t="n">
        <f aca="false">O22-T22</f>
        <v>392516.007721573</v>
      </c>
      <c r="V22" s="21" t="n">
        <f aca="false">M22*Baseline!D22</f>
        <v>13560.375178072</v>
      </c>
      <c r="W22" s="55" t="n">
        <f aca="false">IFERROR(T22/N22,0)</f>
        <v>1876.05918891651</v>
      </c>
      <c r="X22" s="21" t="n">
        <f aca="false">M22*Baseline!G22</f>
        <v>2529.16106345176</v>
      </c>
      <c r="Y22" s="49" t="n">
        <f aca="false">IFERROR(O22*I22/J22,0)</f>
        <v>35838.7232341366</v>
      </c>
      <c r="Z22" s="55" t="n">
        <f aca="false">V22*S22</f>
        <v>3610.68824526274</v>
      </c>
    </row>
    <row r="23" customFormat="false" ht="15" hidden="false" customHeight="false" outlineLevel="0" collapsed="false">
      <c r="A23" s="13" t="n">
        <v>18</v>
      </c>
      <c r="B23" s="14" t="str">
        <f aca="false">Calendar!D23</f>
        <v>P5</v>
      </c>
      <c r="C23" s="14" t="str">
        <f aca="false">Calendar!F23&amp;""</f>
        <v/>
      </c>
      <c r="D23" s="21" t="n">
        <f aca="false">'Media Plan'!H23</f>
        <v>74062.5330995407</v>
      </c>
      <c r="E23" s="21" t="n">
        <f aca="false">'Media Plan'!N23</f>
        <v>47004.7098861165</v>
      </c>
      <c r="F23" s="21" t="n">
        <f aca="false">'Media Plan'!T23</f>
        <v>15274.4998840372</v>
      </c>
      <c r="G23" s="21" t="n">
        <f aca="false">'History Y-1'!$F$58*(1+Assumptions!$G$6)*Baseline!Q23</f>
        <v>130568.820509952</v>
      </c>
      <c r="H23" s="21" t="n">
        <f aca="false">'History Y-1'!$G$58*(1+Assumptions!$G$7)*Baseline!R23</f>
        <v>34010.2741899198</v>
      </c>
      <c r="I23" s="21" t="n">
        <f aca="false">'History Y-1'!$H$58*(1+Assumptions!$G$8)*Baseline!S23</f>
        <v>21285.1168801304</v>
      </c>
      <c r="J23" s="55" t="n">
        <f aca="false">SUM(D23:I23)</f>
        <v>322205.954449697</v>
      </c>
      <c r="K23" s="29" t="n">
        <f aca="false">Baseline!B23*(1+Assumptions!$G$18)</f>
        <v>0.0211353807729893</v>
      </c>
      <c r="L23" s="31" t="n">
        <f aca="false">Calendar!G23</f>
        <v>0</v>
      </c>
      <c r="M23" s="55" t="n">
        <f aca="false">J23*K23*(1+L23)</f>
        <v>6809.94553461879</v>
      </c>
      <c r="N23" s="23" t="n">
        <f aca="false">Baseline!C23*(1+Assumptions!$G$19)</f>
        <v>77.7841662962972</v>
      </c>
      <c r="O23" s="49" t="n">
        <f aca="false">M23*N23</f>
        <v>529705.935933514</v>
      </c>
      <c r="P23" s="31" t="n">
        <f aca="false">MAX(0,MIN(0.9,Baseline!E23+Assumptions!$G$20))</f>
        <v>0.0787994209704977</v>
      </c>
      <c r="Q23" s="49" t="n">
        <f aca="false">O23/(1-P23)</f>
        <v>575016.937670151</v>
      </c>
      <c r="R23" s="49" t="n">
        <f aca="false">Q23-O23</f>
        <v>45311.0017366366</v>
      </c>
      <c r="S23" s="31" t="n">
        <f aca="false">MAX(0,Baseline!F23+Assumptions!$G$21)</f>
        <v>0.255407042600766</v>
      </c>
      <c r="T23" s="49" t="n">
        <f aca="false">O23*S23</f>
        <v>135290.62654485</v>
      </c>
      <c r="U23" s="49" t="n">
        <f aca="false">O23-T23</f>
        <v>394415.309388665</v>
      </c>
      <c r="V23" s="21" t="n">
        <f aca="false">M23*Baseline!D23</f>
        <v>13111.757011308</v>
      </c>
      <c r="W23" s="55" t="n">
        <f aca="false">IFERROR(T23/N23,0)</f>
        <v>1739.30804926928</v>
      </c>
      <c r="X23" s="21" t="n">
        <f aca="false">M23*Baseline!G23</f>
        <v>2404.86120373582</v>
      </c>
      <c r="Y23" s="49" t="n">
        <f aca="false">IFERROR(O23*I23/J23,0)</f>
        <v>34992.6890013572</v>
      </c>
      <c r="Z23" s="55" t="n">
        <f aca="false">V23*S23</f>
        <v>3348.83508155803</v>
      </c>
    </row>
    <row r="24" customFormat="false" ht="15" hidden="false" customHeight="false" outlineLevel="0" collapsed="false">
      <c r="A24" s="13" t="n">
        <v>19</v>
      </c>
      <c r="B24" s="14" t="str">
        <f aca="false">Calendar!D24</f>
        <v>P5</v>
      </c>
      <c r="C24" s="14" t="str">
        <f aca="false">Calendar!F24&amp;""</f>
        <v/>
      </c>
      <c r="D24" s="21" t="n">
        <f aca="false">'Media Plan'!H24</f>
        <v>77701.2778378229</v>
      </c>
      <c r="E24" s="21" t="n">
        <f aca="false">'Media Plan'!N24</f>
        <v>51046.6844592384</v>
      </c>
      <c r="F24" s="21" t="n">
        <f aca="false">'Media Plan'!T24</f>
        <v>16121.3135491004</v>
      </c>
      <c r="G24" s="21" t="n">
        <f aca="false">'History Y-1'!$F$58*(1+Assumptions!$G$6)*Baseline!Q24</f>
        <v>134467.638334756</v>
      </c>
      <c r="H24" s="21" t="n">
        <f aca="false">'History Y-1'!$G$58*(1+Assumptions!$G$7)*Baseline!R24</f>
        <v>34743.9910684697</v>
      </c>
      <c r="I24" s="21" t="n">
        <f aca="false">'History Y-1'!$H$58*(1+Assumptions!$G$8)*Baseline!S24</f>
        <v>21884.7904790918</v>
      </c>
      <c r="J24" s="55" t="n">
        <f aca="false">SUM(D24:I24)</f>
        <v>335965.695728479</v>
      </c>
      <c r="K24" s="29" t="n">
        <f aca="false">Baseline!B24*(1+Assumptions!$G$18)</f>
        <v>0.0221146920423941</v>
      </c>
      <c r="L24" s="31" t="n">
        <f aca="false">Calendar!G24</f>
        <v>0</v>
      </c>
      <c r="M24" s="55" t="n">
        <f aca="false">J24*K24*(1+L24)</f>
        <v>7429.77789784399</v>
      </c>
      <c r="N24" s="23" t="n">
        <f aca="false">Baseline!C24*(1+Assumptions!$G$19)</f>
        <v>77.3175876855651</v>
      </c>
      <c r="O24" s="49" t="n">
        <f aca="false">M24*N24</f>
        <v>574452.504100826</v>
      </c>
      <c r="P24" s="31" t="n">
        <f aca="false">MAX(0,MIN(0.9,Baseline!E24+Assumptions!$G$20))</f>
        <v>0.07985340933346</v>
      </c>
      <c r="Q24" s="49" t="n">
        <f aca="false">O24/(1-P24)</f>
        <v>624305.420383835</v>
      </c>
      <c r="R24" s="49" t="n">
        <f aca="false">Q24-O24</f>
        <v>49852.9162830082</v>
      </c>
      <c r="S24" s="31" t="n">
        <f aca="false">MAX(0,Baseline!F24+Assumptions!$G$21)</f>
        <v>0.264483437794478</v>
      </c>
      <c r="T24" s="49" t="n">
        <f aca="false">O24*S24</f>
        <v>151933.173134233</v>
      </c>
      <c r="U24" s="49" t="n">
        <f aca="false">O24-T24</f>
        <v>422519.330966593</v>
      </c>
      <c r="V24" s="21" t="n">
        <f aca="false">M24*Baseline!D24</f>
        <v>14446.3625971404</v>
      </c>
      <c r="W24" s="55" t="n">
        <f aca="false">IFERROR(T24/N24,0)</f>
        <v>1965.05320047121</v>
      </c>
      <c r="X24" s="21" t="n">
        <f aca="false">M24*Baseline!G24</f>
        <v>2600.60704602103</v>
      </c>
      <c r="Y24" s="49" t="n">
        <f aca="false">IFERROR(O24*I24/J24,0)</f>
        <v>37419.8105707688</v>
      </c>
      <c r="Z24" s="55" t="n">
        <f aca="false">V24*S24</f>
        <v>3820.82364331726</v>
      </c>
    </row>
    <row r="25" customFormat="false" ht="15" hidden="false" customHeight="false" outlineLevel="0" collapsed="false">
      <c r="A25" s="13" t="n">
        <v>20</v>
      </c>
      <c r="B25" s="14" t="str">
        <f aca="false">Calendar!D25</f>
        <v>P5</v>
      </c>
      <c r="C25" s="14" t="str">
        <f aca="false">Calendar!F25&amp;""</f>
        <v/>
      </c>
      <c r="D25" s="21" t="n">
        <f aca="false">'Media Plan'!H25</f>
        <v>79423.1204039837</v>
      </c>
      <c r="E25" s="21" t="n">
        <f aca="false">'Media Plan'!N25</f>
        <v>50126.7528282151</v>
      </c>
      <c r="F25" s="21" t="n">
        <f aca="false">'Media Plan'!T25</f>
        <v>16012.6912392893</v>
      </c>
      <c r="G25" s="21" t="n">
        <f aca="false">'History Y-1'!$F$58*(1+Assumptions!$G$6)*Baseline!Q25</f>
        <v>133632.301963164</v>
      </c>
      <c r="H25" s="21" t="n">
        <f aca="false">'History Y-1'!$G$58*(1+Assumptions!$G$7)*Baseline!R25</f>
        <v>35054.0520008787</v>
      </c>
      <c r="I25" s="21" t="n">
        <f aca="false">'History Y-1'!$H$58*(1+Assumptions!$G$8)*Baseline!S25</f>
        <v>22081.7875532565</v>
      </c>
      <c r="J25" s="55" t="n">
        <f aca="false">SUM(D25:I25)</f>
        <v>336330.705988787</v>
      </c>
      <c r="K25" s="29" t="n">
        <f aca="false">Baseline!B25*(1+Assumptions!$G$18)</f>
        <v>0.0217390246674276</v>
      </c>
      <c r="L25" s="31" t="n">
        <f aca="false">Calendar!G25</f>
        <v>0</v>
      </c>
      <c r="M25" s="55" t="n">
        <f aca="false">J25*K25*(1+L25)</f>
        <v>7311.50151390357</v>
      </c>
      <c r="N25" s="23" t="n">
        <f aca="false">Baseline!C25*(1+Assumptions!$G$19)</f>
        <v>76.1151775579747</v>
      </c>
      <c r="O25" s="49" t="n">
        <f aca="false">M25*N25</f>
        <v>556516.235946171</v>
      </c>
      <c r="P25" s="31" t="n">
        <f aca="false">MAX(0,MIN(0.9,Baseline!E25+Assumptions!$G$20))</f>
        <v>0.0806176457412808</v>
      </c>
      <c r="Q25" s="49" t="n">
        <f aca="false">O25/(1-P25)</f>
        <v>605315.333025811</v>
      </c>
      <c r="R25" s="49" t="n">
        <f aca="false">Q25-O25</f>
        <v>48799.0970796403</v>
      </c>
      <c r="S25" s="31" t="n">
        <f aca="false">MAX(0,Baseline!F25+Assumptions!$G$21)</f>
        <v>0.262434612603968</v>
      </c>
      <c r="T25" s="49" t="n">
        <f aca="false">O25*S25</f>
        <v>146049.122788352</v>
      </c>
      <c r="U25" s="49" t="n">
        <f aca="false">O25-T25</f>
        <v>410467.113157819</v>
      </c>
      <c r="V25" s="21" t="n">
        <f aca="false">M25*Baseline!D25</f>
        <v>14231.5790451194</v>
      </c>
      <c r="W25" s="55" t="n">
        <f aca="false">IFERROR(T25/N25,0)</f>
        <v>1918.79106735461</v>
      </c>
      <c r="X25" s="21" t="n">
        <f aca="false">M25*Baseline!G25</f>
        <v>2601.18498211727</v>
      </c>
      <c r="Y25" s="49" t="n">
        <f aca="false">IFERROR(O25*I25/J25,0)</f>
        <v>36538.0652830165</v>
      </c>
      <c r="Z25" s="55" t="n">
        <f aca="false">V25*S25</f>
        <v>3734.85893344865</v>
      </c>
    </row>
    <row r="26" customFormat="false" ht="15" hidden="false" customHeight="false" outlineLevel="0" collapsed="false">
      <c r="A26" s="13" t="n">
        <v>21</v>
      </c>
      <c r="B26" s="14" t="str">
        <f aca="false">Calendar!D26</f>
        <v>P5</v>
      </c>
      <c r="C26" s="14" t="str">
        <f aca="false">Calendar!F26&amp;""</f>
        <v>Summer sale launch</v>
      </c>
      <c r="D26" s="21" t="n">
        <f aca="false">'Media Plan'!H26</f>
        <v>105441.626428449</v>
      </c>
      <c r="E26" s="21" t="n">
        <f aca="false">'Media Plan'!N26</f>
        <v>69562.3454037058</v>
      </c>
      <c r="F26" s="21" t="n">
        <f aca="false">'Media Plan'!T26</f>
        <v>20606.2081380528</v>
      </c>
      <c r="G26" s="21" t="n">
        <f aca="false">'History Y-1'!$F$58*(1+Assumptions!$G$6)*Baseline!Q26</f>
        <v>179156.478007533</v>
      </c>
      <c r="H26" s="21" t="n">
        <f aca="false">'History Y-1'!$G$58*(1+Assumptions!$G$7)*Baseline!R26</f>
        <v>78258.7656407209</v>
      </c>
      <c r="I26" s="21" t="n">
        <f aca="false">'History Y-1'!$H$58*(1+Assumptions!$G$8)*Baseline!S26</f>
        <v>29683.7587183141</v>
      </c>
      <c r="J26" s="55" t="n">
        <f aca="false">SUM(D26:I26)</f>
        <v>482709.182336775</v>
      </c>
      <c r="K26" s="29" t="n">
        <f aca="false">Baseline!B26*(1+Assumptions!$G$18)</f>
        <v>0.0262528358969746</v>
      </c>
      <c r="L26" s="31" t="n">
        <f aca="false">Calendar!G26</f>
        <v>0</v>
      </c>
      <c r="M26" s="55" t="n">
        <f aca="false">J26*K26*(1+L26)</f>
        <v>12672.4849498501</v>
      </c>
      <c r="N26" s="23" t="n">
        <f aca="false">Baseline!C26*(1+Assumptions!$G$19)</f>
        <v>68.8334349947254</v>
      </c>
      <c r="O26" s="49" t="n">
        <f aca="false">M26*N26</f>
        <v>872290.669017146</v>
      </c>
      <c r="P26" s="31" t="n">
        <f aca="false">MAX(0,MIN(0.9,Baseline!E26+Assumptions!$G$20))</f>
        <v>0.315129204534006</v>
      </c>
      <c r="Q26" s="49" t="n">
        <f aca="false">O26/(1-P26)</f>
        <v>1273657.27198753</v>
      </c>
      <c r="R26" s="49" t="n">
        <f aca="false">Q26-O26</f>
        <v>401366.602970382</v>
      </c>
      <c r="S26" s="31" t="n">
        <f aca="false">MAX(0,Baseline!F26+Assumptions!$G$21)</f>
        <v>0.229097918862144</v>
      </c>
      <c r="T26" s="49" t="n">
        <f aca="false">O26*S26</f>
        <v>199839.976914696</v>
      </c>
      <c r="U26" s="49" t="n">
        <f aca="false">O26-T26</f>
        <v>672450.692102451</v>
      </c>
      <c r="V26" s="21" t="n">
        <f aca="false">M26*Baseline!D26</f>
        <v>24188.2546987583</v>
      </c>
      <c r="W26" s="55" t="n">
        <f aca="false">IFERROR(T26/N26,0)</f>
        <v>2903.23992882251</v>
      </c>
      <c r="X26" s="21" t="n">
        <f aca="false">M26*Baseline!G26</f>
        <v>5638.17259943387</v>
      </c>
      <c r="Y26" s="49" t="n">
        <f aca="false">IFERROR(O26*I26/J26,0)</f>
        <v>53640.7151527457</v>
      </c>
      <c r="Z26" s="55" t="n">
        <f aca="false">V26*S26</f>
        <v>5541.478812393</v>
      </c>
    </row>
    <row r="27" customFormat="false" ht="15" hidden="false" customHeight="false" outlineLevel="0" collapsed="false">
      <c r="A27" s="13" t="n">
        <v>22</v>
      </c>
      <c r="B27" s="14" t="str">
        <f aca="false">Calendar!D27</f>
        <v>P6</v>
      </c>
      <c r="C27" s="14" t="str">
        <f aca="false">Calendar!F27&amp;""</f>
        <v>Summer sale</v>
      </c>
      <c r="D27" s="21" t="n">
        <f aca="false">'Media Plan'!H27</f>
        <v>92475.9295406009</v>
      </c>
      <c r="E27" s="21" t="n">
        <f aca="false">'Media Plan'!N27</f>
        <v>59619.3018044482</v>
      </c>
      <c r="F27" s="21" t="n">
        <f aca="false">'Media Plan'!T27</f>
        <v>19825.1217768876</v>
      </c>
      <c r="G27" s="21" t="n">
        <f aca="false">'History Y-1'!$F$58*(1+Assumptions!$G$6)*Baseline!Q27</f>
        <v>168329.166058596</v>
      </c>
      <c r="H27" s="21" t="n">
        <f aca="false">'History Y-1'!$G$58*(1+Assumptions!$G$7)*Baseline!R27</f>
        <v>46132.7528238245</v>
      </c>
      <c r="I27" s="21" t="n">
        <f aca="false">'History Y-1'!$H$58*(1+Assumptions!$G$8)*Baseline!S27</f>
        <v>28655.4168085855</v>
      </c>
      <c r="J27" s="55" t="n">
        <f aca="false">SUM(D27:I27)</f>
        <v>415037.688812943</v>
      </c>
      <c r="K27" s="29" t="n">
        <f aca="false">Baseline!B27*(1+Assumptions!$G$18)</f>
        <v>0.0262252543196702</v>
      </c>
      <c r="L27" s="31" t="n">
        <f aca="false">Calendar!G27</f>
        <v>0</v>
      </c>
      <c r="M27" s="55" t="n">
        <f aca="false">J27*K27*(1+L27)</f>
        <v>10884.4689413676</v>
      </c>
      <c r="N27" s="23" t="n">
        <f aca="false">Baseline!C27*(1+Assumptions!$G$19)</f>
        <v>67.8211875254599</v>
      </c>
      <c r="O27" s="49" t="n">
        <f aca="false">M27*N27</f>
        <v>738197.609187533</v>
      </c>
      <c r="P27" s="31" t="n">
        <f aca="false">MAX(0,MIN(0.9,Baseline!E27+Assumptions!$G$20))</f>
        <v>0.306191373705647</v>
      </c>
      <c r="Q27" s="49" t="n">
        <f aca="false">O27/(1-P27)</f>
        <v>1063978.71287687</v>
      </c>
      <c r="R27" s="49" t="n">
        <f aca="false">Q27-O27</f>
        <v>325781.103689334</v>
      </c>
      <c r="S27" s="31" t="n">
        <f aca="false">MAX(0,Baseline!F27+Assumptions!$G$21)</f>
        <v>0.234700919176987</v>
      </c>
      <c r="T27" s="49" t="n">
        <f aca="false">O27*S27</f>
        <v>173255.657410568</v>
      </c>
      <c r="U27" s="49" t="n">
        <f aca="false">O27-T27</f>
        <v>564941.951776965</v>
      </c>
      <c r="V27" s="21" t="n">
        <f aca="false">M27*Baseline!D27</f>
        <v>20151.3600942419</v>
      </c>
      <c r="W27" s="55" t="n">
        <f aca="false">IFERROR(T27/N27,0)</f>
        <v>2554.59486529234</v>
      </c>
      <c r="X27" s="21" t="n">
        <f aca="false">M27*Baseline!G27</f>
        <v>4793.46688713256</v>
      </c>
      <c r="Y27" s="49" t="n">
        <f aca="false">IFERROR(O27*I27/J27,0)</f>
        <v>50967.3235673397</v>
      </c>
      <c r="Z27" s="55" t="n">
        <f aca="false">V27*S27</f>
        <v>4729.54273678502</v>
      </c>
    </row>
    <row r="28" customFormat="false" ht="15" hidden="false" customHeight="false" outlineLevel="0" collapsed="false">
      <c r="A28" s="13" t="n">
        <v>23</v>
      </c>
      <c r="B28" s="14" t="str">
        <f aca="false">Calendar!D28</f>
        <v>P6</v>
      </c>
      <c r="C28" s="14" t="str">
        <f aca="false">Calendar!F28&amp;""</f>
        <v>Summer sale</v>
      </c>
      <c r="D28" s="21" t="n">
        <f aca="false">'Media Plan'!H28</f>
        <v>87730.7463022528</v>
      </c>
      <c r="E28" s="21" t="n">
        <f aca="false">'Media Plan'!N28</f>
        <v>56352.6307452343</v>
      </c>
      <c r="F28" s="21" t="n">
        <f aca="false">'Media Plan'!T28</f>
        <v>18642.7433455569</v>
      </c>
      <c r="G28" s="21" t="n">
        <f aca="false">'History Y-1'!$F$58*(1+Assumptions!$G$6)*Baseline!Q28</f>
        <v>153647.80662506</v>
      </c>
      <c r="H28" s="21" t="n">
        <f aca="false">'History Y-1'!$G$58*(1+Assumptions!$G$7)*Baseline!R28</f>
        <v>40260.2454649092</v>
      </c>
      <c r="I28" s="21" t="n">
        <f aca="false">'History Y-1'!$H$58*(1+Assumptions!$G$8)*Baseline!S28</f>
        <v>25040.1617354073</v>
      </c>
      <c r="J28" s="55" t="n">
        <f aca="false">SUM(D28:I28)</f>
        <v>381674.334218421</v>
      </c>
      <c r="K28" s="29" t="n">
        <f aca="false">Baseline!B28*(1+Assumptions!$G$18)</f>
        <v>0.0240250635582569</v>
      </c>
      <c r="L28" s="31" t="n">
        <f aca="false">Calendar!G28</f>
        <v>0</v>
      </c>
      <c r="M28" s="55" t="n">
        <f aca="false">J28*K28*(1+L28)</f>
        <v>9169.75013815292</v>
      </c>
      <c r="N28" s="23" t="n">
        <f aca="false">Baseline!C28*(1+Assumptions!$G$19)</f>
        <v>69.1997349034538</v>
      </c>
      <c r="O28" s="49" t="n">
        <f aca="false">M28*N28</f>
        <v>634544.278691091</v>
      </c>
      <c r="P28" s="31" t="n">
        <f aca="false">MAX(0,MIN(0.9,Baseline!E28+Assumptions!$G$20))</f>
        <v>0.2794697297588</v>
      </c>
      <c r="Q28" s="49" t="n">
        <f aca="false">O28/(1-P28)</f>
        <v>880662.901891235</v>
      </c>
      <c r="R28" s="49" t="n">
        <f aca="false">Q28-O28</f>
        <v>246118.623200144</v>
      </c>
      <c r="S28" s="31" t="n">
        <f aca="false">MAX(0,Baseline!F28+Assumptions!$G$21)</f>
        <v>0.241339203714735</v>
      </c>
      <c r="T28" s="49" t="n">
        <f aca="false">O28*S28</f>
        <v>153140.410941049</v>
      </c>
      <c r="U28" s="49" t="n">
        <f aca="false">O28-T28</f>
        <v>481403.867750042</v>
      </c>
      <c r="V28" s="21" t="n">
        <f aca="false">M28*Baseline!D28</f>
        <v>17473.4875870013</v>
      </c>
      <c r="W28" s="55" t="n">
        <f aca="false">IFERROR(T28/N28,0)</f>
        <v>2213.02019660491</v>
      </c>
      <c r="X28" s="21" t="n">
        <f aca="false">M28*Baseline!G28</f>
        <v>4172.46926589232</v>
      </c>
      <c r="Y28" s="49" t="n">
        <f aca="false">IFERROR(O28*I28/J28,0)</f>
        <v>41629.9707425689</v>
      </c>
      <c r="Z28" s="55" t="n">
        <f aca="false">V28*S28</f>
        <v>4217.03758036621</v>
      </c>
    </row>
    <row r="29" customFormat="false" ht="15" hidden="false" customHeight="false" outlineLevel="0" collapsed="false">
      <c r="A29" s="13" t="n">
        <v>24</v>
      </c>
      <c r="B29" s="14" t="str">
        <f aca="false">Calendar!D29</f>
        <v>P6</v>
      </c>
      <c r="C29" s="14" t="str">
        <f aca="false">Calendar!F29&amp;""</f>
        <v/>
      </c>
      <c r="D29" s="21" t="n">
        <f aca="false">'Media Plan'!H29</f>
        <v>69176.7372370323</v>
      </c>
      <c r="E29" s="21" t="n">
        <f aca="false">'Media Plan'!N29</f>
        <v>47846.481650772</v>
      </c>
      <c r="F29" s="21" t="n">
        <f aca="false">'Media Plan'!T29</f>
        <v>14778.9034264392</v>
      </c>
      <c r="G29" s="21" t="n">
        <f aca="false">'History Y-1'!$F$58*(1+Assumptions!$G$6)*Baseline!Q29</f>
        <v>121262.779667693</v>
      </c>
      <c r="H29" s="21" t="n">
        <f aca="false">'History Y-1'!$G$58*(1+Assumptions!$G$7)*Baseline!R29</f>
        <v>33387.7629184305</v>
      </c>
      <c r="I29" s="21" t="n">
        <f aca="false">'History Y-1'!$H$58*(1+Assumptions!$G$8)*Baseline!S29</f>
        <v>21495.7637640696</v>
      </c>
      <c r="J29" s="55" t="n">
        <f aca="false">SUM(D29:I29)</f>
        <v>307948.428664437</v>
      </c>
      <c r="K29" s="29" t="n">
        <f aca="false">Baseline!B29*(1+Assumptions!$G$18)</f>
        <v>0.0215201642007762</v>
      </c>
      <c r="L29" s="31" t="n">
        <f aca="false">Calendar!G29</f>
        <v>0</v>
      </c>
      <c r="M29" s="55" t="n">
        <f aca="false">J29*K29*(1+L29)</f>
        <v>6627.10075022969</v>
      </c>
      <c r="N29" s="23" t="n">
        <f aca="false">Baseline!C29*(1+Assumptions!$G$19)</f>
        <v>76.6405691623625</v>
      </c>
      <c r="O29" s="49" t="n">
        <f aca="false">M29*N29</f>
        <v>507904.773393923</v>
      </c>
      <c r="P29" s="31" t="n">
        <f aca="false">MAX(0,MIN(0.9,Baseline!E29+Assumptions!$G$20))</f>
        <v>0.0793164676105139</v>
      </c>
      <c r="Q29" s="49" t="n">
        <f aca="false">O29/(1-P29)</f>
        <v>551660.538638871</v>
      </c>
      <c r="R29" s="49" t="n">
        <f aca="false">Q29-O29</f>
        <v>43755.7652449487</v>
      </c>
      <c r="S29" s="31" t="n">
        <f aca="false">MAX(0,Baseline!F29+Assumptions!$G$21)</f>
        <v>0.265305443688819</v>
      </c>
      <c r="T29" s="49" t="n">
        <f aca="false">O29*S29</f>
        <v>134749.901256944</v>
      </c>
      <c r="U29" s="49" t="n">
        <f aca="false">O29-T29</f>
        <v>373154.872136979</v>
      </c>
      <c r="V29" s="21" t="n">
        <f aca="false">M29*Baseline!D29</f>
        <v>12552.0696896068</v>
      </c>
      <c r="W29" s="55" t="n">
        <f aca="false">IFERROR(T29/N29,0)</f>
        <v>1758.20590491019</v>
      </c>
      <c r="X29" s="21" t="n">
        <f aca="false">M29*Baseline!G29</f>
        <v>2319.06710929006</v>
      </c>
      <c r="Y29" s="49" t="n">
        <f aca="false">IFERROR(O29*I29/J29,0)</f>
        <v>35453.3422069054</v>
      </c>
      <c r="Z29" s="55" t="n">
        <f aca="false">V29*S29</f>
        <v>3330.13241821411</v>
      </c>
    </row>
    <row r="30" customFormat="false" ht="15" hidden="false" customHeight="false" outlineLevel="0" collapsed="false">
      <c r="A30" s="13" t="n">
        <v>25</v>
      </c>
      <c r="B30" s="14" t="str">
        <f aca="false">Calendar!D30</f>
        <v>P6</v>
      </c>
      <c r="C30" s="14" t="str">
        <f aca="false">Calendar!F30&amp;""</f>
        <v/>
      </c>
      <c r="D30" s="21" t="n">
        <f aca="false">'Media Plan'!H30</f>
        <v>67051.4732159288</v>
      </c>
      <c r="E30" s="21" t="n">
        <f aca="false">'Media Plan'!N30</f>
        <v>44816.3055778899</v>
      </c>
      <c r="F30" s="21" t="n">
        <f aca="false">'Media Plan'!T30</f>
        <v>13438.2781849172</v>
      </c>
      <c r="G30" s="21" t="n">
        <f aca="false">'History Y-1'!$F$58*(1+Assumptions!$G$6)*Baseline!Q30</f>
        <v>111466.506498745</v>
      </c>
      <c r="H30" s="21" t="n">
        <f aca="false">'History Y-1'!$G$58*(1+Assumptions!$G$7)*Baseline!R30</f>
        <v>32095.8009961552</v>
      </c>
      <c r="I30" s="21" t="n">
        <f aca="false">'History Y-1'!$H$58*(1+Assumptions!$G$8)*Baseline!S30</f>
        <v>19569.618902339</v>
      </c>
      <c r="J30" s="55" t="n">
        <f aca="false">SUM(D30:I30)</f>
        <v>288437.983375975</v>
      </c>
      <c r="K30" s="29" t="n">
        <f aca="false">Baseline!B30*(1+Assumptions!$G$18)</f>
        <v>0.0214172328822706</v>
      </c>
      <c r="L30" s="31" t="n">
        <f aca="false">Calendar!G30</f>
        <v>0</v>
      </c>
      <c r="M30" s="55" t="n">
        <f aca="false">J30*K30*(1+L30)</f>
        <v>6177.54346205574</v>
      </c>
      <c r="N30" s="23" t="n">
        <f aca="false">Baseline!C30*(1+Assumptions!$G$19)</f>
        <v>75.9043940656477</v>
      </c>
      <c r="O30" s="49" t="n">
        <f aca="false">M30*N30</f>
        <v>468902.693301544</v>
      </c>
      <c r="P30" s="31" t="n">
        <f aca="false">MAX(0,MIN(0.9,Baseline!E30+Assumptions!$G$20))</f>
        <v>0.0803434389459937</v>
      </c>
      <c r="Q30" s="49" t="n">
        <f aca="false">O30/(1-P30)</f>
        <v>509867.175594486</v>
      </c>
      <c r="R30" s="49" t="n">
        <f aca="false">Q30-O30</f>
        <v>40964.4822929418</v>
      </c>
      <c r="S30" s="31" t="n">
        <f aca="false">MAX(0,Baseline!F30+Assumptions!$G$21)</f>
        <v>0.262845116516355</v>
      </c>
      <c r="T30" s="49" t="n">
        <f aca="false">O30*S30</f>
        <v>123248.783055677</v>
      </c>
      <c r="U30" s="49" t="n">
        <f aca="false">O30-T30</f>
        <v>345653.910245867</v>
      </c>
      <c r="V30" s="21" t="n">
        <f aca="false">M30*Baseline!D30</f>
        <v>11478.3592506031</v>
      </c>
      <c r="W30" s="55" t="n">
        <f aca="false">IFERROR(T30/N30,0)</f>
        <v>1623.73713106889</v>
      </c>
      <c r="X30" s="21" t="n">
        <f aca="false">M30*Baseline!G30</f>
        <v>2201.89392407522</v>
      </c>
      <c r="Y30" s="49" t="n">
        <f aca="false">IFERROR(O30*I30/J30,0)</f>
        <v>31813.5874574829</v>
      </c>
      <c r="Z30" s="55" t="n">
        <f aca="false">V30*S30</f>
        <v>3017.03067464137</v>
      </c>
    </row>
    <row r="31" customFormat="false" ht="15" hidden="false" customHeight="false" outlineLevel="0" collapsed="false">
      <c r="A31" s="13" t="n">
        <v>26</v>
      </c>
      <c r="B31" s="14" t="str">
        <f aca="false">Calendar!D31</f>
        <v>P6</v>
      </c>
      <c r="C31" s="14" t="str">
        <f aca="false">Calendar!F31&amp;""</f>
        <v/>
      </c>
      <c r="D31" s="21" t="n">
        <f aca="false">'Media Plan'!H31</f>
        <v>76779.1447452552</v>
      </c>
      <c r="E31" s="21" t="n">
        <f aca="false">'Media Plan'!N31</f>
        <v>48886.6966024501</v>
      </c>
      <c r="F31" s="21" t="n">
        <f aca="false">'Media Plan'!T31</f>
        <v>15228.1949643352</v>
      </c>
      <c r="G31" s="21" t="n">
        <f aca="false">'History Y-1'!$F$58*(1+Assumptions!$G$6)*Baseline!Q31</f>
        <v>115987.575527084</v>
      </c>
      <c r="H31" s="21" t="n">
        <f aca="false">'History Y-1'!$G$58*(1+Assumptions!$G$7)*Baseline!R31</f>
        <v>30362.5966325701</v>
      </c>
      <c r="I31" s="21" t="n">
        <f aca="false">'History Y-1'!$H$58*(1+Assumptions!$G$8)*Baseline!S31</f>
        <v>18514.1473345582</v>
      </c>
      <c r="J31" s="55" t="n">
        <f aca="false">SUM(D31:I31)</f>
        <v>305758.355806253</v>
      </c>
      <c r="K31" s="29" t="n">
        <f aca="false">Baseline!B31*(1+Assumptions!$G$18)</f>
        <v>0.021313884429146</v>
      </c>
      <c r="L31" s="31" t="n">
        <f aca="false">Calendar!G31</f>
        <v>0</v>
      </c>
      <c r="M31" s="55" t="n">
        <f aca="false">J31*K31*(1+L31)</f>
        <v>6516.89825890018</v>
      </c>
      <c r="N31" s="23" t="n">
        <f aca="false">Baseline!C31*(1+Assumptions!$G$19)</f>
        <v>74.6219180516385</v>
      </c>
      <c r="O31" s="49" t="n">
        <f aca="false">M31*N31</f>
        <v>486303.447826515</v>
      </c>
      <c r="P31" s="31" t="n">
        <f aca="false">MAX(0,MIN(0.9,Baseline!E31+Assumptions!$G$20))</f>
        <v>0.0817133222325721</v>
      </c>
      <c r="Q31" s="49" t="n">
        <f aca="false">O31/(1-P31)</f>
        <v>529576.93888017</v>
      </c>
      <c r="R31" s="49" t="n">
        <f aca="false">Q31-O31</f>
        <v>43273.4910536544</v>
      </c>
      <c r="S31" s="31" t="n">
        <f aca="false">MAX(0,Baseline!F31+Assumptions!$G$21)</f>
        <v>0.26174463182299</v>
      </c>
      <c r="T31" s="49" t="n">
        <f aca="false">O31*S31</f>
        <v>127287.316905602</v>
      </c>
      <c r="U31" s="49" t="n">
        <f aca="false">O31-T31</f>
        <v>359016.130920913</v>
      </c>
      <c r="V31" s="21" t="n">
        <f aca="false">M31*Baseline!D31</f>
        <v>12386.489115918</v>
      </c>
      <c r="W31" s="55" t="n">
        <f aca="false">IFERROR(T31/N31,0)</f>
        <v>1705.76313540372</v>
      </c>
      <c r="X31" s="21" t="n">
        <f aca="false">M31*Baseline!G31</f>
        <v>2293.3880720396</v>
      </c>
      <c r="Y31" s="49" t="n">
        <f aca="false">IFERROR(O31*I31/J31,0)</f>
        <v>29446.435433048</v>
      </c>
      <c r="Z31" s="55" t="n">
        <f aca="false">V31*S31</f>
        <v>3242.09703322543</v>
      </c>
    </row>
    <row r="32" customFormat="false" ht="15" hidden="false" customHeight="false" outlineLevel="0" collapsed="false">
      <c r="A32" s="13" t="n">
        <v>27</v>
      </c>
      <c r="B32" s="14" t="str">
        <f aca="false">Calendar!D32</f>
        <v>P7</v>
      </c>
      <c r="C32" s="14" t="str">
        <f aca="false">Calendar!F32&amp;""</f>
        <v/>
      </c>
      <c r="D32" s="21" t="n">
        <f aca="false">'Media Plan'!H32</f>
        <v>65349.6712839422</v>
      </c>
      <c r="E32" s="21" t="n">
        <f aca="false">'Media Plan'!N32</f>
        <v>43302.1812569654</v>
      </c>
      <c r="F32" s="21" t="n">
        <f aca="false">'Media Plan'!T32</f>
        <v>13511.7317806718</v>
      </c>
      <c r="G32" s="21" t="n">
        <f aca="false">'History Y-1'!$F$58*(1+Assumptions!$G$6)*Baseline!Q32</f>
        <v>112113.891683699</v>
      </c>
      <c r="H32" s="21" t="n">
        <f aca="false">'History Y-1'!$G$58*(1+Assumptions!$G$7)*Baseline!R32</f>
        <v>30262.113474175</v>
      </c>
      <c r="I32" s="21" t="n">
        <f aca="false">'History Y-1'!$H$58*(1+Assumptions!$G$8)*Baseline!S32</f>
        <v>18105.6766903407</v>
      </c>
      <c r="J32" s="55" t="n">
        <f aca="false">SUM(D32:I32)</f>
        <v>282645.266169794</v>
      </c>
      <c r="K32" s="29" t="n">
        <f aca="false">Baseline!B32*(1+Assumptions!$G$18)</f>
        <v>0.0208813653835751</v>
      </c>
      <c r="L32" s="31" t="n">
        <f aca="false">Calendar!G32</f>
        <v>0</v>
      </c>
      <c r="M32" s="55" t="n">
        <f aca="false">J32*K32*(1+L32)</f>
        <v>5902.01907682931</v>
      </c>
      <c r="N32" s="23" t="n">
        <f aca="false">Baseline!C32*(1+Assumptions!$G$19)</f>
        <v>75.9382268850023</v>
      </c>
      <c r="O32" s="49" t="n">
        <f aca="false">M32*N32</f>
        <v>448188.863735876</v>
      </c>
      <c r="P32" s="31" t="n">
        <f aca="false">MAX(0,MIN(0.9,Baseline!E32+Assumptions!$G$20))</f>
        <v>0.0781086219025122</v>
      </c>
      <c r="Q32" s="49" t="n">
        <f aca="false">O32/(1-P32)</f>
        <v>486162.333637186</v>
      </c>
      <c r="R32" s="49" t="n">
        <f aca="false">Q32-O32</f>
        <v>37973.4699013099</v>
      </c>
      <c r="S32" s="31" t="n">
        <f aca="false">MAX(0,Baseline!F32+Assumptions!$G$21)</f>
        <v>0.270015834022456</v>
      </c>
      <c r="T32" s="49" t="n">
        <f aca="false">O32*S32</f>
        <v>121018.08984122</v>
      </c>
      <c r="U32" s="49" t="n">
        <f aca="false">O32-T32</f>
        <v>327170.773894656</v>
      </c>
      <c r="V32" s="21" t="n">
        <f aca="false">M32*Baseline!D32</f>
        <v>11404.0570449519</v>
      </c>
      <c r="W32" s="55" t="n">
        <f aca="false">IFERROR(T32/N32,0)</f>
        <v>1593.63860344651</v>
      </c>
      <c r="X32" s="21" t="n">
        <f aca="false">M32*Baseline!G32</f>
        <v>2103.5426471921</v>
      </c>
      <c r="Y32" s="49" t="n">
        <f aca="false">IFERROR(O32*I32/J32,0)</f>
        <v>28710.0603982454</v>
      </c>
      <c r="Z32" s="55" t="n">
        <f aca="false">V32*S32</f>
        <v>3079.27597423234</v>
      </c>
    </row>
    <row r="33" customFormat="false" ht="15" hidden="false" customHeight="false" outlineLevel="0" collapsed="false">
      <c r="A33" s="13" t="n">
        <v>28</v>
      </c>
      <c r="B33" s="14" t="str">
        <f aca="false">Calendar!D33</f>
        <v>P7</v>
      </c>
      <c r="C33" s="14" t="str">
        <f aca="false">Calendar!F33&amp;""</f>
        <v/>
      </c>
      <c r="D33" s="21" t="n">
        <f aca="false">'Media Plan'!H33</f>
        <v>69785.4743449291</v>
      </c>
      <c r="E33" s="21" t="n">
        <f aca="false">'Media Plan'!N33</f>
        <v>43657.4173435289</v>
      </c>
      <c r="F33" s="21" t="n">
        <f aca="false">'Media Plan'!T33</f>
        <v>13093.0155171094</v>
      </c>
      <c r="G33" s="21" t="n">
        <f aca="false">'History Y-1'!$F$58*(1+Assumptions!$G$6)*Baseline!Q33</f>
        <v>114248.452929338</v>
      </c>
      <c r="H33" s="21" t="n">
        <f aca="false">'History Y-1'!$G$58*(1+Assumptions!$G$7)*Baseline!R33</f>
        <v>31266.8758288094</v>
      </c>
      <c r="I33" s="21" t="n">
        <f aca="false">'History Y-1'!$H$58*(1+Assumptions!$G$8)*Baseline!S33</f>
        <v>18677.2446859235</v>
      </c>
      <c r="J33" s="55" t="n">
        <f aca="false">SUM(D33:I33)</f>
        <v>290728.480649638</v>
      </c>
      <c r="K33" s="29" t="n">
        <f aca="false">Baseline!B33*(1+Assumptions!$G$18)</f>
        <v>0.0217107000686506</v>
      </c>
      <c r="L33" s="31" t="n">
        <f aca="false">Calendar!G33</f>
        <v>0</v>
      </c>
      <c r="M33" s="55" t="n">
        <f aca="false">J33*K33*(1+L33)</f>
        <v>6311.91884479878</v>
      </c>
      <c r="N33" s="23" t="n">
        <f aca="false">Baseline!C33*(1+Assumptions!$G$19)</f>
        <v>77.4379821367196</v>
      </c>
      <c r="O33" s="49" t="n">
        <f aca="false">M33*N33</f>
        <v>488782.258751952</v>
      </c>
      <c r="P33" s="31" t="n">
        <f aca="false">MAX(0,MIN(0.9,Baseline!E33+Assumptions!$G$20))</f>
        <v>0.0789088636414021</v>
      </c>
      <c r="Q33" s="49" t="n">
        <f aca="false">O33/(1-P33)</f>
        <v>530655.696768816</v>
      </c>
      <c r="R33" s="49" t="n">
        <f aca="false">Q33-O33</f>
        <v>41873.4380168637</v>
      </c>
      <c r="S33" s="31" t="n">
        <f aca="false">MAX(0,Baseline!F33+Assumptions!$G$21)</f>
        <v>0.251476425566013</v>
      </c>
      <c r="T33" s="49" t="n">
        <f aca="false">O33*S33</f>
        <v>122917.215311023</v>
      </c>
      <c r="U33" s="49" t="n">
        <f aca="false">O33-T33</f>
        <v>365865.043440929</v>
      </c>
      <c r="V33" s="21" t="n">
        <f aca="false">M33*Baseline!D33</f>
        <v>11828.1576329445</v>
      </c>
      <c r="W33" s="55" t="n">
        <f aca="false">IFERROR(T33/N33,0)</f>
        <v>1587.29878955275</v>
      </c>
      <c r="X33" s="21" t="n">
        <f aca="false">M33*Baseline!G33</f>
        <v>2147.79662560867</v>
      </c>
      <c r="Y33" s="49" t="n">
        <f aca="false">IFERROR(O33*I33/J33,0)</f>
        <v>31400.7964560246</v>
      </c>
      <c r="Z33" s="55" t="n">
        <f aca="false">V33*S33</f>
        <v>2974.50280256423</v>
      </c>
    </row>
    <row r="34" customFormat="false" ht="15" hidden="false" customHeight="false" outlineLevel="0" collapsed="false">
      <c r="A34" s="13" t="n">
        <v>29</v>
      </c>
      <c r="B34" s="14" t="str">
        <f aca="false">Calendar!D34</f>
        <v>P7</v>
      </c>
      <c r="C34" s="14" t="str">
        <f aca="false">Calendar!F34&amp;""</f>
        <v/>
      </c>
      <c r="D34" s="21" t="n">
        <f aca="false">'Media Plan'!H34</f>
        <v>68082.985170424</v>
      </c>
      <c r="E34" s="21" t="n">
        <f aca="false">'Media Plan'!N34</f>
        <v>42329.4394681015</v>
      </c>
      <c r="F34" s="21" t="n">
        <f aca="false">'Media Plan'!T34</f>
        <v>13038.7224427898</v>
      </c>
      <c r="G34" s="21" t="n">
        <f aca="false">'History Y-1'!$F$58*(1+Assumptions!$G$6)*Baseline!Q34</f>
        <v>116495.0837502</v>
      </c>
      <c r="H34" s="21" t="n">
        <f aca="false">'History Y-1'!$G$58*(1+Assumptions!$G$7)*Baseline!R34</f>
        <v>30298.7905352564</v>
      </c>
      <c r="I34" s="21" t="n">
        <f aca="false">'History Y-1'!$H$58*(1+Assumptions!$G$8)*Baseline!S34</f>
        <v>18405.781442226</v>
      </c>
      <c r="J34" s="55" t="n">
        <f aca="false">SUM(D34:I34)</f>
        <v>288650.802808998</v>
      </c>
      <c r="K34" s="29" t="n">
        <f aca="false">Baseline!B34*(1+Assumptions!$G$18)</f>
        <v>0.0214950878043228</v>
      </c>
      <c r="L34" s="31" t="n">
        <f aca="false">Calendar!G34</f>
        <v>0</v>
      </c>
      <c r="M34" s="55" t="n">
        <f aca="false">J34*K34*(1+L34)</f>
        <v>6204.57435116768</v>
      </c>
      <c r="N34" s="23" t="n">
        <f aca="false">Baseline!C34*(1+Assumptions!$G$19)</f>
        <v>75.7319934661897</v>
      </c>
      <c r="O34" s="49" t="n">
        <f aca="false">M34*N34</f>
        <v>469884.784223119</v>
      </c>
      <c r="P34" s="31" t="n">
        <f aca="false">MAX(0,MIN(0.9,Baseline!E34+Assumptions!$G$20))</f>
        <v>0.0823381157421977</v>
      </c>
      <c r="Q34" s="49" t="n">
        <f aca="false">O34/(1-P34)</f>
        <v>512045.658955485</v>
      </c>
      <c r="R34" s="49" t="n">
        <f aca="false">Q34-O34</f>
        <v>42160.8747323666</v>
      </c>
      <c r="S34" s="31" t="n">
        <f aca="false">MAX(0,Baseline!F34+Assumptions!$G$21)</f>
        <v>0.263445798809196</v>
      </c>
      <c r="T34" s="49" t="n">
        <f aca="false">O34*S34</f>
        <v>123789.172327946</v>
      </c>
      <c r="U34" s="49" t="n">
        <f aca="false">O34-T34</f>
        <v>346095.611895172</v>
      </c>
      <c r="V34" s="21" t="n">
        <f aca="false">M34*Baseline!D34</f>
        <v>12108.4503296499</v>
      </c>
      <c r="W34" s="55" t="n">
        <f aca="false">IFERROR(T34/N34,0)</f>
        <v>1634.56904621442</v>
      </c>
      <c r="X34" s="21" t="n">
        <f aca="false">M34*Baseline!G34</f>
        <v>2193.77054793407</v>
      </c>
      <c r="Y34" s="49" t="n">
        <f aca="false">IFERROR(O34*I34/J34,0)</f>
        <v>29962.1430367581</v>
      </c>
      <c r="Z34" s="55" t="n">
        <f aca="false">V34*S34</f>
        <v>3189.92036943611</v>
      </c>
    </row>
    <row r="35" customFormat="false" ht="15" hidden="false" customHeight="false" outlineLevel="0" collapsed="false">
      <c r="A35" s="13" t="n">
        <v>30</v>
      </c>
      <c r="B35" s="14" t="str">
        <f aca="false">Calendar!D35</f>
        <v>P7</v>
      </c>
      <c r="C35" s="14" t="str">
        <f aca="false">Calendar!F35&amp;""</f>
        <v/>
      </c>
      <c r="D35" s="21" t="n">
        <f aca="false">'Media Plan'!H35</f>
        <v>63323.0415775093</v>
      </c>
      <c r="E35" s="21" t="n">
        <f aca="false">'Media Plan'!N35</f>
        <v>41809.6877759113</v>
      </c>
      <c r="F35" s="21" t="n">
        <f aca="false">'Media Plan'!T35</f>
        <v>12830.8911961184</v>
      </c>
      <c r="G35" s="21" t="n">
        <f aca="false">'History Y-1'!$F$58*(1+Assumptions!$G$6)*Baseline!Q35</f>
        <v>113184.278720383</v>
      </c>
      <c r="H35" s="21" t="n">
        <f aca="false">'History Y-1'!$G$58*(1+Assumptions!$G$7)*Baseline!R35</f>
        <v>28859.7108093985</v>
      </c>
      <c r="I35" s="21" t="n">
        <f aca="false">'History Y-1'!$H$58*(1+Assumptions!$G$8)*Baseline!S35</f>
        <v>18658.6370535969</v>
      </c>
      <c r="J35" s="55" t="n">
        <f aca="false">SUM(D35:I35)</f>
        <v>278666.247132917</v>
      </c>
      <c r="K35" s="29" t="n">
        <f aca="false">Baseline!B35*(1+Assumptions!$G$18)</f>
        <v>0.0215338348890598</v>
      </c>
      <c r="L35" s="31" t="n">
        <f aca="false">Calendar!G35</f>
        <v>0</v>
      </c>
      <c r="M35" s="55" t="n">
        <f aca="false">J35*K35*(1+L35)</f>
        <v>6000.75295491417</v>
      </c>
      <c r="N35" s="23" t="n">
        <f aca="false">Baseline!C35*(1+Assumptions!$G$19)</f>
        <v>75.913353007822</v>
      </c>
      <c r="O35" s="49" t="n">
        <f aca="false">M35*N35</f>
        <v>455537.27737913</v>
      </c>
      <c r="P35" s="31" t="n">
        <f aca="false">MAX(0,MIN(0.9,Baseline!E35+Assumptions!$G$20))</f>
        <v>0.0754892189355552</v>
      </c>
      <c r="Q35" s="49" t="n">
        <f aca="false">O35/(1-P35)</f>
        <v>492733.331735345</v>
      </c>
      <c r="R35" s="49" t="n">
        <f aca="false">Q35-O35</f>
        <v>37196.054356215</v>
      </c>
      <c r="S35" s="31" t="n">
        <f aca="false">MAX(0,Baseline!F35+Assumptions!$G$21)</f>
        <v>0.258790927758975</v>
      </c>
      <c r="T35" s="49" t="n">
        <f aca="false">O35*S35</f>
        <v>117888.914641742</v>
      </c>
      <c r="U35" s="49" t="n">
        <f aca="false">O35-T35</f>
        <v>337648.362737388</v>
      </c>
      <c r="V35" s="21" t="n">
        <f aca="false">M35*Baseline!D35</f>
        <v>11549.7669341618</v>
      </c>
      <c r="W35" s="55" t="n">
        <f aca="false">IFERROR(T35/N35,0)</f>
        <v>1552.94042445465</v>
      </c>
      <c r="X35" s="21" t="n">
        <f aca="false">M35*Baseline!G35</f>
        <v>2096.70698051528</v>
      </c>
      <c r="Y35" s="49" t="n">
        <f aca="false">IFERROR(O35*I35/J35,0)</f>
        <v>30501.3786579855</v>
      </c>
      <c r="Z35" s="55" t="n">
        <f aca="false">V35*S35</f>
        <v>2988.97490029165</v>
      </c>
    </row>
    <row r="36" customFormat="false" ht="15" hidden="false" customHeight="false" outlineLevel="0" collapsed="false">
      <c r="A36" s="13" t="n">
        <v>31</v>
      </c>
      <c r="B36" s="14" t="str">
        <f aca="false">Calendar!D36</f>
        <v>P8</v>
      </c>
      <c r="C36" s="14" t="str">
        <f aca="false">Calendar!F36&amp;""</f>
        <v/>
      </c>
      <c r="D36" s="21" t="n">
        <f aca="false">'Media Plan'!H36</f>
        <v>66975.0754995174</v>
      </c>
      <c r="E36" s="21" t="n">
        <f aca="false">'Media Plan'!N36</f>
        <v>43538.6298061124</v>
      </c>
      <c r="F36" s="21" t="n">
        <f aca="false">'Media Plan'!T36</f>
        <v>14068.5175225932</v>
      </c>
      <c r="G36" s="21" t="n">
        <f aca="false">'History Y-1'!$F$58*(1+Assumptions!$G$6)*Baseline!Q36</f>
        <v>116761.158741764</v>
      </c>
      <c r="H36" s="21" t="n">
        <f aca="false">'History Y-1'!$G$58*(1+Assumptions!$G$7)*Baseline!R36</f>
        <v>31105.605379917</v>
      </c>
      <c r="I36" s="21" t="n">
        <f aca="false">'History Y-1'!$H$58*(1+Assumptions!$G$8)*Baseline!S36</f>
        <v>19818.5797553346</v>
      </c>
      <c r="J36" s="55" t="n">
        <f aca="false">SUM(D36:I36)</f>
        <v>292267.566705238</v>
      </c>
      <c r="K36" s="29" t="n">
        <f aca="false">Baseline!B36*(1+Assumptions!$G$18)</f>
        <v>0.0216443170619504</v>
      </c>
      <c r="L36" s="31" t="n">
        <f aca="false">Calendar!G36</f>
        <v>0</v>
      </c>
      <c r="M36" s="55" t="n">
        <f aca="false">J36*K36*(1+L36)</f>
        <v>6325.93188069293</v>
      </c>
      <c r="N36" s="23" t="n">
        <f aca="false">Baseline!C36*(1+Assumptions!$G$19)</f>
        <v>76.9931697285409</v>
      </c>
      <c r="O36" s="49" t="n">
        <f aca="false">M36*N36</f>
        <v>487053.546981378</v>
      </c>
      <c r="P36" s="31" t="n">
        <f aca="false">MAX(0,MIN(0.9,Baseline!E36+Assumptions!$G$20))</f>
        <v>0.0805213762822993</v>
      </c>
      <c r="Q36" s="49" t="n">
        <f aca="false">O36/(1-P36)</f>
        <v>529706.220914728</v>
      </c>
      <c r="R36" s="49" t="n">
        <f aca="false">Q36-O36</f>
        <v>42652.6739333495</v>
      </c>
      <c r="S36" s="31" t="n">
        <f aca="false">MAX(0,Baseline!F36+Assumptions!$G$21)</f>
        <v>0.257414351755172</v>
      </c>
      <c r="T36" s="49" t="n">
        <f aca="false">O36*S36</f>
        <v>125374.573066268</v>
      </c>
      <c r="U36" s="49" t="n">
        <f aca="false">O36-T36</f>
        <v>361678.97391511</v>
      </c>
      <c r="V36" s="21" t="n">
        <f aca="false">M36*Baseline!D36</f>
        <v>11871.1653379532</v>
      </c>
      <c r="W36" s="55" t="n">
        <f aca="false">IFERROR(T36/N36,0)</f>
        <v>1628.38565431594</v>
      </c>
      <c r="X36" s="21" t="n">
        <f aca="false">M36*Baseline!G36</f>
        <v>2198.71472312049</v>
      </c>
      <c r="Y36" s="49" t="n">
        <f aca="false">IFERROR(O36*I36/J36,0)</f>
        <v>33026.9611328586</v>
      </c>
      <c r="Z36" s="55" t="n">
        <f aca="false">V36*S36</f>
        <v>3055.80833004769</v>
      </c>
    </row>
    <row r="37" customFormat="false" ht="15" hidden="false" customHeight="false" outlineLevel="0" collapsed="false">
      <c r="A37" s="13" t="n">
        <v>32</v>
      </c>
      <c r="B37" s="14" t="str">
        <f aca="false">Calendar!D37</f>
        <v>P8</v>
      </c>
      <c r="C37" s="14" t="str">
        <f aca="false">Calendar!F37&amp;""</f>
        <v/>
      </c>
      <c r="D37" s="21" t="n">
        <f aca="false">'Media Plan'!H37</f>
        <v>69073.5946997121</v>
      </c>
      <c r="E37" s="21" t="n">
        <f aca="false">'Media Plan'!N37</f>
        <v>42171.3604575792</v>
      </c>
      <c r="F37" s="21" t="n">
        <f aca="false">'Media Plan'!T37</f>
        <v>13666.9311467437</v>
      </c>
      <c r="G37" s="21" t="n">
        <f aca="false">'History Y-1'!$F$58*(1+Assumptions!$G$6)*Baseline!Q37</f>
        <v>112933.437617747</v>
      </c>
      <c r="H37" s="21" t="n">
        <f aca="false">'History Y-1'!$G$58*(1+Assumptions!$G$7)*Baseline!R37</f>
        <v>32550.1948885432</v>
      </c>
      <c r="I37" s="21" t="n">
        <f aca="false">'History Y-1'!$H$58*(1+Assumptions!$G$8)*Baseline!S37</f>
        <v>18743.3692374009</v>
      </c>
      <c r="J37" s="55" t="n">
        <f aca="false">SUM(D37:I37)</f>
        <v>289138.888047726</v>
      </c>
      <c r="K37" s="29" t="n">
        <f aca="false">Baseline!B37*(1+Assumptions!$G$18)</f>
        <v>0.0217063484929189</v>
      </c>
      <c r="L37" s="31" t="n">
        <f aca="false">Calendar!G37</f>
        <v>0</v>
      </c>
      <c r="M37" s="55" t="n">
        <f aca="false">J37*K37*(1+L37)</f>
        <v>6276.14946681902</v>
      </c>
      <c r="N37" s="23" t="n">
        <f aca="false">Baseline!C37*(1+Assumptions!$G$19)</f>
        <v>75.6527557580445</v>
      </c>
      <c r="O37" s="49" t="n">
        <f aca="false">M37*N37</f>
        <v>474808.002714241</v>
      </c>
      <c r="P37" s="31" t="n">
        <f aca="false">MAX(0,MIN(0.9,Baseline!E37+Assumptions!$G$20))</f>
        <v>0.080986075860196</v>
      </c>
      <c r="Q37" s="49" t="n">
        <f aca="false">O37/(1-P37)</f>
        <v>516649.411116007</v>
      </c>
      <c r="R37" s="49" t="n">
        <f aca="false">Q37-O37</f>
        <v>41841.4084017666</v>
      </c>
      <c r="S37" s="31" t="n">
        <f aca="false">MAX(0,Baseline!F37+Assumptions!$G$21)</f>
        <v>0.261753859014964</v>
      </c>
      <c r="T37" s="49" t="n">
        <f aca="false">O37*S37</f>
        <v>124282.82700164</v>
      </c>
      <c r="U37" s="49" t="n">
        <f aca="false">O37-T37</f>
        <v>350525.1757126</v>
      </c>
      <c r="V37" s="21" t="n">
        <f aca="false">M37*Baseline!D37</f>
        <v>11840.0693317925</v>
      </c>
      <c r="W37" s="55" t="n">
        <f aca="false">IFERROR(T37/N37,0)</f>
        <v>1642.80634269459</v>
      </c>
      <c r="X37" s="21" t="n">
        <f aca="false">M37*Baseline!G37</f>
        <v>2127.60174336072</v>
      </c>
      <c r="Y37" s="49" t="n">
        <f aca="false">IFERROR(O37*I37/J37,0)</f>
        <v>30779.3315933237</v>
      </c>
      <c r="Z37" s="55" t="n">
        <f aca="false">V37*S37</f>
        <v>3099.18383860143</v>
      </c>
    </row>
    <row r="38" customFormat="false" ht="15" hidden="false" customHeight="false" outlineLevel="0" collapsed="false">
      <c r="A38" s="13" t="n">
        <v>33</v>
      </c>
      <c r="B38" s="14" t="str">
        <f aca="false">Calendar!D38</f>
        <v>P8</v>
      </c>
      <c r="C38" s="14" t="str">
        <f aca="false">Calendar!F38&amp;""</f>
        <v/>
      </c>
      <c r="D38" s="21" t="n">
        <f aca="false">'Media Plan'!H38</f>
        <v>66858.846329054</v>
      </c>
      <c r="E38" s="21" t="n">
        <f aca="false">'Media Plan'!N38</f>
        <v>42370.904856192</v>
      </c>
      <c r="F38" s="21" t="n">
        <f aca="false">'Media Plan'!T38</f>
        <v>13284.6218541992</v>
      </c>
      <c r="G38" s="21" t="n">
        <f aca="false">'History Y-1'!$F$58*(1+Assumptions!$G$6)*Baseline!Q38</f>
        <v>113254.577396947</v>
      </c>
      <c r="H38" s="21" t="n">
        <f aca="false">'History Y-1'!$G$58*(1+Assumptions!$G$7)*Baseline!R38</f>
        <v>31067.4823569499</v>
      </c>
      <c r="I38" s="21" t="n">
        <f aca="false">'History Y-1'!$H$58*(1+Assumptions!$G$8)*Baseline!S38</f>
        <v>18760.6919462699</v>
      </c>
      <c r="J38" s="55" t="n">
        <f aca="false">SUM(D38:I38)</f>
        <v>285597.124739612</v>
      </c>
      <c r="K38" s="29" t="n">
        <f aca="false">Baseline!B38*(1+Assumptions!$G$18)</f>
        <v>0.0218732569489102</v>
      </c>
      <c r="L38" s="31" t="n">
        <f aca="false">Calendar!G38</f>
        <v>0</v>
      </c>
      <c r="M38" s="55" t="n">
        <f aca="false">J38*K38*(1+L38)</f>
        <v>6246.93929329949</v>
      </c>
      <c r="N38" s="23" t="n">
        <f aca="false">Baseline!C38*(1+Assumptions!$G$19)</f>
        <v>77.1515623423755</v>
      </c>
      <c r="O38" s="49" t="n">
        <f aca="false">M38*N38</f>
        <v>481961.126336031</v>
      </c>
      <c r="P38" s="31" t="n">
        <f aca="false">MAX(0,MIN(0.9,Baseline!E38+Assumptions!$G$20))</f>
        <v>0.0838004019382567</v>
      </c>
      <c r="Q38" s="49" t="n">
        <f aca="false">O38/(1-P38)</f>
        <v>526043.808964377</v>
      </c>
      <c r="R38" s="49" t="n">
        <f aca="false">Q38-O38</f>
        <v>44082.6826283463</v>
      </c>
      <c r="S38" s="31" t="n">
        <f aca="false">MAX(0,Baseline!F38+Assumptions!$G$21)</f>
        <v>0.263412153329654</v>
      </c>
      <c r="T38" s="49" t="n">
        <f aca="false">O38*S38</f>
        <v>126954.418109359</v>
      </c>
      <c r="U38" s="49" t="n">
        <f aca="false">O38-T38</f>
        <v>355006.708226671</v>
      </c>
      <c r="V38" s="21" t="n">
        <f aca="false">M38*Baseline!D38</f>
        <v>11916.2920739607</v>
      </c>
      <c r="W38" s="55" t="n">
        <f aca="false">IFERROR(T38/N38,0)</f>
        <v>1645.51973096765</v>
      </c>
      <c r="X38" s="21" t="n">
        <f aca="false">M38*Baseline!G38</f>
        <v>2243.67447217731</v>
      </c>
      <c r="Y38" s="49" t="n">
        <f aca="false">IFERROR(O38*I38/J38,0)</f>
        <v>31659.7172661012</v>
      </c>
      <c r="Z38" s="55" t="n">
        <f aca="false">V38*S38</f>
        <v>3138.89615490709</v>
      </c>
    </row>
    <row r="39" customFormat="false" ht="15" hidden="false" customHeight="false" outlineLevel="0" collapsed="false">
      <c r="A39" s="13" t="n">
        <v>34</v>
      </c>
      <c r="B39" s="14" t="str">
        <f aca="false">Calendar!D39</f>
        <v>P8</v>
      </c>
      <c r="C39" s="14" t="str">
        <f aca="false">Calendar!F39&amp;""</f>
        <v/>
      </c>
      <c r="D39" s="21" t="n">
        <f aca="false">'Media Plan'!H39</f>
        <v>67156.4040437988</v>
      </c>
      <c r="E39" s="21" t="n">
        <f aca="false">'Media Plan'!N39</f>
        <v>44064.5976133367</v>
      </c>
      <c r="F39" s="21" t="n">
        <f aca="false">'Media Plan'!T39</f>
        <v>13285.7662529601</v>
      </c>
      <c r="G39" s="21" t="n">
        <f aca="false">'History Y-1'!$F$58*(1+Assumptions!$G$6)*Baseline!Q39</f>
        <v>111110.38839841</v>
      </c>
      <c r="H39" s="21" t="n">
        <f aca="false">'History Y-1'!$G$58*(1+Assumptions!$G$7)*Baseline!R39</f>
        <v>30443.7493354033</v>
      </c>
      <c r="I39" s="21" t="n">
        <f aca="false">'History Y-1'!$H$58*(1+Assumptions!$G$8)*Baseline!S39</f>
        <v>19401.1040339083</v>
      </c>
      <c r="J39" s="55" t="n">
        <f aca="false">SUM(D39:I39)</f>
        <v>285462.009677817</v>
      </c>
      <c r="K39" s="29" t="n">
        <f aca="false">Baseline!B39*(1+Assumptions!$G$18)</f>
        <v>0.0211940724888339</v>
      </c>
      <c r="L39" s="31" t="n">
        <f aca="false">Calendar!G39</f>
        <v>0</v>
      </c>
      <c r="M39" s="55" t="n">
        <f aca="false">J39*K39*(1+L39)</f>
        <v>6050.10252591987</v>
      </c>
      <c r="N39" s="23" t="n">
        <f aca="false">Baseline!C39*(1+Assumptions!$G$19)</f>
        <v>76.6376428506274</v>
      </c>
      <c r="O39" s="49" t="n">
        <f aca="false">M39*N39</f>
        <v>463665.596591126</v>
      </c>
      <c r="P39" s="31" t="n">
        <f aca="false">MAX(0,MIN(0.9,Baseline!E39+Assumptions!$G$20))</f>
        <v>0.0772506852430277</v>
      </c>
      <c r="Q39" s="49" t="n">
        <f aca="false">O39/(1-P39)</f>
        <v>502482.731957643</v>
      </c>
      <c r="R39" s="49" t="n">
        <f aca="false">Q39-O39</f>
        <v>38817.1353665165</v>
      </c>
      <c r="S39" s="31" t="n">
        <f aca="false">MAX(0,Baseline!F39+Assumptions!$G$21)</f>
        <v>0.251878705960027</v>
      </c>
      <c r="T39" s="49" t="n">
        <f aca="false">O39*S39</f>
        <v>116787.490467557</v>
      </c>
      <c r="U39" s="49" t="n">
        <f aca="false">O39-T39</f>
        <v>346878.106123569</v>
      </c>
      <c r="V39" s="21" t="n">
        <f aca="false">M39*Baseline!D39</f>
        <v>11633.2121722954</v>
      </c>
      <c r="W39" s="55" t="n">
        <f aca="false">IFERROR(T39/N39,0)</f>
        <v>1523.89199515419</v>
      </c>
      <c r="X39" s="21" t="n">
        <f aca="false">M39*Baseline!G39</f>
        <v>2093.50380772429</v>
      </c>
      <c r="Y39" s="49" t="n">
        <f aca="false">IFERROR(O39*I39/J39,0)</f>
        <v>31512.5101464864</v>
      </c>
      <c r="Z39" s="55" t="n">
        <f aca="false">V39*S39</f>
        <v>2930.15842811622</v>
      </c>
    </row>
    <row r="40" customFormat="false" ht="15" hidden="false" customHeight="false" outlineLevel="0" collapsed="false">
      <c r="A40" s="13" t="n">
        <v>35</v>
      </c>
      <c r="B40" s="14" t="str">
        <f aca="false">Calendar!D40</f>
        <v>P9</v>
      </c>
      <c r="C40" s="14" t="str">
        <f aca="false">Calendar!F40&amp;""</f>
        <v/>
      </c>
      <c r="D40" s="21" t="n">
        <f aca="false">'Media Plan'!H40</f>
        <v>65148.2889698137</v>
      </c>
      <c r="E40" s="21" t="n">
        <f aca="false">'Media Plan'!N40</f>
        <v>41461.5537806651</v>
      </c>
      <c r="F40" s="21" t="n">
        <f aca="false">'Media Plan'!T40</f>
        <v>12932.169906448</v>
      </c>
      <c r="G40" s="21" t="n">
        <f aca="false">'History Y-1'!$F$58*(1+Assumptions!$G$6)*Baseline!Q40</f>
        <v>110184.847302405</v>
      </c>
      <c r="H40" s="21" t="n">
        <f aca="false">'History Y-1'!$G$58*(1+Assumptions!$G$7)*Baseline!R40</f>
        <v>30289.5969671341</v>
      </c>
      <c r="I40" s="21" t="n">
        <f aca="false">'History Y-1'!$H$58*(1+Assumptions!$G$8)*Baseline!S40</f>
        <v>18924.435012305</v>
      </c>
      <c r="J40" s="55" t="n">
        <f aca="false">SUM(D40:I40)</f>
        <v>278940.891938771</v>
      </c>
      <c r="K40" s="29" t="n">
        <f aca="false">Baseline!B40*(1+Assumptions!$G$18)</f>
        <v>0.0219171141220423</v>
      </c>
      <c r="L40" s="31" t="n">
        <f aca="false">Calendar!G40</f>
        <v>0</v>
      </c>
      <c r="M40" s="55" t="n">
        <f aca="false">J40*K40*(1+L40)</f>
        <v>6113.57936192632</v>
      </c>
      <c r="N40" s="23" t="n">
        <f aca="false">Baseline!C40*(1+Assumptions!$G$19)</f>
        <v>75.9083270496134</v>
      </c>
      <c r="O40" s="49" t="n">
        <f aca="false">M40*N40</f>
        <v>464071.58164887</v>
      </c>
      <c r="P40" s="31" t="n">
        <f aca="false">MAX(0,MIN(0.9,Baseline!E40+Assumptions!$G$20))</f>
        <v>0.0811043008517297</v>
      </c>
      <c r="Q40" s="49" t="n">
        <f aca="false">O40/(1-P40)</f>
        <v>505031.83558158</v>
      </c>
      <c r="R40" s="49" t="n">
        <f aca="false">Q40-O40</f>
        <v>40960.2539327096</v>
      </c>
      <c r="S40" s="31" t="n">
        <f aca="false">MAX(0,Baseline!F40+Assumptions!$G$21)</f>
        <v>0.260004387651849</v>
      </c>
      <c r="T40" s="49" t="n">
        <f aca="false">O40*S40</f>
        <v>120660.647413239</v>
      </c>
      <c r="U40" s="49" t="n">
        <f aca="false">O40-T40</f>
        <v>343410.93423563</v>
      </c>
      <c r="V40" s="21" t="n">
        <f aca="false">M40*Baseline!D40</f>
        <v>11513.0858098602</v>
      </c>
      <c r="W40" s="55" t="n">
        <f aca="false">IFERROR(T40/N40,0)</f>
        <v>1589.55745835863</v>
      </c>
      <c r="X40" s="21" t="n">
        <f aca="false">M40*Baseline!G40</f>
        <v>2177.88500301714</v>
      </c>
      <c r="Y40" s="49" t="n">
        <f aca="false">IFERROR(O40*I40/J40,0)</f>
        <v>31484.4210432201</v>
      </c>
      <c r="Z40" s="55" t="n">
        <f aca="false">V40*S40</f>
        <v>2993.45282597589</v>
      </c>
    </row>
    <row r="41" customFormat="false" ht="15" hidden="false" customHeight="false" outlineLevel="0" collapsed="false">
      <c r="A41" s="13" t="n">
        <v>36</v>
      </c>
      <c r="B41" s="14" t="str">
        <f aca="false">Calendar!D41</f>
        <v>P9</v>
      </c>
      <c r="C41" s="14" t="str">
        <f aca="false">Calendar!F41&amp;""</f>
        <v>Mid-season sale</v>
      </c>
      <c r="D41" s="21" t="n">
        <f aca="false">'Media Plan'!H41</f>
        <v>78610.6984979531</v>
      </c>
      <c r="E41" s="21" t="n">
        <f aca="false">'Media Plan'!N41</f>
        <v>52378.1098090075</v>
      </c>
      <c r="F41" s="21" t="n">
        <f aca="false">'Media Plan'!T41</f>
        <v>16515.977945244</v>
      </c>
      <c r="G41" s="21" t="n">
        <f aca="false">'History Y-1'!$F$58*(1+Assumptions!$G$6)*Baseline!Q41</f>
        <v>137857.373640948</v>
      </c>
      <c r="H41" s="21" t="n">
        <f aca="false">'History Y-1'!$G$58*(1+Assumptions!$G$7)*Baseline!R41</f>
        <v>63041.9847268119</v>
      </c>
      <c r="I41" s="21" t="n">
        <f aca="false">'History Y-1'!$H$58*(1+Assumptions!$G$8)*Baseline!S41</f>
        <v>22847.3893557663</v>
      </c>
      <c r="J41" s="55" t="n">
        <f aca="false">SUM(D41:I41)</f>
        <v>371251.533975731</v>
      </c>
      <c r="K41" s="29" t="n">
        <f aca="false">Baseline!B41*(1+Assumptions!$G$18)</f>
        <v>0.0242261806741422</v>
      </c>
      <c r="L41" s="31" t="n">
        <f aca="false">Calendar!G41</f>
        <v>0</v>
      </c>
      <c r="M41" s="55" t="n">
        <f aca="false">J41*K41*(1+L41)</f>
        <v>8994.00673764849</v>
      </c>
      <c r="N41" s="23" t="n">
        <f aca="false">Baseline!C41*(1+Assumptions!$G$19)</f>
        <v>71.031236362177</v>
      </c>
      <c r="O41" s="49" t="n">
        <f aca="false">M41*N41</f>
        <v>638855.418424923</v>
      </c>
      <c r="P41" s="31" t="n">
        <f aca="false">MAX(0,MIN(0.9,Baseline!E41+Assumptions!$G$20))</f>
        <v>0.224314363051865</v>
      </c>
      <c r="Q41" s="49" t="n">
        <f aca="false">O41/(1-P41)</f>
        <v>823600.938311095</v>
      </c>
      <c r="R41" s="49" t="n">
        <f aca="false">Q41-O41</f>
        <v>184745.519886172</v>
      </c>
      <c r="S41" s="31" t="n">
        <f aca="false">MAX(0,Baseline!F41+Assumptions!$G$21)</f>
        <v>0.255857706324971</v>
      </c>
      <c r="T41" s="49" t="n">
        <f aca="false">O41*S41</f>
        <v>163456.082031481</v>
      </c>
      <c r="U41" s="49" t="n">
        <f aca="false">O41-T41</f>
        <v>475399.336393442</v>
      </c>
      <c r="V41" s="21" t="n">
        <f aca="false">M41*Baseline!D41</f>
        <v>17036.0145372195</v>
      </c>
      <c r="W41" s="55" t="n">
        <f aca="false">IFERROR(T41/N41,0)</f>
        <v>2301.18593456608</v>
      </c>
      <c r="X41" s="21" t="n">
        <f aca="false">M41*Baseline!G41</f>
        <v>4112.97169116951</v>
      </c>
      <c r="Y41" s="49" t="n">
        <f aca="false">IFERROR(O41*I41/J41,0)</f>
        <v>39316.1432371331</v>
      </c>
      <c r="Z41" s="55" t="n">
        <f aca="false">V41*S41</f>
        <v>4358.79560441185</v>
      </c>
    </row>
    <row r="42" customFormat="false" ht="15" hidden="false" customHeight="false" outlineLevel="0" collapsed="false">
      <c r="A42" s="13" t="n">
        <v>37</v>
      </c>
      <c r="B42" s="14" t="str">
        <f aca="false">Calendar!D42</f>
        <v>P9</v>
      </c>
      <c r="C42" s="14" t="str">
        <f aca="false">Calendar!F42&amp;""</f>
        <v/>
      </c>
      <c r="D42" s="21" t="n">
        <f aca="false">'Media Plan'!H42</f>
        <v>69051.2154023864</v>
      </c>
      <c r="E42" s="21" t="n">
        <f aca="false">'Media Plan'!N42</f>
        <v>47756.3819693611</v>
      </c>
      <c r="F42" s="21" t="n">
        <f aca="false">'Media Plan'!T42</f>
        <v>14603.7330149922</v>
      </c>
      <c r="G42" s="21" t="n">
        <f aca="false">'History Y-1'!$F$58*(1+Assumptions!$G$6)*Baseline!Q42</f>
        <v>124361.447897752</v>
      </c>
      <c r="H42" s="21" t="n">
        <f aca="false">'History Y-1'!$G$58*(1+Assumptions!$G$7)*Baseline!R42</f>
        <v>34900.9819416417</v>
      </c>
      <c r="I42" s="21" t="n">
        <f aca="false">'History Y-1'!$H$58*(1+Assumptions!$G$8)*Baseline!S42</f>
        <v>20548.2158965671</v>
      </c>
      <c r="J42" s="55" t="n">
        <f aca="false">SUM(D42:I42)</f>
        <v>311221.976122701</v>
      </c>
      <c r="K42" s="29" t="n">
        <f aca="false">Baseline!B42*(1+Assumptions!$G$18)</f>
        <v>0.0220257146690153</v>
      </c>
      <c r="L42" s="31" t="n">
        <f aca="false">Calendar!G42</f>
        <v>0</v>
      </c>
      <c r="M42" s="55" t="n">
        <f aca="false">J42*K42*(1+L42)</f>
        <v>6854.88644480571</v>
      </c>
      <c r="N42" s="23" t="n">
        <f aca="false">Baseline!C42*(1+Assumptions!$G$19)</f>
        <v>77.0999843872292</v>
      </c>
      <c r="O42" s="49" t="n">
        <f aca="false">M42*N42</f>
        <v>528511.637870749</v>
      </c>
      <c r="P42" s="31" t="n">
        <f aca="false">MAX(0,MIN(0.9,Baseline!E42+Assumptions!$G$20))</f>
        <v>0.0808958328972984</v>
      </c>
      <c r="Q42" s="49" t="n">
        <f aca="false">O42/(1-P42)</f>
        <v>575029.095490645</v>
      </c>
      <c r="R42" s="49" t="n">
        <f aca="false">Q42-O42</f>
        <v>46517.4576198959</v>
      </c>
      <c r="S42" s="31" t="n">
        <f aca="false">MAX(0,Baseline!F42+Assumptions!$G$21)</f>
        <v>0.256566036503427</v>
      </c>
      <c r="T42" s="49" t="n">
        <f aca="false">O42*S42</f>
        <v>135598.136174433</v>
      </c>
      <c r="U42" s="49" t="n">
        <f aca="false">O42-T42</f>
        <v>392913.501696317</v>
      </c>
      <c r="V42" s="21" t="n">
        <f aca="false">M42*Baseline!D42</f>
        <v>13243.4551854794</v>
      </c>
      <c r="W42" s="55" t="n">
        <f aca="false">IFERROR(T42/N42,0)</f>
        <v>1758.73104582487</v>
      </c>
      <c r="X42" s="21" t="n">
        <f aca="false">M42*Baseline!G42</f>
        <v>2353.61475129087</v>
      </c>
      <c r="Y42" s="49" t="n">
        <f aca="false">IFERROR(O42*I42/J42,0)</f>
        <v>34894.6156505827</v>
      </c>
      <c r="Z42" s="55" t="n">
        <f aca="false">V42*S42</f>
        <v>3397.82080654922</v>
      </c>
    </row>
    <row r="43" customFormat="false" ht="15" hidden="false" customHeight="false" outlineLevel="0" collapsed="false">
      <c r="A43" s="13" t="n">
        <v>38</v>
      </c>
      <c r="B43" s="14" t="str">
        <f aca="false">Calendar!D43</f>
        <v>P9</v>
      </c>
      <c r="C43" s="14" t="str">
        <f aca="false">Calendar!F43&amp;""</f>
        <v>New: brand collaboration launch</v>
      </c>
      <c r="D43" s="21" t="n">
        <f aca="false">'Media Plan'!H43</f>
        <v>80701.4308407932</v>
      </c>
      <c r="E43" s="21" t="n">
        <f aca="false">'Media Plan'!N43</f>
        <v>52050.9989027039</v>
      </c>
      <c r="F43" s="21" t="n">
        <f aca="false">'Media Plan'!T43</f>
        <v>15479.1032942333</v>
      </c>
      <c r="G43" s="21" t="n">
        <f aca="false">'History Y-1'!$F$58*(1+Assumptions!$G$6)*Baseline!Q43</f>
        <v>132005.565475128</v>
      </c>
      <c r="H43" s="21" t="n">
        <f aca="false">'History Y-1'!$G$58*(1+Assumptions!$G$7)*Baseline!R43</f>
        <v>34756.60244393</v>
      </c>
      <c r="I43" s="21" t="n">
        <f aca="false">'History Y-1'!$H$58*(1+Assumptions!$G$8)*Baseline!S43</f>
        <v>23049.7522850877</v>
      </c>
      <c r="J43" s="55" t="n">
        <f aca="false">SUM(D43:I43)</f>
        <v>338043.453241876</v>
      </c>
      <c r="K43" s="29" t="n">
        <f aca="false">Baseline!B43*(1+Assumptions!$G$18)</f>
        <v>0.0210349134280099</v>
      </c>
      <c r="L43" s="31" t="n">
        <f aca="false">Calendar!G43</f>
        <v>0.08</v>
      </c>
      <c r="M43" s="55" t="n">
        <f aca="false">J43*K43*(1+L43)</f>
        <v>7679.57195575624</v>
      </c>
      <c r="N43" s="23" t="n">
        <f aca="false">Baseline!C43*(1+Assumptions!$G$19)</f>
        <v>75.9437733294047</v>
      </c>
      <c r="O43" s="49" t="n">
        <f aca="false">M43*N43</f>
        <v>583215.671874805</v>
      </c>
      <c r="P43" s="31" t="n">
        <f aca="false">MAX(0,MIN(0.9,Baseline!E43+Assumptions!$G$20))</f>
        <v>0.0777627051224132</v>
      </c>
      <c r="Q43" s="49" t="n">
        <f aca="false">O43/(1-P43)</f>
        <v>632392.200048924</v>
      </c>
      <c r="R43" s="49" t="n">
        <f aca="false">Q43-O43</f>
        <v>49176.5281741186</v>
      </c>
      <c r="S43" s="31" t="n">
        <f aca="false">MAX(0,Baseline!F43+Assumptions!$G$21)</f>
        <v>0.263650323188229</v>
      </c>
      <c r="T43" s="49" t="n">
        <f aca="false">O43*S43</f>
        <v>153765.000378232</v>
      </c>
      <c r="U43" s="49" t="n">
        <f aca="false">O43-T43</f>
        <v>429450.671496573</v>
      </c>
      <c r="V43" s="21" t="n">
        <f aca="false">M43*Baseline!D43</f>
        <v>14886.0762662147</v>
      </c>
      <c r="W43" s="55" t="n">
        <f aca="false">IFERROR(T43/N43,0)</f>
        <v>2024.72162808239</v>
      </c>
      <c r="X43" s="21" t="n">
        <f aca="false">M43*Baseline!G43</f>
        <v>2586.02447233928</v>
      </c>
      <c r="Y43" s="49" t="n">
        <f aca="false">IFERROR(O43*I43/J43,0)</f>
        <v>39767.0081658897</v>
      </c>
      <c r="Z43" s="55" t="n">
        <f aca="false">V43*S43</f>
        <v>3924.71881859212</v>
      </c>
    </row>
    <row r="44" customFormat="false" ht="15" hidden="false" customHeight="false" outlineLevel="0" collapsed="false">
      <c r="A44" s="13" t="n">
        <v>39</v>
      </c>
      <c r="B44" s="14" t="str">
        <f aca="false">Calendar!D44</f>
        <v>P9</v>
      </c>
      <c r="C44" s="14" t="str">
        <f aca="false">Calendar!F44&amp;""</f>
        <v/>
      </c>
      <c r="D44" s="21" t="n">
        <f aca="false">'Media Plan'!H44</f>
        <v>75960.5312493676</v>
      </c>
      <c r="E44" s="21" t="n">
        <f aca="false">'Media Plan'!N44</f>
        <v>51281.6748624975</v>
      </c>
      <c r="F44" s="21" t="n">
        <f aca="false">'Media Plan'!T44</f>
        <v>15672.2179981631</v>
      </c>
      <c r="G44" s="21" t="n">
        <f aca="false">'History Y-1'!$F$58*(1+Assumptions!$G$6)*Baseline!Q44</f>
        <v>127689.765751447</v>
      </c>
      <c r="H44" s="21" t="n">
        <f aca="false">'History Y-1'!$G$58*(1+Assumptions!$G$7)*Baseline!R44</f>
        <v>35171.3824893182</v>
      </c>
      <c r="I44" s="21" t="n">
        <f aca="false">'History Y-1'!$H$58*(1+Assumptions!$G$8)*Baseline!S44</f>
        <v>22100.103543316</v>
      </c>
      <c r="J44" s="55" t="n">
        <f aca="false">SUM(D44:I44)</f>
        <v>327875.67589411</v>
      </c>
      <c r="K44" s="29" t="n">
        <f aca="false">Baseline!B44*(1+Assumptions!$G$18)</f>
        <v>0.0214843722339286</v>
      </c>
      <c r="L44" s="31" t="n">
        <f aca="false">Calendar!G44</f>
        <v>0</v>
      </c>
      <c r="M44" s="55" t="n">
        <f aca="false">J44*K44*(1+L44)</f>
        <v>7044.20306735997</v>
      </c>
      <c r="N44" s="23" t="n">
        <f aca="false">Baseline!C44*(1+Assumptions!$G$19)</f>
        <v>77.4450726040622</v>
      </c>
      <c r="O44" s="49" t="n">
        <f aca="false">M44*N44</f>
        <v>545538.817989451</v>
      </c>
      <c r="P44" s="31" t="n">
        <f aca="false">MAX(0,MIN(0.9,Baseline!E44+Assumptions!$G$20))</f>
        <v>0.0833703783589324</v>
      </c>
      <c r="Q44" s="49" t="n">
        <f aca="false">O44/(1-P44)</f>
        <v>595157.307935082</v>
      </c>
      <c r="R44" s="49" t="n">
        <f aca="false">Q44-O44</f>
        <v>49618.4899456314</v>
      </c>
      <c r="S44" s="31" t="n">
        <f aca="false">MAX(0,Baseline!F44+Assumptions!$G$21)</f>
        <v>0.268034380017755</v>
      </c>
      <c r="T44" s="49" t="n">
        <f aca="false">O44*S44</f>
        <v>146223.158855421</v>
      </c>
      <c r="U44" s="49" t="n">
        <f aca="false">O44-T44</f>
        <v>399315.659134029</v>
      </c>
      <c r="V44" s="21" t="n">
        <f aca="false">M44*Baseline!D44</f>
        <v>13175.6139855672</v>
      </c>
      <c r="W44" s="55" t="n">
        <f aca="false">IFERROR(T44/N44,0)</f>
        <v>1888.088601879</v>
      </c>
      <c r="X44" s="21" t="n">
        <f aca="false">M44*Baseline!G44</f>
        <v>2403.50857176249</v>
      </c>
      <c r="Y44" s="49" t="n">
        <f aca="false">IFERROR(O44*I44/J44,0)</f>
        <v>36771.4510434095</v>
      </c>
      <c r="Z44" s="55" t="n">
        <f aca="false">V44*S44</f>
        <v>3531.51752597478</v>
      </c>
    </row>
    <row r="45" customFormat="false" ht="15" hidden="false" customHeight="false" outlineLevel="0" collapsed="false">
      <c r="A45" s="13" t="n">
        <v>40</v>
      </c>
      <c r="B45" s="14" t="str">
        <f aca="false">Calendar!D45</f>
        <v>P10</v>
      </c>
      <c r="C45" s="14" t="str">
        <f aca="false">Calendar!F45&amp;""</f>
        <v/>
      </c>
      <c r="D45" s="21" t="n">
        <f aca="false">'Media Plan'!H45</f>
        <v>75571.2152889199</v>
      </c>
      <c r="E45" s="21" t="n">
        <f aca="false">'Media Plan'!N45</f>
        <v>46778.2089198851</v>
      </c>
      <c r="F45" s="21" t="n">
        <f aca="false">'Media Plan'!T45</f>
        <v>15255.6252389214</v>
      </c>
      <c r="G45" s="21" t="n">
        <f aca="false">'History Y-1'!$F$58*(1+Assumptions!$G$6)*Baseline!Q45</f>
        <v>128791.904660114</v>
      </c>
      <c r="H45" s="21" t="n">
        <f aca="false">'History Y-1'!$G$58*(1+Assumptions!$G$7)*Baseline!R45</f>
        <v>35273.5223741109</v>
      </c>
      <c r="I45" s="21" t="n">
        <f aca="false">'History Y-1'!$H$58*(1+Assumptions!$G$8)*Baseline!S45</f>
        <v>21260.6163114631</v>
      </c>
      <c r="J45" s="55" t="n">
        <f aca="false">SUM(D45:I45)</f>
        <v>322931.092793415</v>
      </c>
      <c r="K45" s="29" t="n">
        <f aca="false">Baseline!B45*(1+Assumptions!$G$18)</f>
        <v>0.0216371943386716</v>
      </c>
      <c r="L45" s="31" t="n">
        <f aca="false">Calendar!G45</f>
        <v>0</v>
      </c>
      <c r="M45" s="55" t="n">
        <f aca="false">J45*K45*(1+L45)</f>
        <v>6987.32281277071</v>
      </c>
      <c r="N45" s="23" t="n">
        <f aca="false">Baseline!C45*(1+Assumptions!$G$19)</f>
        <v>75.9220555600717</v>
      </c>
      <c r="O45" s="49" t="n">
        <f aca="false">M45*N45</f>
        <v>530491.910807334</v>
      </c>
      <c r="P45" s="31" t="n">
        <f aca="false">MAX(0,MIN(0.9,Baseline!E45+Assumptions!$G$20))</f>
        <v>0.0849437450166834</v>
      </c>
      <c r="Q45" s="49" t="n">
        <f aca="false">O45/(1-P45)</f>
        <v>579736.937394091</v>
      </c>
      <c r="R45" s="49" t="n">
        <f aca="false">Q45-O45</f>
        <v>49245.0265867566</v>
      </c>
      <c r="S45" s="31" t="n">
        <f aca="false">MAX(0,Baseline!F45+Assumptions!$G$21)</f>
        <v>0.260198023202177</v>
      </c>
      <c r="T45" s="49" t="n">
        <f aca="false">O45*S45</f>
        <v>138032.946516814</v>
      </c>
      <c r="U45" s="49" t="n">
        <f aca="false">O45-T45</f>
        <v>392458.96429052</v>
      </c>
      <c r="V45" s="21" t="n">
        <f aca="false">M45*Baseline!D45</f>
        <v>13484.2943350866</v>
      </c>
      <c r="W45" s="55" t="n">
        <f aca="false">IFERROR(T45/N45,0)</f>
        <v>1818.08758335841</v>
      </c>
      <c r="X45" s="21" t="n">
        <f aca="false">M45*Baseline!G45</f>
        <v>2364.46225895143</v>
      </c>
      <c r="Y45" s="49" t="n">
        <f aca="false">IFERROR(O45*I45/J45,0)</f>
        <v>34925.670595692</v>
      </c>
      <c r="Z45" s="55" t="n">
        <f aca="false">V45*S45</f>
        <v>3508.58673026585</v>
      </c>
    </row>
    <row r="46" customFormat="false" ht="15" hidden="false" customHeight="false" outlineLevel="0" collapsed="false">
      <c r="A46" s="13" t="n">
        <v>41</v>
      </c>
      <c r="B46" s="14" t="str">
        <f aca="false">Calendar!D46</f>
        <v>P10</v>
      </c>
      <c r="C46" s="14" t="str">
        <f aca="false">Calendar!F46&amp;""</f>
        <v/>
      </c>
      <c r="D46" s="21" t="n">
        <f aca="false">'Media Plan'!H46</f>
        <v>74015.7649902785</v>
      </c>
      <c r="E46" s="21" t="n">
        <f aca="false">'Media Plan'!N46</f>
        <v>49389.1714623617</v>
      </c>
      <c r="F46" s="21" t="n">
        <f aca="false">'Media Plan'!T46</f>
        <v>15271.8910068306</v>
      </c>
      <c r="G46" s="21" t="n">
        <f aca="false">'History Y-1'!$F$58*(1+Assumptions!$G$6)*Baseline!Q46</f>
        <v>133041.668786105</v>
      </c>
      <c r="H46" s="21" t="n">
        <f aca="false">'History Y-1'!$G$58*(1+Assumptions!$G$7)*Baseline!R46</f>
        <v>36269.8519970212</v>
      </c>
      <c r="I46" s="21" t="n">
        <f aca="false">'History Y-1'!$H$58*(1+Assumptions!$G$8)*Baseline!S46</f>
        <v>21275.4353671043</v>
      </c>
      <c r="J46" s="55" t="n">
        <f aca="false">SUM(D46:I46)</f>
        <v>329263.783609701</v>
      </c>
      <c r="K46" s="29" t="n">
        <f aca="false">Baseline!B46*(1+Assumptions!$G$18)</f>
        <v>0.0217529790730842</v>
      </c>
      <c r="L46" s="31" t="n">
        <f aca="false">Calendar!G46</f>
        <v>0</v>
      </c>
      <c r="M46" s="55" t="n">
        <f aca="false">J46*K46*(1+L46)</f>
        <v>7162.46819438634</v>
      </c>
      <c r="N46" s="23" t="n">
        <f aca="false">Baseline!C46*(1+Assumptions!$G$19)</f>
        <v>76.2081311509607</v>
      </c>
      <c r="O46" s="49" t="n">
        <f aca="false">M46*N46</f>
        <v>545838.315522378</v>
      </c>
      <c r="P46" s="31" t="n">
        <f aca="false">MAX(0,MIN(0.9,Baseline!E46+Assumptions!$G$20))</f>
        <v>0.0771528480792872</v>
      </c>
      <c r="Q46" s="49" t="n">
        <f aca="false">O46/(1-P46)</f>
        <v>591472.070305825</v>
      </c>
      <c r="R46" s="49" t="n">
        <f aca="false">Q46-O46</f>
        <v>45633.7547834468</v>
      </c>
      <c r="S46" s="31" t="n">
        <f aca="false">MAX(0,Baseline!F46+Assumptions!$G$21)</f>
        <v>0.256575550397254</v>
      </c>
      <c r="T46" s="49" t="n">
        <f aca="false">O46*S46</f>
        <v>140048.766233064</v>
      </c>
      <c r="U46" s="49" t="n">
        <f aca="false">O46-T46</f>
        <v>405789.549289314</v>
      </c>
      <c r="V46" s="21" t="n">
        <f aca="false">M46*Baseline!D46</f>
        <v>13797.7897195712</v>
      </c>
      <c r="W46" s="55" t="n">
        <f aca="false">IFERROR(T46/N46,0)</f>
        <v>1837.7142191775</v>
      </c>
      <c r="X46" s="21" t="n">
        <f aca="false">M46*Baseline!G46</f>
        <v>2497.54582805299</v>
      </c>
      <c r="Y46" s="49" t="n">
        <f aca="false">IFERROR(O46*I46/J46,0)</f>
        <v>35269.4355737316</v>
      </c>
      <c r="Z46" s="55" t="n">
        <f aca="false">V46*S46</f>
        <v>3540.17549156456</v>
      </c>
    </row>
    <row r="47" customFormat="false" ht="15" hidden="false" customHeight="false" outlineLevel="0" collapsed="false">
      <c r="A47" s="13" t="n">
        <v>42</v>
      </c>
      <c r="B47" s="14" t="str">
        <f aca="false">Calendar!D47</f>
        <v>P10</v>
      </c>
      <c r="C47" s="14" t="str">
        <f aca="false">Calendar!F47&amp;""</f>
        <v/>
      </c>
      <c r="D47" s="21" t="n">
        <f aca="false">'Media Plan'!H47</f>
        <v>72848.2895201484</v>
      </c>
      <c r="E47" s="21" t="n">
        <f aca="false">'Media Plan'!N47</f>
        <v>50089.6369797859</v>
      </c>
      <c r="F47" s="21" t="n">
        <f aca="false">'Media Plan'!T47</f>
        <v>15873.9596207131</v>
      </c>
      <c r="G47" s="21" t="n">
        <f aca="false">'History Y-1'!$F$58*(1+Assumptions!$G$6)*Baseline!Q47</f>
        <v>124247.44995008</v>
      </c>
      <c r="H47" s="21" t="n">
        <f aca="false">'History Y-1'!$G$58*(1+Assumptions!$G$7)*Baseline!R47</f>
        <v>35795.2865864895</v>
      </c>
      <c r="I47" s="21" t="n">
        <f aca="false">'History Y-1'!$H$58*(1+Assumptions!$G$8)*Baseline!S47</f>
        <v>21417.2125820691</v>
      </c>
      <c r="J47" s="55" t="n">
        <f aca="false">SUM(D47:I47)</f>
        <v>320271.835239286</v>
      </c>
      <c r="K47" s="29" t="n">
        <f aca="false">Baseline!B47*(1+Assumptions!$G$18)</f>
        <v>0.0216345662944982</v>
      </c>
      <c r="L47" s="31" t="n">
        <f aca="false">Calendar!G47</f>
        <v>0</v>
      </c>
      <c r="M47" s="55" t="n">
        <f aca="false">J47*K47*(1+L47)</f>
        <v>6928.94225174496</v>
      </c>
      <c r="N47" s="23" t="n">
        <f aca="false">Baseline!C47*(1+Assumptions!$G$19)</f>
        <v>77.3861528529687</v>
      </c>
      <c r="O47" s="49" t="n">
        <f aca="false">M47*N47</f>
        <v>536204.184202928</v>
      </c>
      <c r="P47" s="31" t="n">
        <f aca="false">MAX(0,MIN(0.9,Baseline!E47+Assumptions!$G$20))</f>
        <v>0.0794432081424889</v>
      </c>
      <c r="Q47" s="49" t="n">
        <f aca="false">O47/(1-P47)</f>
        <v>582478.114273611</v>
      </c>
      <c r="R47" s="49" t="n">
        <f aca="false">Q47-O47</f>
        <v>46273.930070683</v>
      </c>
      <c r="S47" s="31" t="n">
        <f aca="false">MAX(0,Baseline!F47+Assumptions!$G$21)</f>
        <v>0.260198695138602</v>
      </c>
      <c r="T47" s="49" t="n">
        <f aca="false">O47*S47</f>
        <v>139519.629057461</v>
      </c>
      <c r="U47" s="49" t="n">
        <f aca="false">O47-T47</f>
        <v>396684.555145468</v>
      </c>
      <c r="V47" s="21" t="n">
        <f aca="false">M47*Baseline!D47</f>
        <v>13406.6757735577</v>
      </c>
      <c r="W47" s="55" t="n">
        <f aca="false">IFERROR(T47/N47,0)</f>
        <v>1802.90173259477</v>
      </c>
      <c r="X47" s="21" t="n">
        <f aca="false">M47*Baseline!G47</f>
        <v>2421.00189248394</v>
      </c>
      <c r="Y47" s="49" t="n">
        <f aca="false">IFERROR(O47*I47/J47,0)</f>
        <v>35857.0368571091</v>
      </c>
      <c r="Z47" s="55" t="n">
        <f aca="false">V47*S47</f>
        <v>3488.39954242603</v>
      </c>
    </row>
    <row r="48" customFormat="false" ht="15" hidden="false" customHeight="false" outlineLevel="0" collapsed="false">
      <c r="A48" s="13" t="n">
        <v>43</v>
      </c>
      <c r="B48" s="14" t="str">
        <f aca="false">Calendar!D48</f>
        <v>P10</v>
      </c>
      <c r="C48" s="14" t="str">
        <f aca="false">Calendar!F48&amp;""</f>
        <v>Black Friday</v>
      </c>
      <c r="D48" s="21" t="n">
        <f aca="false">'Media Plan'!H48</f>
        <v>153433.263835588</v>
      </c>
      <c r="E48" s="21" t="n">
        <f aca="false">'Media Plan'!N48</f>
        <v>95804.2057472665</v>
      </c>
      <c r="F48" s="21" t="n">
        <f aca="false">'Media Plan'!T48</f>
        <v>29381.6811252201</v>
      </c>
      <c r="G48" s="21" t="n">
        <f aca="false">'History Y-1'!$F$58*(1+Assumptions!$G$6)*Baseline!Q48</f>
        <v>244506.918464111</v>
      </c>
      <c r="H48" s="21" t="n">
        <f aca="false">'History Y-1'!$G$58*(1+Assumptions!$G$7)*Baseline!R48</f>
        <v>108886.068503935</v>
      </c>
      <c r="I48" s="21" t="n">
        <f aca="false">'History Y-1'!$H$58*(1+Assumptions!$G$8)*Baseline!S48</f>
        <v>43187.6967743941</v>
      </c>
      <c r="J48" s="55" t="n">
        <f aca="false">SUM(D48:I48)</f>
        <v>675199.834450516</v>
      </c>
      <c r="K48" s="29" t="n">
        <f aca="false">Baseline!B48*(1+Assumptions!$G$18)</f>
        <v>0.0302576250964833</v>
      </c>
      <c r="L48" s="31" t="n">
        <f aca="false">Calendar!G48</f>
        <v>0</v>
      </c>
      <c r="M48" s="55" t="n">
        <f aca="false">J48*K48*(1+L48)</f>
        <v>20429.9434560113</v>
      </c>
      <c r="N48" s="23" t="n">
        <f aca="false">Baseline!C48*(1+Assumptions!$G$19)</f>
        <v>72.3463084322966</v>
      </c>
      <c r="O48" s="49" t="n">
        <f aca="false">M48*N48</f>
        <v>1478030.99052297</v>
      </c>
      <c r="P48" s="31" t="n">
        <f aca="false">MAX(0,MIN(0.9,Baseline!E48+Assumptions!$G$20))</f>
        <v>0.248301186391011</v>
      </c>
      <c r="Q48" s="49" t="n">
        <f aca="false">O48/(1-P48)</f>
        <v>1966254.25471511</v>
      </c>
      <c r="R48" s="49" t="n">
        <f aca="false">Q48-O48</f>
        <v>488223.264192135</v>
      </c>
      <c r="S48" s="31" t="n">
        <f aca="false">MAX(0,Baseline!F48+Assumptions!$G$21)</f>
        <v>0.275522466840211</v>
      </c>
      <c r="T48" s="49" t="n">
        <f aca="false">O48*S48</f>
        <v>407230.74457517</v>
      </c>
      <c r="U48" s="49" t="n">
        <f aca="false">O48-T48</f>
        <v>1070800.2459478</v>
      </c>
      <c r="V48" s="21" t="n">
        <f aca="false">M48*Baseline!D48</f>
        <v>38360.172415901</v>
      </c>
      <c r="W48" s="55" t="n">
        <f aca="false">IFERROR(T48/N48,0)</f>
        <v>5628.90841840626</v>
      </c>
      <c r="X48" s="21" t="n">
        <f aca="false">M48*Baseline!G48</f>
        <v>9106.94357680206</v>
      </c>
      <c r="Y48" s="49" t="n">
        <f aca="false">IFERROR(O48*I48/J48,0)</f>
        <v>94539.0549359526</v>
      </c>
      <c r="Z48" s="55" t="n">
        <f aca="false">V48*S48</f>
        <v>10569.0893324449</v>
      </c>
    </row>
    <row r="49" customFormat="false" ht="15" hidden="false" customHeight="false" outlineLevel="0" collapsed="false">
      <c r="A49" s="13" t="n">
        <v>44</v>
      </c>
      <c r="B49" s="14" t="str">
        <f aca="false">Calendar!D49</f>
        <v>P11</v>
      </c>
      <c r="C49" s="14" t="str">
        <f aca="false">Calendar!F49&amp;""</f>
        <v>Cyber week</v>
      </c>
      <c r="D49" s="21" t="n">
        <f aca="false">'Media Plan'!H49</f>
        <v>118814.473973786</v>
      </c>
      <c r="E49" s="21" t="n">
        <f aca="false">'Media Plan'!N49</f>
        <v>74905.1116971589</v>
      </c>
      <c r="F49" s="21" t="n">
        <f aca="false">'Media Plan'!T49</f>
        <v>23728.2256718497</v>
      </c>
      <c r="G49" s="21" t="n">
        <f aca="false">'History Y-1'!$F$58*(1+Assumptions!$G$6)*Baseline!Q49</f>
        <v>192262.209269611</v>
      </c>
      <c r="H49" s="21" t="n">
        <f aca="false">'History Y-1'!$G$58*(1+Assumptions!$G$7)*Baseline!R49</f>
        <v>89370.2166639325</v>
      </c>
      <c r="I49" s="21" t="n">
        <f aca="false">'History Y-1'!$H$58*(1+Assumptions!$G$8)*Baseline!S49</f>
        <v>33550.1310888011</v>
      </c>
      <c r="J49" s="55" t="n">
        <f aca="false">SUM(D49:I49)</f>
        <v>532630.368365139</v>
      </c>
      <c r="K49" s="29" t="n">
        <f aca="false">Baseline!B49*(1+Assumptions!$G$18)</f>
        <v>0.0267440330584746</v>
      </c>
      <c r="L49" s="31" t="n">
        <f aca="false">Calendar!G49</f>
        <v>0</v>
      </c>
      <c r="M49" s="55" t="n">
        <f aca="false">J49*K49*(1+L49)</f>
        <v>14244.6841795048</v>
      </c>
      <c r="N49" s="23" t="n">
        <f aca="false">Baseline!C49*(1+Assumptions!$G$19)</f>
        <v>75.4383086333756</v>
      </c>
      <c r="O49" s="49" t="n">
        <f aca="false">M49*N49</f>
        <v>1074594.88151845</v>
      </c>
      <c r="P49" s="31" t="n">
        <f aca="false">MAX(0,MIN(0.9,Baseline!E49+Assumptions!$G$20))</f>
        <v>0.223130144135904</v>
      </c>
      <c r="Q49" s="49" t="n">
        <f aca="false">O49/(1-P49)</f>
        <v>1383236.68167456</v>
      </c>
      <c r="R49" s="49" t="n">
        <f aca="false">Q49-O49</f>
        <v>308641.800156113</v>
      </c>
      <c r="S49" s="31" t="n">
        <f aca="false">MAX(0,Baseline!F49+Assumptions!$G$21)</f>
        <v>0.286575752943282</v>
      </c>
      <c r="T49" s="49" t="n">
        <f aca="false">O49*S49</f>
        <v>307952.837280146</v>
      </c>
      <c r="U49" s="49" t="n">
        <f aca="false">O49-T49</f>
        <v>766642.044238299</v>
      </c>
      <c r="V49" s="21" t="n">
        <f aca="false">M49*Baseline!D49</f>
        <v>26502.272639793</v>
      </c>
      <c r="W49" s="55" t="n">
        <f aca="false">IFERROR(T49/N49,0)</f>
        <v>4082.18109418085</v>
      </c>
      <c r="X49" s="21" t="n">
        <f aca="false">M49*Baseline!G49</f>
        <v>6314.64017085456</v>
      </c>
      <c r="Y49" s="49" t="n">
        <f aca="false">IFERROR(O49*I49/J49,0)</f>
        <v>67688.2154747567</v>
      </c>
      <c r="Z49" s="55" t="n">
        <f aca="false">V49*S49</f>
        <v>7594.90873645683</v>
      </c>
    </row>
    <row r="50" customFormat="false" ht="15" hidden="false" customHeight="false" outlineLevel="0" collapsed="false">
      <c r="A50" s="13" t="n">
        <v>45</v>
      </c>
      <c r="B50" s="14" t="str">
        <f aca="false">Calendar!D50</f>
        <v>P11</v>
      </c>
      <c r="C50" s="14" t="str">
        <f aca="false">Calendar!F50&amp;""</f>
        <v/>
      </c>
      <c r="D50" s="21" t="n">
        <f aca="false">'Media Plan'!H50</f>
        <v>104215.519275263</v>
      </c>
      <c r="E50" s="21" t="n">
        <f aca="false">'Media Plan'!N50</f>
        <v>66663.0496426033</v>
      </c>
      <c r="F50" s="21" t="n">
        <f aca="false">'Media Plan'!T50</f>
        <v>22122.5834998905</v>
      </c>
      <c r="G50" s="21" t="n">
        <f aca="false">'History Y-1'!$F$58*(1+Assumptions!$G$6)*Baseline!Q50</f>
        <v>171524.933753665</v>
      </c>
      <c r="H50" s="21" t="n">
        <f aca="false">'History Y-1'!$G$58*(1+Assumptions!$G$7)*Baseline!R50</f>
        <v>45852.841874108</v>
      </c>
      <c r="I50" s="21" t="n">
        <f aca="false">'History Y-1'!$H$58*(1+Assumptions!$G$8)*Baseline!S50</f>
        <v>28820.4979933649</v>
      </c>
      <c r="J50" s="55" t="n">
        <f aca="false">SUM(D50:I50)</f>
        <v>439199.426038895</v>
      </c>
      <c r="K50" s="29" t="n">
        <f aca="false">Baseline!B50*(1+Assumptions!$G$18)</f>
        <v>0.0240287219450672</v>
      </c>
      <c r="L50" s="31" t="n">
        <f aca="false">Calendar!G50</f>
        <v>0</v>
      </c>
      <c r="M50" s="55" t="n">
        <f aca="false">J50*K50*(1+L50)</f>
        <v>10553.4008867217</v>
      </c>
      <c r="N50" s="23" t="n">
        <f aca="false">Baseline!C50*(1+Assumptions!$G$19)</f>
        <v>84.4614696535499</v>
      </c>
      <c r="O50" s="49" t="n">
        <f aca="false">M50*N50</f>
        <v>891355.74873559</v>
      </c>
      <c r="P50" s="31" t="n">
        <f aca="false">MAX(0,MIN(0.9,Baseline!E50+Assumptions!$G$20))</f>
        <v>0.0789039231763998</v>
      </c>
      <c r="Q50" s="49" t="n">
        <f aca="false">O50/(1-P50)</f>
        <v>967712.023928525</v>
      </c>
      <c r="R50" s="49" t="n">
        <f aca="false">Q50-O50</f>
        <v>76356.2751929347</v>
      </c>
      <c r="S50" s="31" t="n">
        <f aca="false">MAX(0,Baseline!F50+Assumptions!$G$21)</f>
        <v>0.272685002220714</v>
      </c>
      <c r="T50" s="49" t="n">
        <f aca="false">O50*S50</f>
        <v>243059.344323411</v>
      </c>
      <c r="U50" s="49" t="n">
        <f aca="false">O50-T50</f>
        <v>648296.404412179</v>
      </c>
      <c r="V50" s="21" t="n">
        <f aca="false">M50*Baseline!D50</f>
        <v>19819.8760779651</v>
      </c>
      <c r="W50" s="55" t="n">
        <f aca="false">IFERROR(T50/N50,0)</f>
        <v>2877.75414423179</v>
      </c>
      <c r="X50" s="21" t="n">
        <f aca="false">M50*Baseline!G50</f>
        <v>3773.14681555741</v>
      </c>
      <c r="Y50" s="49" t="n">
        <f aca="false">IFERROR(O50*I50/J50,0)</f>
        <v>58491.2343795581</v>
      </c>
      <c r="Z50" s="55" t="n">
        <f aca="false">V50*S50</f>
        <v>5404.58295233419</v>
      </c>
    </row>
    <row r="51" customFormat="false" ht="15" hidden="false" customHeight="false" outlineLevel="0" collapsed="false">
      <c r="A51" s="13" t="n">
        <v>46</v>
      </c>
      <c r="B51" s="14" t="str">
        <f aca="false">Calendar!D51</f>
        <v>P11</v>
      </c>
      <c r="C51" s="14" t="str">
        <f aca="false">Calendar!F51&amp;""</f>
        <v/>
      </c>
      <c r="D51" s="21" t="n">
        <f aca="false">'Media Plan'!H51</f>
        <v>93149.3277786893</v>
      </c>
      <c r="E51" s="21" t="n">
        <f aca="false">'Media Plan'!N51</f>
        <v>59174.2280517973</v>
      </c>
      <c r="F51" s="21" t="n">
        <f aca="false">'Media Plan'!T51</f>
        <v>19852.5848952892</v>
      </c>
      <c r="G51" s="21" t="n">
        <f aca="false">'History Y-1'!$F$58*(1+Assumptions!$G$6)*Baseline!Q51</f>
        <v>161509.469969106</v>
      </c>
      <c r="H51" s="21" t="n">
        <f aca="false">'History Y-1'!$G$58*(1+Assumptions!$G$7)*Baseline!R51</f>
        <v>42991.1100888962</v>
      </c>
      <c r="I51" s="21" t="n">
        <f aca="false">'History Y-1'!$H$58*(1+Assumptions!$G$8)*Baseline!S51</f>
        <v>26580.8519441767</v>
      </c>
      <c r="J51" s="55" t="n">
        <f aca="false">SUM(D51:I51)</f>
        <v>403257.572727955</v>
      </c>
      <c r="K51" s="29" t="n">
        <f aca="false">Baseline!B51*(1+Assumptions!$G$18)</f>
        <v>0.0234169531436125</v>
      </c>
      <c r="L51" s="31" t="n">
        <f aca="false">Calendar!G51</f>
        <v>0</v>
      </c>
      <c r="M51" s="55" t="n">
        <f aca="false">J51*K51*(1+L51)</f>
        <v>9443.06368537741</v>
      </c>
      <c r="N51" s="23" t="n">
        <f aca="false">Baseline!C51*(1+Assumptions!$G$19)</f>
        <v>85.0211227789173</v>
      </c>
      <c r="O51" s="49" t="n">
        <f aca="false">M51*N51</f>
        <v>802859.877003609</v>
      </c>
      <c r="P51" s="31" t="n">
        <f aca="false">MAX(0,MIN(0.9,Baseline!E51+Assumptions!$G$20))</f>
        <v>0.0759866593203023</v>
      </c>
      <c r="Q51" s="49" t="n">
        <f aca="false">O51/(1-P51)</f>
        <v>868883.425874599</v>
      </c>
      <c r="R51" s="49" t="n">
        <f aca="false">Q51-O51</f>
        <v>66023.5488709903</v>
      </c>
      <c r="S51" s="31" t="n">
        <f aca="false">MAX(0,Baseline!F51+Assumptions!$G$21)</f>
        <v>0.279624781033422</v>
      </c>
      <c r="T51" s="49" t="n">
        <f aca="false">O51*S51</f>
        <v>224499.517307654</v>
      </c>
      <c r="U51" s="49" t="n">
        <f aca="false">O51-T51</f>
        <v>578360.359695955</v>
      </c>
      <c r="V51" s="21" t="n">
        <f aca="false">M51*Baseline!D51</f>
        <v>18179.8715599725</v>
      </c>
      <c r="W51" s="55" t="n">
        <f aca="false">IFERROR(T51/N51,0)</f>
        <v>2640.51461530831</v>
      </c>
      <c r="X51" s="21" t="n">
        <f aca="false">M51*Baseline!G51</f>
        <v>3337.26991172949</v>
      </c>
      <c r="Y51" s="49" t="n">
        <f aca="false">IFERROR(O51*I51/J51,0)</f>
        <v>52920.765698676</v>
      </c>
      <c r="Z51" s="55" t="n">
        <f aca="false">V51*S51</f>
        <v>5083.54260417305</v>
      </c>
    </row>
    <row r="52" customFormat="false" ht="15" hidden="false" customHeight="false" outlineLevel="0" collapsed="false">
      <c r="A52" s="13" t="n">
        <v>47</v>
      </c>
      <c r="B52" s="14" t="str">
        <f aca="false">Calendar!D52</f>
        <v>P11</v>
      </c>
      <c r="C52" s="14" t="str">
        <f aca="false">Calendar!F52&amp;""</f>
        <v/>
      </c>
      <c r="D52" s="21" t="n">
        <f aca="false">'Media Plan'!H52</f>
        <v>70425.5683142832</v>
      </c>
      <c r="E52" s="21" t="n">
        <f aca="false">'Media Plan'!N52</f>
        <v>44517.9218944528</v>
      </c>
      <c r="F52" s="21" t="n">
        <f aca="false">'Media Plan'!T52</f>
        <v>14125.6520851798</v>
      </c>
      <c r="G52" s="21" t="n">
        <f aca="false">'History Y-1'!$F$58*(1+Assumptions!$G$6)*Baseline!Q52</f>
        <v>114473.421197949</v>
      </c>
      <c r="H52" s="21" t="n">
        <f aca="false">'History Y-1'!$G$58*(1+Assumptions!$G$7)*Baseline!R52</f>
        <v>32854.6181683565</v>
      </c>
      <c r="I52" s="21" t="n">
        <f aca="false">'History Y-1'!$H$58*(1+Assumptions!$G$8)*Baseline!S52</f>
        <v>19925.7304717542</v>
      </c>
      <c r="J52" s="55" t="n">
        <f aca="false">SUM(D52:I52)</f>
        <v>296322.912131976</v>
      </c>
      <c r="K52" s="29" t="n">
        <f aca="false">Baseline!B52*(1+Assumptions!$G$18)</f>
        <v>0.0218037691293392</v>
      </c>
      <c r="L52" s="31" t="n">
        <f aca="false">Calendar!G52</f>
        <v>0</v>
      </c>
      <c r="M52" s="55" t="n">
        <f aca="false">J52*K52*(1+L52)</f>
        <v>6460.95636385905</v>
      </c>
      <c r="N52" s="23" t="n">
        <f aca="false">Baseline!C52*(1+Assumptions!$G$19)</f>
        <v>77.7855105124883</v>
      </c>
      <c r="O52" s="49" t="n">
        <f aca="false">M52*N52</f>
        <v>502568.789161687</v>
      </c>
      <c r="P52" s="31" t="n">
        <f aca="false">MAX(0,MIN(0.9,Baseline!E52+Assumptions!$G$20))</f>
        <v>0.0811083648713877</v>
      </c>
      <c r="Q52" s="49" t="n">
        <f aca="false">O52/(1-P52)</f>
        <v>546929.333066945</v>
      </c>
      <c r="R52" s="49" t="n">
        <f aca="false">Q52-O52</f>
        <v>44360.5439052586</v>
      </c>
      <c r="S52" s="31" t="n">
        <f aca="false">MAX(0,Baseline!F52+Assumptions!$G$21)</f>
        <v>0.262480139495037</v>
      </c>
      <c r="T52" s="49" t="n">
        <f aca="false">O52*S52</f>
        <v>131914.325885011</v>
      </c>
      <c r="U52" s="49" t="n">
        <f aca="false">O52-T52</f>
        <v>370654.463276675</v>
      </c>
      <c r="V52" s="21" t="n">
        <f aca="false">M52*Baseline!D52</f>
        <v>12498.1464956837</v>
      </c>
      <c r="W52" s="55" t="n">
        <f aca="false">IFERROR(T52/N52,0)</f>
        <v>1695.87272765707</v>
      </c>
      <c r="X52" s="21" t="n">
        <f aca="false">M52*Baseline!G52</f>
        <v>2249.28300496716</v>
      </c>
      <c r="Y52" s="49" t="n">
        <f aca="false">IFERROR(O52*I52/J52,0)</f>
        <v>33794.3838507215</v>
      </c>
      <c r="Z52" s="55" t="n">
        <f aca="false">V52*S52</f>
        <v>3280.51523561646</v>
      </c>
    </row>
    <row r="53" customFormat="false" ht="15" hidden="false" customHeight="false" outlineLevel="0" collapsed="false">
      <c r="A53" s="13" t="n">
        <v>48</v>
      </c>
      <c r="B53" s="14" t="str">
        <f aca="false">Calendar!D53</f>
        <v>P12</v>
      </c>
      <c r="C53" s="14" t="str">
        <f aca="false">Calendar!F53&amp;""</f>
        <v>Boxing Day sale</v>
      </c>
      <c r="D53" s="21" t="n">
        <f aca="false">'Media Plan'!H53</f>
        <v>115811.868242207</v>
      </c>
      <c r="E53" s="21" t="n">
        <f aca="false">'Media Plan'!N53</f>
        <v>73659.2943591121</v>
      </c>
      <c r="F53" s="21" t="n">
        <f aca="false">'Media Plan'!T53</f>
        <v>24229.1602427651</v>
      </c>
      <c r="G53" s="21" t="n">
        <f aca="false">'History Y-1'!$F$58*(1+Assumptions!$G$6)*Baseline!Q53</f>
        <v>197105.378712052</v>
      </c>
      <c r="H53" s="21" t="n">
        <f aca="false">'History Y-1'!$G$58*(1+Assumptions!$G$7)*Baseline!R53</f>
        <v>88362.7850960155</v>
      </c>
      <c r="I53" s="21" t="n">
        <f aca="false">'History Y-1'!$H$58*(1+Assumptions!$G$8)*Baseline!S53</f>
        <v>32794.9137039735</v>
      </c>
      <c r="J53" s="55" t="n">
        <f aca="false">SUM(D53:I53)</f>
        <v>531963.400356126</v>
      </c>
      <c r="K53" s="29" t="n">
        <f aca="false">Baseline!B53*(1+Assumptions!$G$18)</f>
        <v>0.027996719232067</v>
      </c>
      <c r="L53" s="31" t="n">
        <f aca="false">Calendar!G53</f>
        <v>0</v>
      </c>
      <c r="M53" s="55" t="n">
        <f aca="false">J53*K53*(1+L53)</f>
        <v>14893.2299615061</v>
      </c>
      <c r="N53" s="23" t="n">
        <f aca="false">Baseline!C53*(1+Assumptions!$G$19)</f>
        <v>68.157655177534</v>
      </c>
      <c r="O53" s="49" t="n">
        <f aca="false">M53*N53</f>
        <v>1015087.63219605</v>
      </c>
      <c r="P53" s="31" t="n">
        <f aca="false">MAX(0,MIN(0.9,Baseline!E53+Assumptions!$G$20))</f>
        <v>0.32955226829625</v>
      </c>
      <c r="Q53" s="49" t="n">
        <f aca="false">O53/(1-P53)</f>
        <v>1514044.39778847</v>
      </c>
      <c r="R53" s="49" t="n">
        <f aca="false">Q53-O53</f>
        <v>498956.76559242</v>
      </c>
      <c r="S53" s="31" t="n">
        <f aca="false">MAX(0,Baseline!F53+Assumptions!$G$21)</f>
        <v>0.242630062021765</v>
      </c>
      <c r="T53" s="49" t="n">
        <f aca="false">O53*S53</f>
        <v>246290.775157254</v>
      </c>
      <c r="U53" s="49" t="n">
        <f aca="false">O53-T53</f>
        <v>768796.857038796</v>
      </c>
      <c r="V53" s="21" t="n">
        <f aca="false">M53*Baseline!D53</f>
        <v>27836.4688362612</v>
      </c>
      <c r="W53" s="55" t="n">
        <f aca="false">IFERROR(T53/N53,0)</f>
        <v>3613.54530926463</v>
      </c>
      <c r="X53" s="21" t="n">
        <f aca="false">M53*Baseline!G53</f>
        <v>6550.62215684675</v>
      </c>
      <c r="Y53" s="49" t="n">
        <f aca="false">IFERROR(O53*I53/J53,0)</f>
        <v>62578.9505021479</v>
      </c>
      <c r="Z53" s="55" t="n">
        <f aca="false">V53*S53</f>
        <v>6753.96416020898</v>
      </c>
    </row>
    <row r="54" customFormat="false" ht="15" hidden="false" customHeight="false" outlineLevel="0" collapsed="false">
      <c r="A54" s="13" t="n">
        <v>49</v>
      </c>
      <c r="B54" s="14" t="str">
        <f aca="false">Calendar!D54</f>
        <v>P12</v>
      </c>
      <c r="C54" s="14" t="str">
        <f aca="false">Calendar!F54&amp;""</f>
        <v>January sale</v>
      </c>
      <c r="D54" s="21" t="n">
        <f aca="false">'Media Plan'!H54</f>
        <v>94592.2422299218</v>
      </c>
      <c r="E54" s="21" t="n">
        <f aca="false">'Media Plan'!N54</f>
        <v>64126.4980872441</v>
      </c>
      <c r="F54" s="21" t="n">
        <f aca="false">'Media Plan'!T54</f>
        <v>19163.4119594842</v>
      </c>
      <c r="G54" s="21" t="n">
        <f aca="false">'History Y-1'!$F$58*(1+Assumptions!$G$6)*Baseline!Q54</f>
        <v>168637.04866439</v>
      </c>
      <c r="H54" s="21" t="n">
        <f aca="false">'History Y-1'!$G$58*(1+Assumptions!$G$7)*Baseline!R54</f>
        <v>73840.491551243</v>
      </c>
      <c r="I54" s="21" t="n">
        <f aca="false">'History Y-1'!$H$58*(1+Assumptions!$G$8)*Baseline!S54</f>
        <v>27111.0892359816</v>
      </c>
      <c r="J54" s="55" t="n">
        <f aca="false">SUM(D54:I54)</f>
        <v>447470.781728264</v>
      </c>
      <c r="K54" s="29" t="n">
        <f aca="false">Baseline!B54*(1+Assumptions!$G$18)</f>
        <v>0.0257916906481537</v>
      </c>
      <c r="L54" s="31" t="n">
        <f aca="false">Calendar!G54</f>
        <v>0</v>
      </c>
      <c r="M54" s="55" t="n">
        <f aca="false">J54*K54*(1+L54)</f>
        <v>11541.0279764229</v>
      </c>
      <c r="N54" s="23" t="n">
        <f aca="false">Baseline!C54*(1+Assumptions!$G$19)</f>
        <v>67.5451439507533</v>
      </c>
      <c r="O54" s="49" t="n">
        <f aca="false">M54*N54</f>
        <v>779540.396007157</v>
      </c>
      <c r="P54" s="31" t="n">
        <f aca="false">MAX(0,MIN(0.9,Baseline!E54+Assumptions!$G$20))</f>
        <v>0.315418319657578</v>
      </c>
      <c r="Q54" s="49" t="n">
        <f aca="false">O54/(1-P54)</f>
        <v>1138710.57083683</v>
      </c>
      <c r="R54" s="49" t="n">
        <f aca="false">Q54-O54</f>
        <v>359170.174829675</v>
      </c>
      <c r="S54" s="31" t="n">
        <f aca="false">MAX(0,Baseline!F54+Assumptions!$G$21)</f>
        <v>0.235779204030486</v>
      </c>
      <c r="T54" s="49" t="n">
        <f aca="false">O54*S54</f>
        <v>183799.414080177</v>
      </c>
      <c r="U54" s="49" t="n">
        <f aca="false">O54-T54</f>
        <v>595740.98192698</v>
      </c>
      <c r="V54" s="21" t="n">
        <f aca="false">M54*Baseline!D54</f>
        <v>21936.0713531787</v>
      </c>
      <c r="W54" s="55" t="n">
        <f aca="false">IFERROR(T54/N54,0)</f>
        <v>2721.13438997456</v>
      </c>
      <c r="X54" s="21" t="n">
        <f aca="false">M54*Baseline!G54</f>
        <v>5321.16667777634</v>
      </c>
      <c r="Y54" s="49" t="n">
        <f aca="false">IFERROR(O54*I54/J54,0)</f>
        <v>47230.3222962983</v>
      </c>
      <c r="Z54" s="55" t="n">
        <f aca="false">V54*S54</f>
        <v>5172.06944320841</v>
      </c>
    </row>
    <row r="55" customFormat="false" ht="15" hidden="false" customHeight="false" outlineLevel="0" collapsed="false">
      <c r="A55" s="13" t="n">
        <v>50</v>
      </c>
      <c r="B55" s="14" t="str">
        <f aca="false">Calendar!D55</f>
        <v>P12</v>
      </c>
      <c r="C55" s="14" t="str">
        <f aca="false">Calendar!F55&amp;""</f>
        <v>January sale</v>
      </c>
      <c r="D55" s="21" t="n">
        <f aca="false">'Media Plan'!H55</f>
        <v>81819.0981733454</v>
      </c>
      <c r="E55" s="21" t="n">
        <f aca="false">'Media Plan'!N55</f>
        <v>54262.5883820828</v>
      </c>
      <c r="F55" s="21" t="n">
        <f aca="false">'Media Plan'!T55</f>
        <v>16668.1134053981</v>
      </c>
      <c r="G55" s="21" t="n">
        <f aca="false">'History Y-1'!$F$58*(1+Assumptions!$G$6)*Baseline!Q55</f>
        <v>139761.758897035</v>
      </c>
      <c r="H55" s="21" t="n">
        <f aca="false">'History Y-1'!$G$58*(1+Assumptions!$G$7)*Baseline!R55</f>
        <v>39384.0130293522</v>
      </c>
      <c r="I55" s="21" t="n">
        <f aca="false">'History Y-1'!$H$58*(1+Assumptions!$G$8)*Baseline!S55</f>
        <v>24084.2156310887</v>
      </c>
      <c r="J55" s="55" t="n">
        <f aca="false">SUM(D55:I55)</f>
        <v>355979.787518302</v>
      </c>
      <c r="K55" s="29" t="n">
        <f aca="false">Baseline!B55*(1+Assumptions!$G$18)</f>
        <v>0.0235969276413105</v>
      </c>
      <c r="L55" s="31" t="n">
        <f aca="false">Calendar!G55</f>
        <v>0</v>
      </c>
      <c r="M55" s="55" t="n">
        <f aca="false">J55*K55*(1+L55)</f>
        <v>8400.02928783847</v>
      </c>
      <c r="N55" s="23" t="n">
        <f aca="false">Baseline!C55*(1+Assumptions!$G$19)</f>
        <v>68.9541050044368</v>
      </c>
      <c r="O55" s="49" t="n">
        <f aca="false">M55*N55</f>
        <v>579216.501553958</v>
      </c>
      <c r="P55" s="31" t="n">
        <f aca="false">MAX(0,MIN(0.9,Baseline!E55+Assumptions!$G$20))</f>
        <v>0.282384646337648</v>
      </c>
      <c r="Q55" s="49" t="n">
        <f aca="false">O55/(1-P55)</f>
        <v>807140.620107868</v>
      </c>
      <c r="R55" s="49" t="n">
        <f aca="false">Q55-O55</f>
        <v>227924.11855391</v>
      </c>
      <c r="S55" s="31" t="n">
        <f aca="false">MAX(0,Baseline!F55+Assumptions!$G$21)</f>
        <v>0.245082040930921</v>
      </c>
      <c r="T55" s="49" t="n">
        <f aca="false">O55*S55</f>
        <v>141955.562341712</v>
      </c>
      <c r="U55" s="49" t="n">
        <f aca="false">O55-T55</f>
        <v>437260.939212246</v>
      </c>
      <c r="V55" s="21" t="n">
        <f aca="false">M55*Baseline!D55</f>
        <v>15827.3061248531</v>
      </c>
      <c r="W55" s="55" t="n">
        <f aca="false">IFERROR(T55/N55,0)</f>
        <v>2058.69632174297</v>
      </c>
      <c r="X55" s="21" t="n">
        <f aca="false">M55*Baseline!G55</f>
        <v>3695.98943065243</v>
      </c>
      <c r="Y55" s="49" t="n">
        <f aca="false">IFERROR(O55*I55/J55,0)</f>
        <v>39187.5483093071</v>
      </c>
      <c r="Z55" s="55" t="n">
        <f aca="false">V55*S55</f>
        <v>3878.98848751748</v>
      </c>
    </row>
    <row r="56" customFormat="false" ht="15" hidden="false" customHeight="false" outlineLevel="0" collapsed="false">
      <c r="A56" s="13" t="n">
        <v>51</v>
      </c>
      <c r="B56" s="14" t="str">
        <f aca="false">Calendar!D56</f>
        <v>P12</v>
      </c>
      <c r="C56" s="14" t="str">
        <f aca="false">Calendar!F56&amp;""</f>
        <v/>
      </c>
      <c r="D56" s="21" t="n">
        <f aca="false">'Media Plan'!H56</f>
        <v>67883.0281252751</v>
      </c>
      <c r="E56" s="21" t="n">
        <f aca="false">'Media Plan'!N56</f>
        <v>41739.3841702405</v>
      </c>
      <c r="F56" s="21" t="n">
        <f aca="false">'Media Plan'!T56</f>
        <v>13182.6671219156</v>
      </c>
      <c r="G56" s="21" t="n">
        <f aca="false">'History Y-1'!$F$58*(1+Assumptions!$G$6)*Baseline!Q56</f>
        <v>108566.256403509</v>
      </c>
      <c r="H56" s="21" t="n">
        <f aca="false">'History Y-1'!$G$58*(1+Assumptions!$G$7)*Baseline!R56</f>
        <v>30903.8322190204</v>
      </c>
      <c r="I56" s="21" t="n">
        <f aca="false">'History Y-1'!$H$58*(1+Assumptions!$G$8)*Baseline!S56</f>
        <v>18706.2285733882</v>
      </c>
      <c r="J56" s="55" t="n">
        <f aca="false">SUM(D56:I56)</f>
        <v>280981.396613349</v>
      </c>
      <c r="K56" s="29" t="n">
        <f aca="false">Baseline!B56*(1+Assumptions!$G$18)</f>
        <v>0.0220551257110827</v>
      </c>
      <c r="L56" s="31" t="n">
        <f aca="false">Calendar!G56</f>
        <v>0</v>
      </c>
      <c r="M56" s="55" t="n">
        <f aca="false">J56*K56*(1+L56)</f>
        <v>6197.08002478299</v>
      </c>
      <c r="N56" s="23" t="n">
        <f aca="false">Baseline!C56*(1+Assumptions!$G$19)</f>
        <v>76.692483526274</v>
      </c>
      <c r="O56" s="49" t="n">
        <f aca="false">M56*N56</f>
        <v>475269.457711671</v>
      </c>
      <c r="P56" s="31" t="n">
        <f aca="false">MAX(0,MIN(0.9,Baseline!E56+Assumptions!$G$20))</f>
        <v>0.126406503925247</v>
      </c>
      <c r="Q56" s="49" t="n">
        <f aca="false">O56/(1-P56)</f>
        <v>544039.601768055</v>
      </c>
      <c r="R56" s="49" t="n">
        <f aca="false">Q56-O56</f>
        <v>68770.1440563837</v>
      </c>
      <c r="S56" s="31" t="n">
        <f aca="false">MAX(0,Baseline!F56+Assumptions!$G$21)</f>
        <v>0.260301910154981</v>
      </c>
      <c r="T56" s="49" t="n">
        <f aca="false">O56*S56</f>
        <v>123713.54768067</v>
      </c>
      <c r="U56" s="49" t="n">
        <f aca="false">O56-T56</f>
        <v>351555.910031001</v>
      </c>
      <c r="V56" s="21" t="n">
        <f aca="false">M56*Baseline!D56</f>
        <v>11924.3204925259</v>
      </c>
      <c r="W56" s="55" t="n">
        <f aca="false">IFERROR(T56/N56,0)</f>
        <v>1613.11176783429</v>
      </c>
      <c r="X56" s="21" t="n">
        <f aca="false">M56*Baseline!G56</f>
        <v>2199.61091873299</v>
      </c>
      <c r="Y56" s="49" t="n">
        <f aca="false">IFERROR(O56*I56/J56,0)</f>
        <v>31640.8816279704</v>
      </c>
      <c r="Z56" s="55" t="n">
        <f aca="false">V56*S56</f>
        <v>3103.92340150467</v>
      </c>
    </row>
    <row r="57" customFormat="false" ht="15" hidden="false" customHeight="false" outlineLevel="0" collapsed="false">
      <c r="A57" s="13" t="n">
        <v>52</v>
      </c>
      <c r="B57" s="14" t="str">
        <f aca="false">Calendar!D57</f>
        <v>P12</v>
      </c>
      <c r="C57" s="14" t="str">
        <f aca="false">Calendar!F57&amp;""</f>
        <v/>
      </c>
      <c r="D57" s="21" t="n">
        <f aca="false">'Media Plan'!H57</f>
        <v>60495.1733200745</v>
      </c>
      <c r="E57" s="21" t="n">
        <f aca="false">'Media Plan'!N57</f>
        <v>38107.5557764595</v>
      </c>
      <c r="F57" s="21" t="n">
        <f aca="false">'Media Plan'!T57</f>
        <v>13037.4640790254</v>
      </c>
      <c r="G57" s="21" t="n">
        <f aca="false">'History Y-1'!$F$58*(1+Assumptions!$G$6)*Baseline!Q57</f>
        <v>100607.778799635</v>
      </c>
      <c r="H57" s="21" t="n">
        <f aca="false">'History Y-1'!$G$58*(1+Assumptions!$G$7)*Baseline!R57</f>
        <v>28308.7924857071</v>
      </c>
      <c r="I57" s="21" t="n">
        <f aca="false">'History Y-1'!$H$58*(1+Assumptions!$G$8)*Baseline!S57</f>
        <v>17441.9423444807</v>
      </c>
      <c r="J57" s="55" t="n">
        <f aca="false">SUM(D57:I57)</f>
        <v>257998.706805382</v>
      </c>
      <c r="K57" s="29" t="n">
        <f aca="false">Baseline!B57*(1+Assumptions!$G$18)</f>
        <v>0.0221425293483138</v>
      </c>
      <c r="L57" s="31" t="n">
        <f aca="false">Calendar!G57</f>
        <v>0</v>
      </c>
      <c r="M57" s="55" t="n">
        <f aca="false">J57*K57*(1+L57)</f>
        <v>5712.74393726517</v>
      </c>
      <c r="N57" s="23" t="n">
        <f aca="false">Baseline!C57*(1+Assumptions!$G$19)</f>
        <v>76.5710899936775</v>
      </c>
      <c r="O57" s="49" t="n">
        <f aca="false">M57*N57</f>
        <v>437431.030131167</v>
      </c>
      <c r="P57" s="31" t="n">
        <f aca="false">MAX(0,MIN(0.9,Baseline!E57+Assumptions!$G$20))</f>
        <v>0.076088875518101</v>
      </c>
      <c r="Q57" s="49" t="n">
        <f aca="false">O57/(1-P57)</f>
        <v>473455.745406751</v>
      </c>
      <c r="R57" s="49" t="n">
        <f aca="false">Q57-O57</f>
        <v>36024.715275584</v>
      </c>
      <c r="S57" s="31" t="n">
        <f aca="false">MAX(0,Baseline!F57+Assumptions!$G$21)</f>
        <v>0.258966830327399</v>
      </c>
      <c r="T57" s="49" t="n">
        <f aca="false">O57*S57</f>
        <v>113280.127359917</v>
      </c>
      <c r="U57" s="49" t="n">
        <f aca="false">O57-T57</f>
        <v>324150.90277125</v>
      </c>
      <c r="V57" s="21" t="n">
        <f aca="false">M57*Baseline!D57</f>
        <v>10986.5725344269</v>
      </c>
      <c r="W57" s="55" t="n">
        <f aca="false">IFERROR(T57/N57,0)</f>
        <v>1479.41118990562</v>
      </c>
      <c r="X57" s="21" t="n">
        <f aca="false">M57*Baseline!G57</f>
        <v>2082.30704883917</v>
      </c>
      <c r="Y57" s="49" t="n">
        <f aca="false">IFERROR(O57*I57/J57,0)</f>
        <v>29572.4226749321</v>
      </c>
      <c r="Z57" s="55" t="n">
        <f aca="false">V57*S57</f>
        <v>2845.15786540259</v>
      </c>
    </row>
    <row r="58" customFormat="false" ht="15" hidden="false" customHeight="false" outlineLevel="0" collapsed="false">
      <c r="A58" s="60" t="s">
        <v>483</v>
      </c>
      <c r="B58" s="61"/>
      <c r="C58" s="61"/>
      <c r="D58" s="62" t="n">
        <f aca="false">SUM(D6:D57)</f>
        <v>4011669.67706276</v>
      </c>
      <c r="E58" s="62" t="n">
        <f aca="false">SUM(E6:E57)</f>
        <v>2583529.17106229</v>
      </c>
      <c r="F58" s="62" t="n">
        <f aca="false">SUM(F6:F57)</f>
        <v>816753.992159585</v>
      </c>
      <c r="G58" s="62" t="n">
        <f aca="false">SUM(G6:G57)</f>
        <v>6794764.08</v>
      </c>
      <c r="H58" s="62" t="n">
        <f aca="false">SUM(H6:H57)</f>
        <v>2042520.9</v>
      </c>
      <c r="I58" s="62" t="n">
        <f aca="false">SUM(I6:I57)</f>
        <v>1144505</v>
      </c>
      <c r="J58" s="62" t="n">
        <f aca="false">SUM(J6:J57)</f>
        <v>17393742.8202846</v>
      </c>
      <c r="K58" s="64" t="n">
        <f aca="false">IFERROR(M58/J58,0)</f>
        <v>0.0229329881451549</v>
      </c>
      <c r="L58" s="76"/>
      <c r="M58" s="62" t="n">
        <f aca="false">SUM(M6:M57)</f>
        <v>398890.497897461</v>
      </c>
      <c r="N58" s="65" t="n">
        <f aca="false">IFERROR(O58/M58,0)</f>
        <v>75.2344538977391</v>
      </c>
      <c r="O58" s="63" t="n">
        <f aca="false">SUM(O6:O57)</f>
        <v>30010308.7743128</v>
      </c>
      <c r="P58" s="67" t="n">
        <f aca="false">IFERROR(R58/Q58,0)</f>
        <v>0.142717518935789</v>
      </c>
      <c r="Q58" s="63" t="n">
        <f aca="false">SUM(Q6:Q57)</f>
        <v>35006324.563006</v>
      </c>
      <c r="R58" s="63" t="n">
        <f aca="false">SUM(R6:R57)</f>
        <v>4996015.78869319</v>
      </c>
      <c r="S58" s="67" t="n">
        <f aca="false">IFERROR(T58/O58,0)</f>
        <v>0.259094216949451</v>
      </c>
      <c r="T58" s="63" t="n">
        <f aca="false">SUM(T6:T57)</f>
        <v>7775497.4522918</v>
      </c>
      <c r="U58" s="63" t="n">
        <f aca="false">SUM(U6:U57)</f>
        <v>22234811.322021</v>
      </c>
      <c r="V58" s="62" t="n">
        <f aca="false">SUM(V6:V57)</f>
        <v>758365.457941886</v>
      </c>
      <c r="W58" s="62" t="n">
        <f aca="false">SUM(W6:W57)</f>
        <v>103188.0073526</v>
      </c>
      <c r="X58" s="62" t="n">
        <f aca="false">SUM(X6:X57)</f>
        <v>151175.716573213</v>
      </c>
      <c r="Y58" s="63" t="n">
        <f aca="false">SUM(Y6:Y57)</f>
        <v>1972769.5396647</v>
      </c>
      <c r="Z58" s="62" t="n">
        <f aca="false">SUM(Z6:Z57)</f>
        <v>196178.717190654</v>
      </c>
    </row>
  </sheetData>
  <sheetProtection sheet="true" formatColumns="false" formatRows="false"/>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W5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2" min="1" style="0" width="7"/>
    <col collapsed="false" customWidth="true" hidden="false" outlineLevel="0" max="23" min="3" style="0" width="13"/>
  </cols>
  <sheetData>
    <row r="1" customFormat="false" ht="17.35" hidden="false" customHeight="false" outlineLevel="0" collapsed="false">
      <c r="A1" s="1" t="s">
        <v>579</v>
      </c>
    </row>
    <row r="2" customFormat="false" ht="15" hidden="false" customHeight="false" outlineLevel="0" collapsed="false">
      <c r="A2" s="2" t="s">
        <v>580</v>
      </c>
    </row>
    <row r="5" customFormat="false" ht="42" hidden="false" customHeight="true" outlineLevel="0" collapsed="false">
      <c r="A5" s="19" t="s">
        <v>410</v>
      </c>
      <c r="B5" s="19" t="s">
        <v>413</v>
      </c>
      <c r="C5" s="19" t="s">
        <v>97</v>
      </c>
      <c r="D5" s="19" t="s">
        <v>581</v>
      </c>
      <c r="E5" s="19" t="s">
        <v>582</v>
      </c>
      <c r="F5" s="19" t="s">
        <v>583</v>
      </c>
      <c r="G5" s="19" t="s">
        <v>584</v>
      </c>
      <c r="H5" s="19" t="s">
        <v>585</v>
      </c>
      <c r="I5" s="19" t="s">
        <v>586</v>
      </c>
      <c r="J5" s="19" t="s">
        <v>587</v>
      </c>
      <c r="K5" s="19" t="s">
        <v>588</v>
      </c>
      <c r="L5" s="19" t="s">
        <v>589</v>
      </c>
      <c r="M5" s="19" t="s">
        <v>590</v>
      </c>
      <c r="N5" s="19" t="s">
        <v>591</v>
      </c>
      <c r="O5" s="19" t="s">
        <v>592</v>
      </c>
      <c r="P5" s="19" t="s">
        <v>593</v>
      </c>
      <c r="Q5" s="19" t="s">
        <v>594</v>
      </c>
      <c r="R5" s="19" t="s">
        <v>595</v>
      </c>
      <c r="S5" s="19" t="s">
        <v>596</v>
      </c>
      <c r="T5" s="19" t="s">
        <v>88</v>
      </c>
      <c r="U5" s="19" t="s">
        <v>89</v>
      </c>
      <c r="V5" s="19" t="s">
        <v>490</v>
      </c>
      <c r="W5" s="19" t="s">
        <v>90</v>
      </c>
    </row>
    <row r="6" customFormat="false" ht="15" hidden="false" customHeight="false" outlineLevel="0" collapsed="false">
      <c r="A6" s="13" t="n">
        <v>1</v>
      </c>
      <c r="B6" s="14" t="str">
        <f aca="false">Calendar!D6</f>
        <v>P1</v>
      </c>
      <c r="C6" s="20" t="n">
        <f aca="false">'Sales Build'!U6</f>
        <v>329596.92500116</v>
      </c>
      <c r="D6" s="20" t="n">
        <f aca="false">C6/(1-'Sales Build'!P6)*(1-Assumptions!$G$23)</f>
        <v>135711.596758699</v>
      </c>
      <c r="E6" s="20" t="n">
        <f aca="false">'Sales Build'!T6/(1-'Sales Build'!P6)*(1-Assumptions!$G$23)*Assumptions!$G$24</f>
        <v>2312.24797945135</v>
      </c>
      <c r="F6" s="49" t="n">
        <f aca="false">C6-D6-E6</f>
        <v>191573.080263009</v>
      </c>
      <c r="G6" s="20" t="n">
        <f aca="false">D6*Assumptions!$G$25</f>
        <v>4071.34790276098</v>
      </c>
      <c r="H6" s="20" t="n">
        <f aca="false">'Sales Build'!M6*Assumptions!$G$27</f>
        <v>24145.4880420126</v>
      </c>
      <c r="I6" s="20" t="n">
        <f aca="false">-'Sales Build'!M6*Assumptions!$G$28</f>
        <v>-6323.81829671758</v>
      </c>
      <c r="J6" s="20" t="n">
        <f aca="false">'Sales Build'!M6*Assumptions!$G$29</f>
        <v>2587.01657592992</v>
      </c>
      <c r="K6" s="20" t="n">
        <f aca="false">'Sales Build'!V6*Assumptions!$G$30</f>
        <v>9341.82967291826</v>
      </c>
      <c r="L6" s="20" t="n">
        <f aca="false">'Sales Build'!W6*Assumptions!$G$31</f>
        <v>4675.55716615313</v>
      </c>
      <c r="M6" s="20" t="n">
        <f aca="false">'Sales Build'!W6*Assumptions!$G$32</f>
        <v>2045.55626019199</v>
      </c>
      <c r="N6" s="20" t="n">
        <f aca="false">'Sales Build'!O6*Assumptions!$G$33</f>
        <v>7070.56114741841</v>
      </c>
      <c r="O6" s="20" t="n">
        <f aca="false">'Sales Build'!Y6*Assumptions!$G$35*Assumptions!$G$34</f>
        <v>2271.64178778571</v>
      </c>
      <c r="P6" s="20" t="n">
        <f aca="false">'Sales Build'!M6*Assumptions!$G$36*Assumptions!$G$37</f>
        <v>2414.54880420126</v>
      </c>
      <c r="Q6" s="20" t="n">
        <f aca="false">'Sales Build'!O6*Assumptions!$G$38</f>
        <v>662.865107570476</v>
      </c>
      <c r="R6" s="49" t="n">
        <f aca="false">SUM(G6:Q6)</f>
        <v>52962.5941702251</v>
      </c>
      <c r="S6" s="49" t="n">
        <f aca="false">F6-R6</f>
        <v>138610.486092784</v>
      </c>
      <c r="T6" s="20" t="n">
        <f aca="false">'Media Plan'!U6</f>
        <v>47263.9694023958</v>
      </c>
      <c r="U6" s="49" t="n">
        <f aca="false">S6-T6</f>
        <v>91346.516690388</v>
      </c>
      <c r="V6" s="20" t="n">
        <f aca="false">'Fixed Costs'!$G$31/52</f>
        <v>25332.6923076923</v>
      </c>
      <c r="W6" s="49" t="n">
        <f aca="false">U6-V6</f>
        <v>66013.8243826957</v>
      </c>
    </row>
    <row r="7" customFormat="false" ht="15" hidden="false" customHeight="false" outlineLevel="0" collapsed="false">
      <c r="A7" s="13" t="n">
        <v>2</v>
      </c>
      <c r="B7" s="14" t="str">
        <f aca="false">Calendar!D7</f>
        <v>P1</v>
      </c>
      <c r="C7" s="20" t="n">
        <f aca="false">'Sales Build'!U7</f>
        <v>349065.933343374</v>
      </c>
      <c r="D7" s="20" t="n">
        <f aca="false">C7/(1-'Sales Build'!P7)*(1-Assumptions!$G$23)</f>
        <v>143606.26671293</v>
      </c>
      <c r="E7" s="20" t="n">
        <f aca="false">'Sales Build'!T7/(1-'Sales Build'!P7)*(1-Assumptions!$G$23)*Assumptions!$G$24</f>
        <v>2529.35387513325</v>
      </c>
      <c r="F7" s="49" t="n">
        <f aca="false">C7-D7-E7</f>
        <v>202930.31275531</v>
      </c>
      <c r="G7" s="20" t="n">
        <f aca="false">D7*Assumptions!$G$25</f>
        <v>4308.1880013879</v>
      </c>
      <c r="H7" s="20" t="n">
        <f aca="false">'Sales Build'!M7*Assumptions!$G$27</f>
        <v>25836.8527828582</v>
      </c>
      <c r="I7" s="20" t="n">
        <f aca="false">-'Sales Build'!M7*Assumptions!$G$28</f>
        <v>-6766.79477646286</v>
      </c>
      <c r="J7" s="20" t="n">
        <f aca="false">'Sales Build'!M7*Assumptions!$G$29</f>
        <v>2768.23422673481</v>
      </c>
      <c r="K7" s="20" t="n">
        <f aca="false">'Sales Build'!V7*Assumptions!$G$30</f>
        <v>10105.0698828578</v>
      </c>
      <c r="L7" s="20" t="n">
        <f aca="false">'Sales Build'!W7*Assumptions!$G$31</f>
        <v>5127.97085244944</v>
      </c>
      <c r="M7" s="20" t="n">
        <f aca="false">'Sales Build'!W7*Assumptions!$G$32</f>
        <v>2243.48724794663</v>
      </c>
      <c r="N7" s="20" t="n">
        <f aca="false">'Sales Build'!O7*Assumptions!$G$33</f>
        <v>7552.45937373393</v>
      </c>
      <c r="O7" s="20" t="n">
        <f aca="false">'Sales Build'!Y7*Assumptions!$G$35*Assumptions!$G$34</f>
        <v>2518.61278103555</v>
      </c>
      <c r="P7" s="20" t="n">
        <f aca="false">'Sales Build'!M7*Assumptions!$G$36*Assumptions!$G$37</f>
        <v>2583.68527828582</v>
      </c>
      <c r="Q7" s="20" t="n">
        <f aca="false">'Sales Build'!O7*Assumptions!$G$38</f>
        <v>708.043066287556</v>
      </c>
      <c r="R7" s="49" t="n">
        <f aca="false">SUM(G7:Q7)</f>
        <v>56985.8087171148</v>
      </c>
      <c r="S7" s="49" t="n">
        <f aca="false">F7-R7</f>
        <v>145944.504038196</v>
      </c>
      <c r="T7" s="20" t="n">
        <f aca="false">'Media Plan'!U7</f>
        <v>50579.5425129965</v>
      </c>
      <c r="U7" s="49" t="n">
        <f aca="false">S7-T7</f>
        <v>95364.9615251991</v>
      </c>
      <c r="V7" s="20" t="n">
        <f aca="false">'Fixed Costs'!$G$31/52</f>
        <v>25332.6923076923</v>
      </c>
      <c r="W7" s="49" t="n">
        <f aca="false">U7-V7</f>
        <v>70032.2692175068</v>
      </c>
    </row>
    <row r="8" customFormat="false" ht="15" hidden="false" customHeight="false" outlineLevel="0" collapsed="false">
      <c r="A8" s="13" t="n">
        <v>3</v>
      </c>
      <c r="B8" s="14" t="str">
        <f aca="false">Calendar!D8</f>
        <v>P1</v>
      </c>
      <c r="C8" s="20" t="n">
        <f aca="false">'Sales Build'!U8</f>
        <v>365362.138538616</v>
      </c>
      <c r="D8" s="20" t="n">
        <f aca="false">C8/(1-'Sales Build'!P8)*(1-Assumptions!$G$23)</f>
        <v>151321.652601851</v>
      </c>
      <c r="E8" s="20" t="n">
        <f aca="false">'Sales Build'!T8/(1-'Sales Build'!P8)*(1-Assumptions!$G$23)*Assumptions!$G$24</f>
        <v>2567.87529602267</v>
      </c>
      <c r="F8" s="49" t="n">
        <f aca="false">C8-D8-E8</f>
        <v>211472.610640742</v>
      </c>
      <c r="G8" s="20" t="n">
        <f aca="false">D8*Assumptions!$G$25</f>
        <v>4539.64957805553</v>
      </c>
      <c r="H8" s="20" t="n">
        <f aca="false">'Sales Build'!M8*Assumptions!$G$27</f>
        <v>26391.0390342327</v>
      </c>
      <c r="I8" s="20" t="n">
        <f aca="false">-'Sales Build'!M8*Assumptions!$G$28</f>
        <v>-6911.93879468</v>
      </c>
      <c r="J8" s="20" t="n">
        <f aca="false">'Sales Build'!M8*Assumptions!$G$29</f>
        <v>2827.61132509636</v>
      </c>
      <c r="K8" s="20" t="n">
        <f aca="false">'Sales Build'!V8*Assumptions!$G$30</f>
        <v>10102.6204358635</v>
      </c>
      <c r="L8" s="20" t="n">
        <f aca="false">'Sales Build'!W8*Assumptions!$G$31</f>
        <v>5095.09175399359</v>
      </c>
      <c r="M8" s="20" t="n">
        <f aca="false">'Sales Build'!W8*Assumptions!$G$32</f>
        <v>2229.1026423722</v>
      </c>
      <c r="N8" s="20" t="n">
        <f aca="false">'Sales Build'!O8*Assumptions!$G$33</f>
        <v>7829.81570942853</v>
      </c>
      <c r="O8" s="20" t="n">
        <f aca="false">'Sales Build'!Y8*Assumptions!$G$35*Assumptions!$G$34</f>
        <v>2675.09965750578</v>
      </c>
      <c r="P8" s="20" t="n">
        <f aca="false">'Sales Build'!M8*Assumptions!$G$36*Assumptions!$G$37</f>
        <v>2639.10390342327</v>
      </c>
      <c r="Q8" s="20" t="n">
        <f aca="false">'Sales Build'!O8*Assumptions!$G$38</f>
        <v>734.045222758925</v>
      </c>
      <c r="R8" s="49" t="n">
        <f aca="false">SUM(G8:Q8)</f>
        <v>58151.2404680505</v>
      </c>
      <c r="S8" s="49" t="n">
        <f aca="false">F8-R8</f>
        <v>153321.370172692</v>
      </c>
      <c r="T8" s="20" t="n">
        <f aca="false">'Media Plan'!U8</f>
        <v>51468.1471079387</v>
      </c>
      <c r="U8" s="49" t="n">
        <f aca="false">S8-T8</f>
        <v>101853.223064753</v>
      </c>
      <c r="V8" s="20" t="n">
        <f aca="false">'Fixed Costs'!$G$31/52</f>
        <v>25332.6923076923</v>
      </c>
      <c r="W8" s="49" t="n">
        <f aca="false">U8-V8</f>
        <v>76520.5307570605</v>
      </c>
    </row>
    <row r="9" customFormat="false" ht="15" hidden="false" customHeight="false" outlineLevel="0" collapsed="false">
      <c r="A9" s="13" t="n">
        <v>4</v>
      </c>
      <c r="B9" s="14" t="str">
        <f aca="false">Calendar!D9</f>
        <v>P1</v>
      </c>
      <c r="C9" s="20" t="n">
        <f aca="false">'Sales Build'!U9</f>
        <v>328548.877625037</v>
      </c>
      <c r="D9" s="20" t="n">
        <f aca="false">C9/(1-'Sales Build'!P9)*(1-Assumptions!$G$23)</f>
        <v>136202.696474795</v>
      </c>
      <c r="E9" s="20" t="n">
        <f aca="false">'Sales Build'!T9/(1-'Sales Build'!P9)*(1-Assumptions!$G$23)*Assumptions!$G$24</f>
        <v>2286.69627972161</v>
      </c>
      <c r="F9" s="49" t="n">
        <f aca="false">C9-D9-E9</f>
        <v>190059.48487052</v>
      </c>
      <c r="G9" s="20" t="n">
        <f aca="false">D9*Assumptions!$G$25</f>
        <v>4086.08089424386</v>
      </c>
      <c r="H9" s="20" t="n">
        <f aca="false">'Sales Build'!M9*Assumptions!$G$27</f>
        <v>23624.207908341</v>
      </c>
      <c r="I9" s="20" t="n">
        <f aca="false">-'Sales Build'!M9*Assumptions!$G$28</f>
        <v>-6187.29254742264</v>
      </c>
      <c r="J9" s="20" t="n">
        <f aca="false">'Sales Build'!M9*Assumptions!$G$29</f>
        <v>2531.16513303654</v>
      </c>
      <c r="K9" s="20" t="n">
        <f aca="false">'Sales Build'!V9*Assumptions!$G$30</f>
        <v>9197.90970237236</v>
      </c>
      <c r="L9" s="20" t="n">
        <f aca="false">'Sales Build'!W9*Assumptions!$G$31</f>
        <v>4524.55943716115</v>
      </c>
      <c r="M9" s="20" t="n">
        <f aca="false">'Sales Build'!W9*Assumptions!$G$32</f>
        <v>1979.494753758</v>
      </c>
      <c r="N9" s="20" t="n">
        <f aca="false">'Sales Build'!O9*Assumptions!$G$33</f>
        <v>7021.89598612498</v>
      </c>
      <c r="O9" s="20" t="n">
        <f aca="false">'Sales Build'!Y9*Assumptions!$G$35*Assumptions!$G$34</f>
        <v>2347.88129678957</v>
      </c>
      <c r="P9" s="20" t="n">
        <f aca="false">'Sales Build'!M9*Assumptions!$G$36*Assumptions!$G$37</f>
        <v>2362.4207908341</v>
      </c>
      <c r="Q9" s="20" t="n">
        <f aca="false">'Sales Build'!O9*Assumptions!$G$38</f>
        <v>658.302748699217</v>
      </c>
      <c r="R9" s="49" t="n">
        <f aca="false">SUM(G9:Q9)</f>
        <v>52146.6261039381</v>
      </c>
      <c r="S9" s="49" t="n">
        <f aca="false">F9-R9</f>
        <v>137912.858766582</v>
      </c>
      <c r="T9" s="20" t="n">
        <f aca="false">'Media Plan'!U9</f>
        <v>47282.9864143538</v>
      </c>
      <c r="U9" s="49" t="n">
        <f aca="false">S9-T9</f>
        <v>90629.8723522284</v>
      </c>
      <c r="V9" s="20" t="n">
        <f aca="false">'Fixed Costs'!$G$31/52</f>
        <v>25332.6923076923</v>
      </c>
      <c r="W9" s="49" t="n">
        <f aca="false">U9-V9</f>
        <v>65297.1800445361</v>
      </c>
    </row>
    <row r="10" customFormat="false" ht="15" hidden="false" customHeight="false" outlineLevel="0" collapsed="false">
      <c r="A10" s="13" t="n">
        <v>5</v>
      </c>
      <c r="B10" s="14" t="str">
        <f aca="false">Calendar!D10</f>
        <v>P2</v>
      </c>
      <c r="C10" s="20" t="n">
        <f aca="false">'Sales Build'!U10</f>
        <v>327471.560995113</v>
      </c>
      <c r="D10" s="20" t="n">
        <f aca="false">C10/(1-'Sales Build'!P10)*(1-Assumptions!$G$23)</f>
        <v>135688.641959558</v>
      </c>
      <c r="E10" s="20" t="n">
        <f aca="false">'Sales Build'!T10/(1-'Sales Build'!P10)*(1-Assumptions!$G$23)*Assumptions!$G$24</f>
        <v>2408.63387577015</v>
      </c>
      <c r="F10" s="49" t="n">
        <f aca="false">C10-D10-E10</f>
        <v>189374.285159785</v>
      </c>
      <c r="G10" s="20" t="n">
        <f aca="false">D10*Assumptions!$G$25</f>
        <v>4070.65925878675</v>
      </c>
      <c r="H10" s="20" t="n">
        <f aca="false">'Sales Build'!M10*Assumptions!$G$27</f>
        <v>24711.1013103283</v>
      </c>
      <c r="I10" s="20" t="n">
        <f aca="false">-'Sales Build'!M10*Assumptions!$G$28</f>
        <v>-6471.95510508597</v>
      </c>
      <c r="J10" s="20" t="n">
        <f aca="false">'Sales Build'!M10*Assumptions!$G$29</f>
        <v>2647.61799753517</v>
      </c>
      <c r="K10" s="20" t="n">
        <f aca="false">'Sales Build'!V10*Assumptions!$G$30</f>
        <v>9413.63120941114</v>
      </c>
      <c r="L10" s="20" t="n">
        <f aca="false">'Sales Build'!W10*Assumptions!$G$31</f>
        <v>4932.91011941983</v>
      </c>
      <c r="M10" s="20" t="n">
        <f aca="false">'Sales Build'!W10*Assumptions!$G$32</f>
        <v>2158.14817724618</v>
      </c>
      <c r="N10" s="20" t="n">
        <f aca="false">'Sales Build'!O10*Assumptions!$G$33</f>
        <v>7099.70738013954</v>
      </c>
      <c r="O10" s="20" t="n">
        <f aca="false">'Sales Build'!Y10*Assumptions!$G$35*Assumptions!$G$34</f>
        <v>2369.03515534789</v>
      </c>
      <c r="P10" s="20" t="n">
        <f aca="false">'Sales Build'!M10*Assumptions!$G$36*Assumptions!$G$37</f>
        <v>2471.11013103283</v>
      </c>
      <c r="Q10" s="20" t="n">
        <f aca="false">'Sales Build'!O10*Assumptions!$G$38</f>
        <v>665.597566888082</v>
      </c>
      <c r="R10" s="49" t="n">
        <f aca="false">SUM(G10:Q10)</f>
        <v>54067.5632010497</v>
      </c>
      <c r="S10" s="49" t="n">
        <f aca="false">F10-R10</f>
        <v>135306.721958735</v>
      </c>
      <c r="T10" s="20" t="n">
        <f aca="false">'Media Plan'!U10</f>
        <v>49236.6717952601</v>
      </c>
      <c r="U10" s="49" t="n">
        <f aca="false">S10-T10</f>
        <v>86070.0501634748</v>
      </c>
      <c r="V10" s="20" t="n">
        <f aca="false">'Fixed Costs'!$G$31/52</f>
        <v>25332.6923076923</v>
      </c>
      <c r="W10" s="49" t="n">
        <f aca="false">U10-V10</f>
        <v>60737.3578557825</v>
      </c>
    </row>
    <row r="11" customFormat="false" ht="15" hidden="false" customHeight="false" outlineLevel="0" collapsed="false">
      <c r="A11" s="13" t="n">
        <v>6</v>
      </c>
      <c r="B11" s="14" t="str">
        <f aca="false">Calendar!D11</f>
        <v>P2</v>
      </c>
      <c r="C11" s="20" t="n">
        <f aca="false">'Sales Build'!U11</f>
        <v>354108.70188196</v>
      </c>
      <c r="D11" s="20" t="n">
        <f aca="false">C11/(1-'Sales Build'!P11)*(1-Assumptions!$G$23)</f>
        <v>145981.835214712</v>
      </c>
      <c r="E11" s="20" t="n">
        <f aca="false">'Sales Build'!T11/(1-'Sales Build'!P11)*(1-Assumptions!$G$23)*Assumptions!$G$24</f>
        <v>2534.11705268778</v>
      </c>
      <c r="F11" s="49" t="n">
        <f aca="false">C11-D11-E11</f>
        <v>205592.74961456</v>
      </c>
      <c r="G11" s="20" t="n">
        <f aca="false">D11*Assumptions!$G$25</f>
        <v>4379.45505644135</v>
      </c>
      <c r="H11" s="20" t="n">
        <f aca="false">'Sales Build'!M11*Assumptions!$G$27</f>
        <v>25858.8517167711</v>
      </c>
      <c r="I11" s="20" t="n">
        <f aca="false">-'Sales Build'!M11*Assumptions!$G$28</f>
        <v>-6772.55640201147</v>
      </c>
      <c r="J11" s="20" t="n">
        <f aca="false">'Sales Build'!M11*Assumptions!$G$29</f>
        <v>2770.59125536833</v>
      </c>
      <c r="K11" s="20" t="n">
        <f aca="false">'Sales Build'!V11*Assumptions!$G$30</f>
        <v>10145.3389720228</v>
      </c>
      <c r="L11" s="20" t="n">
        <f aca="false">'Sales Build'!W11*Assumptions!$G$31</f>
        <v>5077.39947001517</v>
      </c>
      <c r="M11" s="20" t="n">
        <f aca="false">'Sales Build'!W11*Assumptions!$G$32</f>
        <v>2221.36226813164</v>
      </c>
      <c r="N11" s="20" t="n">
        <f aca="false">'Sales Build'!O11*Assumptions!$G$33</f>
        <v>7632.78483931197</v>
      </c>
      <c r="O11" s="20" t="n">
        <f aca="false">'Sales Build'!Y11*Assumptions!$G$35*Assumptions!$G$34</f>
        <v>2595.26322789913</v>
      </c>
      <c r="P11" s="20" t="n">
        <f aca="false">'Sales Build'!M11*Assumptions!$G$36*Assumptions!$G$37</f>
        <v>2585.88517167711</v>
      </c>
      <c r="Q11" s="20" t="n">
        <f aca="false">'Sales Build'!O11*Assumptions!$G$38</f>
        <v>715.573578685497</v>
      </c>
      <c r="R11" s="49" t="n">
        <f aca="false">SUM(G11:Q11)</f>
        <v>57209.9491543126</v>
      </c>
      <c r="S11" s="49" t="n">
        <f aca="false">F11-R11</f>
        <v>148382.800460248</v>
      </c>
      <c r="T11" s="20" t="n">
        <f aca="false">'Media Plan'!U11</f>
        <v>49409.5615490024</v>
      </c>
      <c r="U11" s="49" t="n">
        <f aca="false">S11-T11</f>
        <v>98973.2389112452</v>
      </c>
      <c r="V11" s="20" t="n">
        <f aca="false">'Fixed Costs'!$G$31/52</f>
        <v>25332.6923076923</v>
      </c>
      <c r="W11" s="49" t="n">
        <f aca="false">U11-V11</f>
        <v>73640.5466035529</v>
      </c>
    </row>
    <row r="12" customFormat="false" ht="15" hidden="false" customHeight="false" outlineLevel="0" collapsed="false">
      <c r="A12" s="13" t="n">
        <v>7</v>
      </c>
      <c r="B12" s="14" t="str">
        <f aca="false">Calendar!D12</f>
        <v>P2</v>
      </c>
      <c r="C12" s="20" t="n">
        <f aca="false">'Sales Build'!U12</f>
        <v>339832.724832235</v>
      </c>
      <c r="D12" s="20" t="n">
        <f aca="false">C12/(1-'Sales Build'!P12)*(1-Assumptions!$G$23)</f>
        <v>140307.561246595</v>
      </c>
      <c r="E12" s="20" t="n">
        <f aca="false">'Sales Build'!T12/(1-'Sales Build'!P12)*(1-Assumptions!$G$23)*Assumptions!$G$24</f>
        <v>2458.89789822585</v>
      </c>
      <c r="F12" s="49" t="n">
        <f aca="false">C12-D12-E12</f>
        <v>197066.265687414</v>
      </c>
      <c r="G12" s="20" t="n">
        <f aca="false">D12*Assumptions!$G$25</f>
        <v>4209.22683739784</v>
      </c>
      <c r="H12" s="20" t="n">
        <f aca="false">'Sales Build'!M12*Assumptions!$G$27</f>
        <v>25343.4467882742</v>
      </c>
      <c r="I12" s="20" t="n">
        <f aca="false">-'Sales Build'!M12*Assumptions!$G$28</f>
        <v>-6637.56939692895</v>
      </c>
      <c r="J12" s="20" t="n">
        <f aca="false">'Sales Build'!M12*Assumptions!$G$29</f>
        <v>2715.36929874366</v>
      </c>
      <c r="K12" s="20" t="n">
        <f aca="false">'Sales Build'!V12*Assumptions!$G$30</f>
        <v>9785.64788675435</v>
      </c>
      <c r="L12" s="20" t="n">
        <f aca="false">'Sales Build'!W12*Assumptions!$G$31</f>
        <v>5011.42036160361</v>
      </c>
      <c r="M12" s="20" t="n">
        <f aca="false">'Sales Build'!W12*Assumptions!$G$32</f>
        <v>2192.49640820158</v>
      </c>
      <c r="N12" s="20" t="n">
        <f aca="false">'Sales Build'!O12*Assumptions!$G$33</f>
        <v>7343.11163134988</v>
      </c>
      <c r="O12" s="20" t="n">
        <f aca="false">'Sales Build'!Y12*Assumptions!$G$35*Assumptions!$G$34</f>
        <v>2452.98938208065</v>
      </c>
      <c r="P12" s="20" t="n">
        <f aca="false">'Sales Build'!M12*Assumptions!$G$36*Assumptions!$G$37</f>
        <v>2534.34467882742</v>
      </c>
      <c r="Q12" s="20" t="n">
        <f aca="false">'Sales Build'!O12*Assumptions!$G$38</f>
        <v>688.416715439052</v>
      </c>
      <c r="R12" s="49" t="n">
        <f aca="false">SUM(G12:Q12)</f>
        <v>55638.9005917433</v>
      </c>
      <c r="S12" s="49" t="n">
        <f aca="false">F12-R12</f>
        <v>141427.365095671</v>
      </c>
      <c r="T12" s="20" t="n">
        <f aca="false">'Media Plan'!U12</f>
        <v>48733.0352095015</v>
      </c>
      <c r="U12" s="49" t="n">
        <f aca="false">S12-T12</f>
        <v>92694.3298861694</v>
      </c>
      <c r="V12" s="20" t="n">
        <f aca="false">'Fixed Costs'!$G$31/52</f>
        <v>25332.6923076923</v>
      </c>
      <c r="W12" s="49" t="n">
        <f aca="false">U12-V12</f>
        <v>67361.6375784771</v>
      </c>
    </row>
    <row r="13" customFormat="false" ht="15" hidden="false" customHeight="false" outlineLevel="0" collapsed="false">
      <c r="A13" s="13" t="n">
        <v>8</v>
      </c>
      <c r="B13" s="14" t="str">
        <f aca="false">Calendar!D13</f>
        <v>P2</v>
      </c>
      <c r="C13" s="20" t="n">
        <f aca="false">'Sales Build'!U13</f>
        <v>333917.852441501</v>
      </c>
      <c r="D13" s="20" t="n">
        <f aca="false">C13/(1-'Sales Build'!P13)*(1-Assumptions!$G$23)</f>
        <v>137847.254404418</v>
      </c>
      <c r="E13" s="20" t="n">
        <f aca="false">'Sales Build'!T13/(1-'Sales Build'!P13)*(1-Assumptions!$G$23)*Assumptions!$G$24</f>
        <v>2358.86104993389</v>
      </c>
      <c r="F13" s="49" t="n">
        <f aca="false">C13-D13-E13</f>
        <v>193711.736987149</v>
      </c>
      <c r="G13" s="20" t="n">
        <f aca="false">D13*Assumptions!$G$25</f>
        <v>4135.41763213255</v>
      </c>
      <c r="H13" s="20" t="n">
        <f aca="false">'Sales Build'!M13*Assumptions!$G$27</f>
        <v>24401.9369747698</v>
      </c>
      <c r="I13" s="20" t="n">
        <f aca="false">-'Sales Build'!M13*Assumptions!$G$28</f>
        <v>-6390.98349339209</v>
      </c>
      <c r="J13" s="20" t="n">
        <f aca="false">'Sales Build'!M13*Assumptions!$G$29</f>
        <v>2614.49324729677</v>
      </c>
      <c r="K13" s="20" t="n">
        <f aca="false">'Sales Build'!V13*Assumptions!$G$30</f>
        <v>9193.94556855743</v>
      </c>
      <c r="L13" s="20" t="n">
        <f aca="false">'Sales Build'!W13*Assumptions!$G$31</f>
        <v>4740.54378742611</v>
      </c>
      <c r="M13" s="20" t="n">
        <f aca="false">'Sales Build'!W13*Assumptions!$G$32</f>
        <v>2073.98790699892</v>
      </c>
      <c r="N13" s="20" t="n">
        <f aca="false">'Sales Build'!O13*Assumptions!$G$33</f>
        <v>7171.18097043353</v>
      </c>
      <c r="O13" s="20" t="n">
        <f aca="false">'Sales Build'!Y13*Assumptions!$G$35*Assumptions!$G$34</f>
        <v>2475.67936744565</v>
      </c>
      <c r="P13" s="20" t="n">
        <f aca="false">'Sales Build'!M13*Assumptions!$G$36*Assumptions!$G$37</f>
        <v>2440.19369747698</v>
      </c>
      <c r="Q13" s="20" t="n">
        <f aca="false">'Sales Build'!O13*Assumptions!$G$38</f>
        <v>672.298215978144</v>
      </c>
      <c r="R13" s="49" t="n">
        <f aca="false">SUM(G13:Q13)</f>
        <v>53528.6938751238</v>
      </c>
      <c r="S13" s="49" t="n">
        <f aca="false">F13-R13</f>
        <v>140183.043112025</v>
      </c>
      <c r="T13" s="20" t="n">
        <f aca="false">'Media Plan'!U13</f>
        <v>47494.1252252796</v>
      </c>
      <c r="U13" s="49" t="n">
        <f aca="false">S13-T13</f>
        <v>92688.9178867452</v>
      </c>
      <c r="V13" s="20" t="n">
        <f aca="false">'Fixed Costs'!$G$31/52</f>
        <v>25332.6923076923</v>
      </c>
      <c r="W13" s="49" t="n">
        <f aca="false">U13-V13</f>
        <v>67356.2255790528</v>
      </c>
    </row>
    <row r="14" customFormat="false" ht="15" hidden="false" customHeight="false" outlineLevel="0" collapsed="false">
      <c r="A14" s="13" t="n">
        <v>9</v>
      </c>
      <c r="B14" s="14" t="str">
        <f aca="false">Calendar!D14</f>
        <v>P3</v>
      </c>
      <c r="C14" s="20" t="n">
        <f aca="false">'Sales Build'!U14</f>
        <v>392879.687307802</v>
      </c>
      <c r="D14" s="20" t="n">
        <f aca="false">C14/(1-'Sales Build'!P14)*(1-Assumptions!$G$23)</f>
        <v>162701.861607983</v>
      </c>
      <c r="E14" s="20" t="n">
        <f aca="false">'Sales Build'!T14/(1-'Sales Build'!P14)*(1-Assumptions!$G$23)*Assumptions!$G$24</f>
        <v>2759.44930552787</v>
      </c>
      <c r="F14" s="49" t="n">
        <f aca="false">C14-D14-E14</f>
        <v>227418.376394291</v>
      </c>
      <c r="G14" s="20" t="n">
        <f aca="false">D14*Assumptions!$G$25</f>
        <v>4881.05584823949</v>
      </c>
      <c r="H14" s="20" t="n">
        <f aca="false">'Sales Build'!M14*Assumptions!$G$27</f>
        <v>28963.8820564808</v>
      </c>
      <c r="I14" s="20" t="n">
        <f aca="false">-'Sales Build'!M14*Assumptions!$G$28</f>
        <v>-7585.77863384022</v>
      </c>
      <c r="J14" s="20" t="n">
        <f aca="false">'Sales Build'!M14*Assumptions!$G$29</f>
        <v>3103.27307748009</v>
      </c>
      <c r="K14" s="20" t="n">
        <f aca="false">'Sales Build'!V14*Assumptions!$G$30</f>
        <v>11212.8173174153</v>
      </c>
      <c r="L14" s="20" t="n">
        <f aca="false">'Sales Build'!W14*Assumptions!$G$31</f>
        <v>5589.47329212953</v>
      </c>
      <c r="M14" s="20" t="n">
        <f aca="false">'Sales Build'!W14*Assumptions!$G$32</f>
        <v>2445.39456530667</v>
      </c>
      <c r="N14" s="20" t="n">
        <f aca="false">'Sales Build'!O14*Assumptions!$G$33</f>
        <v>8418.33151978557</v>
      </c>
      <c r="O14" s="20" t="n">
        <f aca="false">'Sales Build'!Y14*Assumptions!$G$35*Assumptions!$G$34</f>
        <v>2845.39981357185</v>
      </c>
      <c r="P14" s="20" t="n">
        <f aca="false">'Sales Build'!M14*Assumptions!$G$36*Assumptions!$G$37</f>
        <v>2896.38820564808</v>
      </c>
      <c r="Q14" s="20" t="n">
        <f aca="false">'Sales Build'!O14*Assumptions!$G$38</f>
        <v>789.218579979897</v>
      </c>
      <c r="R14" s="49" t="n">
        <f aca="false">SUM(G14:Q14)</f>
        <v>63559.4556421971</v>
      </c>
      <c r="S14" s="49" t="n">
        <f aca="false">F14-R14</f>
        <v>163858.920752094</v>
      </c>
      <c r="T14" s="20" t="n">
        <f aca="false">'Media Plan'!U14</f>
        <v>56320.8995139399</v>
      </c>
      <c r="U14" s="49" t="n">
        <f aca="false">S14-T14</f>
        <v>107538.021238154</v>
      </c>
      <c r="V14" s="20" t="n">
        <f aca="false">'Fixed Costs'!$G$31/52</f>
        <v>25332.6923076923</v>
      </c>
      <c r="W14" s="49" t="n">
        <f aca="false">U14-V14</f>
        <v>82205.3289304618</v>
      </c>
    </row>
    <row r="15" customFormat="false" ht="15" hidden="false" customHeight="false" outlineLevel="0" collapsed="false">
      <c r="A15" s="13" t="n">
        <v>10</v>
      </c>
      <c r="B15" s="14" t="str">
        <f aca="false">Calendar!D15</f>
        <v>P3</v>
      </c>
      <c r="C15" s="20" t="n">
        <f aca="false">'Sales Build'!U15</f>
        <v>381654.585806306</v>
      </c>
      <c r="D15" s="20" t="n">
        <f aca="false">C15/(1-'Sales Build'!P15)*(1-Assumptions!$G$23)</f>
        <v>157463.91423377</v>
      </c>
      <c r="E15" s="20" t="n">
        <f aca="false">'Sales Build'!T15/(1-'Sales Build'!P15)*(1-Assumptions!$G$23)*Assumptions!$G$24</f>
        <v>2763.08619507071</v>
      </c>
      <c r="F15" s="49" t="n">
        <f aca="false">C15-D15-E15</f>
        <v>221427.585377465</v>
      </c>
      <c r="G15" s="20" t="n">
        <f aca="false">D15*Assumptions!$G$25</f>
        <v>4723.91742701311</v>
      </c>
      <c r="H15" s="20" t="n">
        <f aca="false">'Sales Build'!M15*Assumptions!$G$27</f>
        <v>28076.8440441782</v>
      </c>
      <c r="I15" s="20" t="n">
        <f aca="false">-'Sales Build'!M15*Assumptions!$G$28</f>
        <v>-7353.45915442762</v>
      </c>
      <c r="J15" s="20" t="n">
        <f aca="false">'Sales Build'!M15*Assumptions!$G$29</f>
        <v>3008.23329044766</v>
      </c>
      <c r="K15" s="20" t="n">
        <f aca="false">'Sales Build'!V15*Assumptions!$G$30</f>
        <v>10969.599580896</v>
      </c>
      <c r="L15" s="20" t="n">
        <f aca="false">'Sales Build'!W15*Assumptions!$G$31</f>
        <v>5557.1685748442</v>
      </c>
      <c r="M15" s="20" t="n">
        <f aca="false">'Sales Build'!W15*Assumptions!$G$32</f>
        <v>2431.26125149434</v>
      </c>
      <c r="N15" s="20" t="n">
        <f aca="false">'Sales Build'!O15*Assumptions!$G$33</f>
        <v>8249.53102002381</v>
      </c>
      <c r="O15" s="20" t="n">
        <f aca="false">'Sales Build'!Y15*Assumptions!$G$35*Assumptions!$G$34</f>
        <v>2713.2939688012</v>
      </c>
      <c r="P15" s="20" t="n">
        <f aca="false">'Sales Build'!M15*Assumptions!$G$36*Assumptions!$G$37</f>
        <v>2807.68440441782</v>
      </c>
      <c r="Q15" s="20" t="n">
        <f aca="false">'Sales Build'!O15*Assumptions!$G$38</f>
        <v>773.393533127232</v>
      </c>
      <c r="R15" s="49" t="n">
        <f aca="false">SUM(G15:Q15)</f>
        <v>61957.467940816</v>
      </c>
      <c r="S15" s="49" t="n">
        <f aca="false">F15-R15</f>
        <v>159470.117436649</v>
      </c>
      <c r="T15" s="20" t="n">
        <f aca="false">'Media Plan'!U15</f>
        <v>54840.6838717939</v>
      </c>
      <c r="U15" s="49" t="n">
        <f aca="false">S15-T15</f>
        <v>104629.433564855</v>
      </c>
      <c r="V15" s="20" t="n">
        <f aca="false">'Fixed Costs'!$G$31/52</f>
        <v>25332.6923076923</v>
      </c>
      <c r="W15" s="49" t="n">
        <f aca="false">U15-V15</f>
        <v>79296.7412571631</v>
      </c>
    </row>
    <row r="16" customFormat="false" ht="15" hidden="false" customHeight="false" outlineLevel="0" collapsed="false">
      <c r="A16" s="13" t="n">
        <v>11</v>
      </c>
      <c r="B16" s="14" t="str">
        <f aca="false">Calendar!D16</f>
        <v>P3</v>
      </c>
      <c r="C16" s="20" t="n">
        <f aca="false">'Sales Build'!U16</f>
        <v>389658.325388785</v>
      </c>
      <c r="D16" s="20" t="n">
        <f aca="false">C16/(1-'Sales Build'!P16)*(1-Assumptions!$G$23)</f>
        <v>160907.01355535</v>
      </c>
      <c r="E16" s="20" t="n">
        <f aca="false">'Sales Build'!T16/(1-'Sales Build'!P16)*(1-Assumptions!$G$23)*Assumptions!$G$24</f>
        <v>2935.63603954638</v>
      </c>
      <c r="F16" s="49" t="n">
        <f aca="false">C16-D16-E16</f>
        <v>225815.675793889</v>
      </c>
      <c r="G16" s="20" t="n">
        <f aca="false">D16*Assumptions!$G$25</f>
        <v>4827.2104066605</v>
      </c>
      <c r="H16" s="20" t="n">
        <f aca="false">'Sales Build'!M16*Assumptions!$G$27</f>
        <v>29440.5694445376</v>
      </c>
      <c r="I16" s="20" t="n">
        <f aca="false">-'Sales Build'!M16*Assumptions!$G$28</f>
        <v>-7710.62533071223</v>
      </c>
      <c r="J16" s="20" t="n">
        <f aca="false">'Sales Build'!M16*Assumptions!$G$29</f>
        <v>3154.34672620046</v>
      </c>
      <c r="K16" s="20" t="n">
        <f aca="false">'Sales Build'!V16*Assumptions!$G$30</f>
        <v>11105.7306119073</v>
      </c>
      <c r="L16" s="20" t="n">
        <f aca="false">'Sales Build'!W16*Assumptions!$G$31</f>
        <v>5996.63670000887</v>
      </c>
      <c r="M16" s="20" t="n">
        <f aca="false">'Sales Build'!W16*Assumptions!$G$32</f>
        <v>2623.52855625388</v>
      </c>
      <c r="N16" s="20" t="n">
        <f aca="false">'Sales Build'!O16*Assumptions!$G$33</f>
        <v>8509.42725409673</v>
      </c>
      <c r="O16" s="20" t="n">
        <f aca="false">'Sales Build'!Y16*Assumptions!$G$35*Assumptions!$G$34</f>
        <v>2861.11505593905</v>
      </c>
      <c r="P16" s="20" t="n">
        <f aca="false">'Sales Build'!M16*Assumptions!$G$36*Assumptions!$G$37</f>
        <v>2944.05694445376</v>
      </c>
      <c r="Q16" s="20" t="n">
        <f aca="false">'Sales Build'!O16*Assumptions!$G$38</f>
        <v>797.758805071569</v>
      </c>
      <c r="R16" s="49" t="n">
        <f aca="false">SUM(G16:Q16)</f>
        <v>64549.7551744175</v>
      </c>
      <c r="S16" s="49" t="n">
        <f aca="false">F16-R16</f>
        <v>161265.920619472</v>
      </c>
      <c r="T16" s="20" t="n">
        <f aca="false">'Media Plan'!U16</f>
        <v>56115.2650814729</v>
      </c>
      <c r="U16" s="49" t="n">
        <f aca="false">S16-T16</f>
        <v>105150.655537999</v>
      </c>
      <c r="V16" s="20" t="n">
        <f aca="false">'Fixed Costs'!$G$31/52</f>
        <v>25332.6923076923</v>
      </c>
      <c r="W16" s="49" t="n">
        <f aca="false">U16-V16</f>
        <v>79817.9632303065</v>
      </c>
    </row>
    <row r="17" customFormat="false" ht="15" hidden="false" customHeight="false" outlineLevel="0" collapsed="false">
      <c r="A17" s="13" t="n">
        <v>12</v>
      </c>
      <c r="B17" s="14" t="str">
        <f aca="false">Calendar!D17</f>
        <v>P3</v>
      </c>
      <c r="C17" s="20" t="n">
        <f aca="false">'Sales Build'!U17</f>
        <v>371498.080878756</v>
      </c>
      <c r="D17" s="20" t="n">
        <f aca="false">C17/(1-'Sales Build'!P17)*(1-Assumptions!$G$23)</f>
        <v>153793.551515508</v>
      </c>
      <c r="E17" s="20" t="n">
        <f aca="false">'Sales Build'!T17/(1-'Sales Build'!P17)*(1-Assumptions!$G$23)*Assumptions!$G$24</f>
        <v>2810.28004922055</v>
      </c>
      <c r="F17" s="49" t="n">
        <f aca="false">C17-D17-E17</f>
        <v>214894.249314027</v>
      </c>
      <c r="G17" s="20" t="n">
        <f aca="false">D17*Assumptions!$G$25</f>
        <v>4613.80654546525</v>
      </c>
      <c r="H17" s="20" t="n">
        <f aca="false">'Sales Build'!M17*Assumptions!$G$27</f>
        <v>28718.8136062658</v>
      </c>
      <c r="I17" s="20" t="n">
        <f aca="false">-'Sales Build'!M17*Assumptions!$G$28</f>
        <v>-7521.59403973627</v>
      </c>
      <c r="J17" s="20" t="n">
        <f aca="false">'Sales Build'!M17*Assumptions!$G$29</f>
        <v>3077.01574352847</v>
      </c>
      <c r="K17" s="20" t="n">
        <f aca="false">'Sales Build'!V17*Assumptions!$G$30</f>
        <v>10910.5034944269</v>
      </c>
      <c r="L17" s="20" t="n">
        <f aca="false">'Sales Build'!W17*Assumptions!$G$31</f>
        <v>5856.37983712499</v>
      </c>
      <c r="M17" s="20" t="n">
        <f aca="false">'Sales Build'!W17*Assumptions!$G$32</f>
        <v>2562.16617874218</v>
      </c>
      <c r="N17" s="20" t="n">
        <f aca="false">'Sales Build'!O17*Assumptions!$G$33</f>
        <v>8116.26041493875</v>
      </c>
      <c r="O17" s="20" t="n">
        <f aca="false">'Sales Build'!Y17*Assumptions!$G$35*Assumptions!$G$34</f>
        <v>2591.81410150691</v>
      </c>
      <c r="P17" s="20" t="n">
        <f aca="false">'Sales Build'!M17*Assumptions!$G$36*Assumptions!$G$37</f>
        <v>2871.88136062658</v>
      </c>
      <c r="Q17" s="20" t="n">
        <f aca="false">'Sales Build'!O17*Assumptions!$G$38</f>
        <v>760.899413900508</v>
      </c>
      <c r="R17" s="49" t="n">
        <f aca="false">SUM(G17:Q17)</f>
        <v>62557.9466567901</v>
      </c>
      <c r="S17" s="49" t="n">
        <f aca="false">F17-R17</f>
        <v>152336.302657237</v>
      </c>
      <c r="T17" s="20" t="n">
        <f aca="false">'Media Plan'!U17</f>
        <v>52715.8510643999</v>
      </c>
      <c r="U17" s="49" t="n">
        <f aca="false">S17-T17</f>
        <v>99620.4515928374</v>
      </c>
      <c r="V17" s="20" t="n">
        <f aca="false">'Fixed Costs'!$G$31/52</f>
        <v>25332.6923076923</v>
      </c>
      <c r="W17" s="49" t="n">
        <f aca="false">U17-V17</f>
        <v>74287.7592851451</v>
      </c>
    </row>
    <row r="18" customFormat="false" ht="15" hidden="false" customHeight="false" outlineLevel="0" collapsed="false">
      <c r="A18" s="13" t="n">
        <v>13</v>
      </c>
      <c r="B18" s="14" t="str">
        <f aca="false">Calendar!D18</f>
        <v>P3</v>
      </c>
      <c r="C18" s="20" t="n">
        <f aca="false">'Sales Build'!U18</f>
        <v>379934.982059367</v>
      </c>
      <c r="D18" s="20" t="n">
        <f aca="false">C18/(1-'Sales Build'!P18)*(1-Assumptions!$G$23)</f>
        <v>157380.744276026</v>
      </c>
      <c r="E18" s="20" t="n">
        <f aca="false">'Sales Build'!T18/(1-'Sales Build'!P18)*(1-Assumptions!$G$23)*Assumptions!$G$24</f>
        <v>2721.83960071881</v>
      </c>
      <c r="F18" s="49" t="n">
        <f aca="false">C18-D18-E18</f>
        <v>219832.398182622</v>
      </c>
      <c r="G18" s="20" t="n">
        <f aca="false">D18*Assumptions!$G$25</f>
        <v>4721.42232828077</v>
      </c>
      <c r="H18" s="20" t="n">
        <f aca="false">'Sales Build'!M18*Assumptions!$G$27</f>
        <v>27979.5501687022</v>
      </c>
      <c r="I18" s="20" t="n">
        <f aca="false">-'Sales Build'!M18*Assumptions!$G$28</f>
        <v>-7327.9774251363</v>
      </c>
      <c r="J18" s="20" t="n">
        <f aca="false">'Sales Build'!M18*Assumptions!$G$29</f>
        <v>2997.80894664667</v>
      </c>
      <c r="K18" s="20" t="n">
        <f aca="false">'Sales Build'!V18*Assumptions!$G$30</f>
        <v>10658.1770977041</v>
      </c>
      <c r="L18" s="20" t="n">
        <f aca="false">'Sales Build'!W18*Assumptions!$G$31</f>
        <v>5478.63071158521</v>
      </c>
      <c r="M18" s="20" t="n">
        <f aca="false">'Sales Build'!W18*Assumptions!$G$32</f>
        <v>2396.90093631853</v>
      </c>
      <c r="N18" s="20" t="n">
        <f aca="false">'Sales Build'!O18*Assumptions!$G$33</f>
        <v>8181.6252396628</v>
      </c>
      <c r="O18" s="20" t="n">
        <f aca="false">'Sales Build'!Y18*Assumptions!$G$35*Assumptions!$G$34</f>
        <v>2807.59313221985</v>
      </c>
      <c r="P18" s="20" t="n">
        <f aca="false">'Sales Build'!M18*Assumptions!$G$36*Assumptions!$G$37</f>
        <v>2797.95501687022</v>
      </c>
      <c r="Q18" s="20" t="n">
        <f aca="false">'Sales Build'!O18*Assumptions!$G$38</f>
        <v>767.027366218388</v>
      </c>
      <c r="R18" s="49" t="n">
        <f aca="false">SUM(G18:Q18)</f>
        <v>61458.7135190724</v>
      </c>
      <c r="S18" s="49" t="n">
        <f aca="false">F18-R18</f>
        <v>158373.68466355</v>
      </c>
      <c r="T18" s="20" t="n">
        <f aca="false">'Media Plan'!U18</f>
        <v>55745.0889712194</v>
      </c>
      <c r="U18" s="49" t="n">
        <f aca="false">S18-T18</f>
        <v>102628.59569233</v>
      </c>
      <c r="V18" s="20" t="n">
        <f aca="false">'Fixed Costs'!$G$31/52</f>
        <v>25332.6923076923</v>
      </c>
      <c r="W18" s="49" t="n">
        <f aca="false">U18-V18</f>
        <v>77295.9033846381</v>
      </c>
    </row>
    <row r="19" customFormat="false" ht="15" hidden="false" customHeight="false" outlineLevel="0" collapsed="false">
      <c r="A19" s="13" t="n">
        <v>14</v>
      </c>
      <c r="B19" s="14" t="str">
        <f aca="false">Calendar!D19</f>
        <v>P4</v>
      </c>
      <c r="C19" s="20" t="n">
        <f aca="false">'Sales Build'!U19</f>
        <v>414047.343452761</v>
      </c>
      <c r="D19" s="20" t="n">
        <f aca="false">C19/(1-'Sales Build'!P19)*(1-Assumptions!$G$23)</f>
        <v>170690.505953542</v>
      </c>
      <c r="E19" s="20" t="n">
        <f aca="false">'Sales Build'!T19/(1-'Sales Build'!P19)*(1-Assumptions!$G$23)*Assumptions!$G$24</f>
        <v>2973.75421125447</v>
      </c>
      <c r="F19" s="49" t="n">
        <f aca="false">C19-D19-E19</f>
        <v>240383.083287965</v>
      </c>
      <c r="G19" s="20" t="n">
        <f aca="false">D19*Assumptions!$G$25</f>
        <v>5120.71517860625</v>
      </c>
      <c r="H19" s="20" t="n">
        <f aca="false">'Sales Build'!M19*Assumptions!$G$27</f>
        <v>30479.5718713086</v>
      </c>
      <c r="I19" s="20" t="n">
        <f aca="false">-'Sales Build'!M19*Assumptions!$G$28</f>
        <v>-7982.74501391415</v>
      </c>
      <c r="J19" s="20" t="n">
        <f aca="false">'Sales Build'!M19*Assumptions!$G$29</f>
        <v>3265.66841478306</v>
      </c>
      <c r="K19" s="20" t="n">
        <f aca="false">'Sales Build'!V19*Assumptions!$G$30</f>
        <v>11507.0174493811</v>
      </c>
      <c r="L19" s="20" t="n">
        <f aca="false">'Sales Build'!W19*Assumptions!$G$31</f>
        <v>6000.73183429987</v>
      </c>
      <c r="M19" s="20" t="n">
        <f aca="false">'Sales Build'!W19*Assumptions!$G$32</f>
        <v>2625.32017750619</v>
      </c>
      <c r="N19" s="20" t="n">
        <f aca="false">'Sales Build'!O19*Assumptions!$G$33</f>
        <v>8933.07574528018</v>
      </c>
      <c r="O19" s="20" t="n">
        <f aca="false">'Sales Build'!Y19*Assumptions!$G$35*Assumptions!$G$34</f>
        <v>3021.61455515497</v>
      </c>
      <c r="P19" s="20" t="n">
        <f aca="false">'Sales Build'!M19*Assumptions!$G$36*Assumptions!$G$37</f>
        <v>3047.95718713086</v>
      </c>
      <c r="Q19" s="20" t="n">
        <f aca="false">'Sales Build'!O19*Assumptions!$G$38</f>
        <v>837.475851120017</v>
      </c>
      <c r="R19" s="49" t="n">
        <f aca="false">SUM(G19:Q19)</f>
        <v>66856.4032506569</v>
      </c>
      <c r="S19" s="49" t="n">
        <f aca="false">F19-R19</f>
        <v>173526.680037308</v>
      </c>
      <c r="T19" s="20" t="n">
        <f aca="false">'Media Plan'!U19</f>
        <v>59021.7526185556</v>
      </c>
      <c r="U19" s="49" t="n">
        <f aca="false">S19-T19</f>
        <v>114504.927418752</v>
      </c>
      <c r="V19" s="20" t="n">
        <f aca="false">'Fixed Costs'!$G$31/52</f>
        <v>25332.6923076923</v>
      </c>
      <c r="W19" s="49" t="n">
        <f aca="false">U19-V19</f>
        <v>89172.2351110601</v>
      </c>
    </row>
    <row r="20" customFormat="false" ht="15" hidden="false" customHeight="false" outlineLevel="0" collapsed="false">
      <c r="A20" s="13" t="n">
        <v>15</v>
      </c>
      <c r="B20" s="14" t="str">
        <f aca="false">Calendar!D20</f>
        <v>P4</v>
      </c>
      <c r="C20" s="20" t="n">
        <f aca="false">'Sales Build'!U20</f>
        <v>405647.809726693</v>
      </c>
      <c r="D20" s="20" t="n">
        <f aca="false">C20/(1-'Sales Build'!P20)*(1-Assumptions!$G$23)</f>
        <v>167111.909059445</v>
      </c>
      <c r="E20" s="20" t="n">
        <f aca="false">'Sales Build'!T20/(1-'Sales Build'!P20)*(1-Assumptions!$G$23)*Assumptions!$G$24</f>
        <v>2893.90841690003</v>
      </c>
      <c r="F20" s="49" t="n">
        <f aca="false">C20-D20-E20</f>
        <v>235641.992250348</v>
      </c>
      <c r="G20" s="20" t="n">
        <f aca="false">D20*Assumptions!$G$25</f>
        <v>5013.35727178336</v>
      </c>
      <c r="H20" s="20" t="n">
        <f aca="false">'Sales Build'!M20*Assumptions!$G$27</f>
        <v>29514.9592446253</v>
      </c>
      <c r="I20" s="20" t="n">
        <f aca="false">-'Sales Build'!M20*Assumptions!$G$28</f>
        <v>-7730.10837359234</v>
      </c>
      <c r="J20" s="20" t="n">
        <f aca="false">'Sales Build'!M20*Assumptions!$G$29</f>
        <v>3162.31706192414</v>
      </c>
      <c r="K20" s="20" t="n">
        <f aca="false">'Sales Build'!V20*Assumptions!$G$30</f>
        <v>11380.2729045761</v>
      </c>
      <c r="L20" s="20" t="n">
        <f aca="false">'Sales Build'!W20*Assumptions!$G$31</f>
        <v>5784.87913155128</v>
      </c>
      <c r="M20" s="20" t="n">
        <f aca="false">'Sales Build'!W20*Assumptions!$G$32</f>
        <v>2530.88462005368</v>
      </c>
      <c r="N20" s="20" t="n">
        <f aca="false">'Sales Build'!O20*Assumptions!$G$33</f>
        <v>8738.26241303222</v>
      </c>
      <c r="O20" s="20" t="n">
        <f aca="false">'Sales Build'!Y20*Assumptions!$G$35*Assumptions!$G$34</f>
        <v>2883.46278818978</v>
      </c>
      <c r="P20" s="20" t="n">
        <f aca="false">'Sales Build'!M20*Assumptions!$G$36*Assumptions!$G$37</f>
        <v>2951.49592446253</v>
      </c>
      <c r="Q20" s="20" t="n">
        <f aca="false">'Sales Build'!O20*Assumptions!$G$38</f>
        <v>819.212101221771</v>
      </c>
      <c r="R20" s="49" t="n">
        <f aca="false">SUM(G20:Q20)</f>
        <v>65048.9950878279</v>
      </c>
      <c r="S20" s="49" t="n">
        <f aca="false">F20-R20</f>
        <v>170592.99716252</v>
      </c>
      <c r="T20" s="20" t="n">
        <f aca="false">'Media Plan'!U20</f>
        <v>58224.5274776279</v>
      </c>
      <c r="U20" s="49" t="n">
        <f aca="false">S20-T20</f>
        <v>112368.469684892</v>
      </c>
      <c r="V20" s="20" t="n">
        <f aca="false">'Fixed Costs'!$G$31/52</f>
        <v>25332.6923076923</v>
      </c>
      <c r="W20" s="49" t="n">
        <f aca="false">U20-V20</f>
        <v>87035.7773771998</v>
      </c>
    </row>
    <row r="21" customFormat="false" ht="15" hidden="false" customHeight="false" outlineLevel="0" collapsed="false">
      <c r="A21" s="13" t="n">
        <v>16</v>
      </c>
      <c r="B21" s="14" t="str">
        <f aca="false">Calendar!D21</f>
        <v>P4</v>
      </c>
      <c r="C21" s="20" t="n">
        <f aca="false">'Sales Build'!U21</f>
        <v>416495.570395061</v>
      </c>
      <c r="D21" s="20" t="n">
        <f aca="false">C21/(1-'Sales Build'!P21)*(1-Assumptions!$G$23)</f>
        <v>172493.26305693</v>
      </c>
      <c r="E21" s="20" t="n">
        <f aca="false">'Sales Build'!T21/(1-'Sales Build'!P21)*(1-Assumptions!$G$23)*Assumptions!$G$24</f>
        <v>2996.83563011999</v>
      </c>
      <c r="F21" s="49" t="n">
        <f aca="false">C21-D21-E21</f>
        <v>241005.471708011</v>
      </c>
      <c r="G21" s="20" t="n">
        <f aca="false">D21*Assumptions!$G$25</f>
        <v>5174.79789170791</v>
      </c>
      <c r="H21" s="20" t="n">
        <f aca="false">'Sales Build'!M21*Assumptions!$G$27</f>
        <v>30312.9548754899</v>
      </c>
      <c r="I21" s="20" t="n">
        <f aca="false">-'Sales Build'!M21*Assumptions!$G$28</f>
        <v>-7939.10722929498</v>
      </c>
      <c r="J21" s="20" t="n">
        <f aca="false">'Sales Build'!M21*Assumptions!$G$29</f>
        <v>3247.81659380249</v>
      </c>
      <c r="K21" s="20" t="n">
        <f aca="false">'Sales Build'!V21*Assumptions!$G$30</f>
        <v>11756.9805852313</v>
      </c>
      <c r="L21" s="20" t="n">
        <f aca="false">'Sales Build'!W21*Assumptions!$G$31</f>
        <v>5955.65789931362</v>
      </c>
      <c r="M21" s="20" t="n">
        <f aca="false">'Sales Build'!W21*Assumptions!$G$32</f>
        <v>2605.60033094971</v>
      </c>
      <c r="N21" s="20" t="n">
        <f aca="false">'Sales Build'!O21*Assumptions!$G$33</f>
        <v>8979.46306526234</v>
      </c>
      <c r="O21" s="20" t="n">
        <f aca="false">'Sales Build'!Y21*Assumptions!$G$35*Assumptions!$G$34</f>
        <v>3093.21724156337</v>
      </c>
      <c r="P21" s="20" t="n">
        <f aca="false">'Sales Build'!M21*Assumptions!$G$36*Assumptions!$G$37</f>
        <v>3031.29548754899</v>
      </c>
      <c r="Q21" s="20" t="n">
        <f aca="false">'Sales Build'!O21*Assumptions!$G$38</f>
        <v>841.824662368344</v>
      </c>
      <c r="R21" s="49" t="n">
        <f aca="false">SUM(G21:Q21)</f>
        <v>67060.501403943</v>
      </c>
      <c r="S21" s="49" t="n">
        <f aca="false">F21-R21</f>
        <v>173944.970304068</v>
      </c>
      <c r="T21" s="20" t="n">
        <f aca="false">'Media Plan'!U21</f>
        <v>57802.5047826361</v>
      </c>
      <c r="U21" s="49" t="n">
        <f aca="false">S21-T21</f>
        <v>116142.465521432</v>
      </c>
      <c r="V21" s="20" t="n">
        <f aca="false">'Fixed Costs'!$G$31/52</f>
        <v>25332.6923076923</v>
      </c>
      <c r="W21" s="49" t="n">
        <f aca="false">U21-V21</f>
        <v>90809.7732137396</v>
      </c>
    </row>
    <row r="22" customFormat="false" ht="15" hidden="false" customHeight="false" outlineLevel="0" collapsed="false">
      <c r="A22" s="13" t="n">
        <v>17</v>
      </c>
      <c r="B22" s="14" t="str">
        <f aca="false">Calendar!D22</f>
        <v>P4</v>
      </c>
      <c r="C22" s="20" t="n">
        <f aca="false">'Sales Build'!U22</f>
        <v>392516.007721573</v>
      </c>
      <c r="D22" s="20" t="n">
        <f aca="false">C22/(1-'Sales Build'!P22)*(1-Assumptions!$G$23)</f>
        <v>161971.351605201</v>
      </c>
      <c r="E22" s="20" t="n">
        <f aca="false">'Sales Build'!T22/(1-'Sales Build'!P22)*(1-Assumptions!$G$23)*Assumptions!$G$24</f>
        <v>2938.92691930707</v>
      </c>
      <c r="F22" s="49" t="n">
        <f aca="false">C22-D22-E22</f>
        <v>227605.729197065</v>
      </c>
      <c r="G22" s="20" t="n">
        <f aca="false">D22*Assumptions!$G$25</f>
        <v>4859.14054815603</v>
      </c>
      <c r="H22" s="20" t="n">
        <f aca="false">'Sales Build'!M22*Assumptions!$G$27</f>
        <v>29592.2195065417</v>
      </c>
      <c r="I22" s="20" t="n">
        <f aca="false">-'Sales Build'!M22*Assumptions!$G$28</f>
        <v>-7750.34320409425</v>
      </c>
      <c r="J22" s="20" t="n">
        <f aca="false">'Sales Build'!M22*Assumptions!$G$29</f>
        <v>3170.59494712947</v>
      </c>
      <c r="K22" s="20" t="n">
        <f aca="false">'Sales Build'!V22*Assumptions!$G$30</f>
        <v>11526.3189013612</v>
      </c>
      <c r="L22" s="20" t="n">
        <f aca="false">'Sales Build'!W22*Assumptions!$G$31</f>
        <v>6003.38940453284</v>
      </c>
      <c r="M22" s="20" t="n">
        <f aca="false">'Sales Build'!W22*Assumptions!$G$32</f>
        <v>2626.48286448312</v>
      </c>
      <c r="N22" s="20" t="n">
        <f aca="false">'Sales Build'!O22*Assumptions!$G$33</f>
        <v>8559.32752706334</v>
      </c>
      <c r="O22" s="20" t="n">
        <f aca="false">'Sales Build'!Y22*Assumptions!$G$35*Assumptions!$G$34</f>
        <v>2867.09785873093</v>
      </c>
      <c r="P22" s="20" t="n">
        <f aca="false">'Sales Build'!M22*Assumptions!$G$36*Assumptions!$G$37</f>
        <v>2959.22195065417</v>
      </c>
      <c r="Q22" s="20" t="n">
        <f aca="false">'Sales Build'!O22*Assumptions!$G$38</f>
        <v>802.436955662188</v>
      </c>
      <c r="R22" s="49" t="n">
        <f aca="false">SUM(G22:Q22)</f>
        <v>65215.8872602207</v>
      </c>
      <c r="S22" s="49" t="n">
        <f aca="false">F22-R22</f>
        <v>162389.841936845</v>
      </c>
      <c r="T22" s="20" t="n">
        <f aca="false">'Media Plan'!U22</f>
        <v>59099.3293729161</v>
      </c>
      <c r="U22" s="49" t="n">
        <f aca="false">S22-T22</f>
        <v>103290.512563929</v>
      </c>
      <c r="V22" s="20" t="n">
        <f aca="false">'Fixed Costs'!$G$31/52</f>
        <v>25332.6923076923</v>
      </c>
      <c r="W22" s="49" t="n">
        <f aca="false">U22-V22</f>
        <v>77957.8202562362</v>
      </c>
    </row>
    <row r="23" customFormat="false" ht="15" hidden="false" customHeight="false" outlineLevel="0" collapsed="false">
      <c r="A23" s="13" t="n">
        <v>18</v>
      </c>
      <c r="B23" s="14" t="str">
        <f aca="false">Calendar!D23</f>
        <v>P5</v>
      </c>
      <c r="C23" s="20" t="n">
        <f aca="false">'Sales Build'!U23</f>
        <v>394415.309388665</v>
      </c>
      <c r="D23" s="20" t="n">
        <f aca="false">C23/(1-'Sales Build'!P23)*(1-Assumptions!$G$23)</f>
        <v>162698.353626298</v>
      </c>
      <c r="E23" s="20" t="n">
        <f aca="false">'Sales Build'!T23/(1-'Sales Build'!P23)*(1-Assumptions!$G$23)*Assumptions!$G$24</f>
        <v>2790.40413441796</v>
      </c>
      <c r="F23" s="49" t="n">
        <f aca="false">C23-D23-E23</f>
        <v>228926.551627949</v>
      </c>
      <c r="G23" s="20" t="n">
        <f aca="false">D23*Assumptions!$G$25</f>
        <v>4880.95060878894</v>
      </c>
      <c r="H23" s="20" t="n">
        <f aca="false">'Sales Build'!M23*Assumptions!$G$27</f>
        <v>28601.7712453989</v>
      </c>
      <c r="I23" s="20" t="n">
        <f aca="false">-'Sales Build'!M23*Assumptions!$G$28</f>
        <v>-7490.94008808067</v>
      </c>
      <c r="J23" s="20" t="n">
        <f aca="false">'Sales Build'!M23*Assumptions!$G$29</f>
        <v>3064.47549057846</v>
      </c>
      <c r="K23" s="20" t="n">
        <f aca="false">'Sales Build'!V23*Assumptions!$G$30</f>
        <v>11144.9934596118</v>
      </c>
      <c r="L23" s="20" t="n">
        <f aca="false">'Sales Build'!W23*Assumptions!$G$31</f>
        <v>5565.78575766169</v>
      </c>
      <c r="M23" s="20" t="n">
        <f aca="false">'Sales Build'!W23*Assumptions!$G$32</f>
        <v>2435.03126897699</v>
      </c>
      <c r="N23" s="20" t="n">
        <f aca="false">'Sales Build'!O23*Assumptions!$G$33</f>
        <v>8475.29497493623</v>
      </c>
      <c r="O23" s="20" t="n">
        <f aca="false">'Sales Build'!Y23*Assumptions!$G$35*Assumptions!$G$34</f>
        <v>2799.41512010858</v>
      </c>
      <c r="P23" s="20" t="n">
        <f aca="false">'Sales Build'!M23*Assumptions!$G$36*Assumptions!$G$37</f>
        <v>2860.17712453989</v>
      </c>
      <c r="Q23" s="20" t="n">
        <f aca="false">'Sales Build'!O23*Assumptions!$G$38</f>
        <v>794.558903900271</v>
      </c>
      <c r="R23" s="49" t="n">
        <f aca="false">SUM(G23:Q23)</f>
        <v>63131.5138664211</v>
      </c>
      <c r="S23" s="49" t="n">
        <f aca="false">F23-R23</f>
        <v>165795.037761527</v>
      </c>
      <c r="T23" s="20" t="n">
        <f aca="false">'Media Plan'!U23</f>
        <v>57105.4153128622</v>
      </c>
      <c r="U23" s="49" t="n">
        <f aca="false">S23-T23</f>
        <v>108689.622448665</v>
      </c>
      <c r="V23" s="20" t="n">
        <f aca="false">'Fixed Costs'!$G$31/52</f>
        <v>25332.6923076923</v>
      </c>
      <c r="W23" s="49" t="n">
        <f aca="false">U23-V23</f>
        <v>83356.9301409729</v>
      </c>
    </row>
    <row r="24" customFormat="false" ht="15" hidden="false" customHeight="false" outlineLevel="0" collapsed="false">
      <c r="A24" s="13" t="n">
        <v>19</v>
      </c>
      <c r="B24" s="14" t="str">
        <f aca="false">Calendar!D24</f>
        <v>P5</v>
      </c>
      <c r="C24" s="20" t="n">
        <f aca="false">'Sales Build'!U24</f>
        <v>422519.330966593</v>
      </c>
      <c r="D24" s="20" t="n">
        <f aca="false">C24/(1-'Sales Build'!P24)*(1-Assumptions!$G$23)</f>
        <v>174491.051095457</v>
      </c>
      <c r="E24" s="20" t="n">
        <f aca="false">'Sales Build'!T24/(1-'Sales Build'!P24)*(1-Assumptions!$G$23)*Assumptions!$G$24</f>
        <v>3137.25043252003</v>
      </c>
      <c r="F24" s="49" t="n">
        <f aca="false">C24-D24-E24</f>
        <v>244891.029438617</v>
      </c>
      <c r="G24" s="20" t="n">
        <f aca="false">D24*Assumptions!$G$25</f>
        <v>5234.7315328637</v>
      </c>
      <c r="H24" s="20" t="n">
        <f aca="false">'Sales Build'!M24*Assumptions!$G$27</f>
        <v>31205.0671709448</v>
      </c>
      <c r="I24" s="20" t="n">
        <f aca="false">-'Sales Build'!M24*Assumptions!$G$28</f>
        <v>-8172.75568762839</v>
      </c>
      <c r="J24" s="20" t="n">
        <f aca="false">'Sales Build'!M24*Assumptions!$G$29</f>
        <v>3343.4000540298</v>
      </c>
      <c r="K24" s="20" t="n">
        <f aca="false">'Sales Build'!V24*Assumptions!$G$30</f>
        <v>12279.4082075693</v>
      </c>
      <c r="L24" s="20" t="n">
        <f aca="false">'Sales Build'!W24*Assumptions!$G$31</f>
        <v>6288.17024150788</v>
      </c>
      <c r="M24" s="20" t="n">
        <f aca="false">'Sales Build'!W24*Assumptions!$G$32</f>
        <v>2751.0744806597</v>
      </c>
      <c r="N24" s="20" t="n">
        <f aca="false">'Sales Build'!O24*Assumptions!$G$33</f>
        <v>9191.24006561322</v>
      </c>
      <c r="O24" s="20" t="n">
        <f aca="false">'Sales Build'!Y24*Assumptions!$G$35*Assumptions!$G$34</f>
        <v>2993.5848456615</v>
      </c>
      <c r="P24" s="20" t="n">
        <f aca="false">'Sales Build'!M24*Assumptions!$G$36*Assumptions!$G$37</f>
        <v>3120.50671709448</v>
      </c>
      <c r="Q24" s="20" t="n">
        <f aca="false">'Sales Build'!O24*Assumptions!$G$38</f>
        <v>861.67875615124</v>
      </c>
      <c r="R24" s="49" t="n">
        <f aca="false">SUM(G24:Q24)</f>
        <v>69096.1063844672</v>
      </c>
      <c r="S24" s="49" t="n">
        <f aca="false">F24-R24</f>
        <v>175794.923054149</v>
      </c>
      <c r="T24" s="20" t="n">
        <f aca="false">'Media Plan'!U24</f>
        <v>60175.3809664637</v>
      </c>
      <c r="U24" s="49" t="n">
        <f aca="false">S24-T24</f>
        <v>115619.542087686</v>
      </c>
      <c r="V24" s="20" t="n">
        <f aca="false">'Fixed Costs'!$G$31/52</f>
        <v>25332.6923076923</v>
      </c>
      <c r="W24" s="49" t="n">
        <f aca="false">U24-V24</f>
        <v>90286.8497799933</v>
      </c>
    </row>
    <row r="25" customFormat="false" ht="15" hidden="false" customHeight="false" outlineLevel="0" collapsed="false">
      <c r="A25" s="13" t="n">
        <v>20</v>
      </c>
      <c r="B25" s="14" t="str">
        <f aca="false">Calendar!D25</f>
        <v>P5</v>
      </c>
      <c r="C25" s="20" t="n">
        <f aca="false">'Sales Build'!U25</f>
        <v>410467.113157819</v>
      </c>
      <c r="D25" s="20" t="n">
        <f aca="false">C25/(1-'Sales Build'!P25)*(1-Assumptions!$G$23)</f>
        <v>169654.662477978</v>
      </c>
      <c r="E25" s="20" t="n">
        <f aca="false">'Sales Build'!T25/(1-'Sales Build'!P25)*(1-Assumptions!$G$23)*Assumptions!$G$24</f>
        <v>3018.25820359154</v>
      </c>
      <c r="F25" s="49" t="n">
        <f aca="false">C25-D25-E25</f>
        <v>237794.19247625</v>
      </c>
      <c r="G25" s="20" t="n">
        <f aca="false">D25*Assumptions!$G$25</f>
        <v>5089.63987433933</v>
      </c>
      <c r="H25" s="20" t="n">
        <f aca="false">'Sales Build'!M25*Assumptions!$G$27</f>
        <v>30708.306358395</v>
      </c>
      <c r="I25" s="20" t="n">
        <f aca="false">-'Sales Build'!M25*Assumptions!$G$28</f>
        <v>-8042.65166529393</v>
      </c>
      <c r="J25" s="20" t="n">
        <f aca="false">'Sales Build'!M25*Assumptions!$G$29</f>
        <v>3290.17568125661</v>
      </c>
      <c r="K25" s="20" t="n">
        <f aca="false">'Sales Build'!V25*Assumptions!$G$30</f>
        <v>12096.8421883515</v>
      </c>
      <c r="L25" s="20" t="n">
        <f aca="false">'Sales Build'!W25*Assumptions!$G$31</f>
        <v>6140.13141553474</v>
      </c>
      <c r="M25" s="20" t="n">
        <f aca="false">'Sales Build'!W25*Assumptions!$G$32</f>
        <v>2686.30749429645</v>
      </c>
      <c r="N25" s="20" t="n">
        <f aca="false">'Sales Build'!O25*Assumptions!$G$33</f>
        <v>8904.25977513874</v>
      </c>
      <c r="O25" s="20" t="n">
        <f aca="false">'Sales Build'!Y25*Assumptions!$G$35*Assumptions!$G$34</f>
        <v>2923.04522264132</v>
      </c>
      <c r="P25" s="20" t="n">
        <f aca="false">'Sales Build'!M25*Assumptions!$G$36*Assumptions!$G$37</f>
        <v>3070.8306358395</v>
      </c>
      <c r="Q25" s="20" t="n">
        <f aca="false">'Sales Build'!O25*Assumptions!$G$38</f>
        <v>834.774353919257</v>
      </c>
      <c r="R25" s="49" t="n">
        <f aca="false">SUM(G25:Q25)</f>
        <v>67701.6613344185</v>
      </c>
      <c r="S25" s="49" t="n">
        <f aca="false">F25-R25</f>
        <v>170092.531141832</v>
      </c>
      <c r="T25" s="20" t="n">
        <f aca="false">'Media Plan'!U25</f>
        <v>59370.8538787582</v>
      </c>
      <c r="U25" s="49" t="n">
        <f aca="false">S25-T25</f>
        <v>110721.677263074</v>
      </c>
      <c r="V25" s="20" t="n">
        <f aca="false">'Fixed Costs'!$G$31/52</f>
        <v>25332.6923076923</v>
      </c>
      <c r="W25" s="49" t="n">
        <f aca="false">U25-V25</f>
        <v>85388.9849553814</v>
      </c>
    </row>
    <row r="26" customFormat="false" ht="15" hidden="false" customHeight="false" outlineLevel="0" collapsed="false">
      <c r="A26" s="13" t="n">
        <v>21</v>
      </c>
      <c r="B26" s="14" t="str">
        <f aca="false">Calendar!D26</f>
        <v>P5</v>
      </c>
      <c r="C26" s="20" t="n">
        <f aca="false">'Sales Build'!U26</f>
        <v>672450.692102451</v>
      </c>
      <c r="D26" s="20" t="n">
        <f aca="false">C26/(1-'Sales Build'!P26)*(1-Assumptions!$G$23)</f>
        <v>373108.715819989</v>
      </c>
      <c r="E26" s="20" t="n">
        <f aca="false">'Sales Build'!T26/(1-'Sales Build'!P26)*(1-Assumptions!$G$23)*Assumptions!$G$24</f>
        <v>5544.05237676359</v>
      </c>
      <c r="F26" s="49" t="n">
        <f aca="false">C26-D26-E26</f>
        <v>293797.923905698</v>
      </c>
      <c r="G26" s="20" t="n">
        <f aca="false">D26*Assumptions!$G$25</f>
        <v>11193.2614745997</v>
      </c>
      <c r="H26" s="20" t="n">
        <f aca="false">'Sales Build'!M26*Assumptions!$G$27</f>
        <v>53224.4367893706</v>
      </c>
      <c r="I26" s="20" t="n">
        <f aca="false">-'Sales Build'!M26*Assumptions!$G$28</f>
        <v>-13939.7334448352</v>
      </c>
      <c r="J26" s="20" t="n">
        <f aca="false">'Sales Build'!M26*Assumptions!$G$29</f>
        <v>5702.61822743256</v>
      </c>
      <c r="K26" s="20" t="n">
        <f aca="false">'Sales Build'!V26*Assumptions!$G$30</f>
        <v>20560.0164939445</v>
      </c>
      <c r="L26" s="20" t="n">
        <f aca="false">'Sales Build'!W26*Assumptions!$G$31</f>
        <v>9290.36777223203</v>
      </c>
      <c r="M26" s="20" t="n">
        <f aca="false">'Sales Build'!W26*Assumptions!$G$32</f>
        <v>4064.53590035151</v>
      </c>
      <c r="N26" s="20" t="n">
        <f aca="false">'Sales Build'!O26*Assumptions!$G$33</f>
        <v>13956.6507042743</v>
      </c>
      <c r="O26" s="20" t="n">
        <f aca="false">'Sales Build'!Y26*Assumptions!$G$35*Assumptions!$G$34</f>
        <v>4291.25721221965</v>
      </c>
      <c r="P26" s="20" t="n">
        <f aca="false">'Sales Build'!M26*Assumptions!$G$36*Assumptions!$G$37</f>
        <v>5322.44367893706</v>
      </c>
      <c r="Q26" s="20" t="n">
        <f aca="false">'Sales Build'!O26*Assumptions!$G$38</f>
        <v>1308.43600352572</v>
      </c>
      <c r="R26" s="49" t="n">
        <f aca="false">SUM(G26:Q26)</f>
        <v>114974.290812053</v>
      </c>
      <c r="S26" s="49" t="n">
        <f aca="false">F26-R26</f>
        <v>178823.633093646</v>
      </c>
      <c r="T26" s="20" t="n">
        <f aca="false">'Media Plan'!U26</f>
        <v>79588.7374604282</v>
      </c>
      <c r="U26" s="49" t="n">
        <f aca="false">S26-T26</f>
        <v>99234.8956332174</v>
      </c>
      <c r="V26" s="20" t="n">
        <f aca="false">'Fixed Costs'!$G$31/52</f>
        <v>25332.6923076923</v>
      </c>
      <c r="W26" s="49" t="n">
        <f aca="false">U26-V26</f>
        <v>73902.2033255251</v>
      </c>
    </row>
    <row r="27" customFormat="false" ht="15" hidden="false" customHeight="false" outlineLevel="0" collapsed="false">
      <c r="A27" s="13" t="n">
        <v>22</v>
      </c>
      <c r="B27" s="14" t="str">
        <f aca="false">Calendar!D27</f>
        <v>P6</v>
      </c>
      <c r="C27" s="20" t="n">
        <f aca="false">'Sales Build'!U27</f>
        <v>564941.951776965</v>
      </c>
      <c r="D27" s="20" t="n">
        <f aca="false">C27/(1-'Sales Build'!P27)*(1-Assumptions!$G$23)</f>
        <v>309419.533772369</v>
      </c>
      <c r="E27" s="20" t="n">
        <f aca="false">'Sales Build'!T27/(1-'Sales Build'!P27)*(1-Assumptions!$G$23)*Assumptions!$G$24</f>
        <v>4744.61885604202</v>
      </c>
      <c r="F27" s="49" t="n">
        <f aca="false">C27-D27-E27</f>
        <v>250777.799148554</v>
      </c>
      <c r="G27" s="20" t="n">
        <f aca="false">D27*Assumptions!$G$25</f>
        <v>9282.58601317108</v>
      </c>
      <c r="H27" s="20" t="n">
        <f aca="false">'Sales Build'!M27*Assumptions!$G$27</f>
        <v>45714.7695537438</v>
      </c>
      <c r="I27" s="20" t="n">
        <f aca="false">-'Sales Build'!M27*Assumptions!$G$28</f>
        <v>-11972.9158355043</v>
      </c>
      <c r="J27" s="20" t="n">
        <f aca="false">'Sales Build'!M27*Assumptions!$G$29</f>
        <v>4898.01102361541</v>
      </c>
      <c r="K27" s="20" t="n">
        <f aca="false">'Sales Build'!V27*Assumptions!$G$30</f>
        <v>17128.6560801056</v>
      </c>
      <c r="L27" s="20" t="n">
        <f aca="false">'Sales Build'!W27*Assumptions!$G$31</f>
        <v>8174.70356893548</v>
      </c>
      <c r="M27" s="20" t="n">
        <f aca="false">'Sales Build'!W27*Assumptions!$G$32</f>
        <v>3576.43281140927</v>
      </c>
      <c r="N27" s="20" t="n">
        <f aca="false">'Sales Build'!O27*Assumptions!$G$33</f>
        <v>11811.1617470005</v>
      </c>
      <c r="O27" s="20" t="n">
        <f aca="false">'Sales Build'!Y27*Assumptions!$G$35*Assumptions!$G$34</f>
        <v>4077.38588538718</v>
      </c>
      <c r="P27" s="20" t="n">
        <f aca="false">'Sales Build'!M27*Assumptions!$G$36*Assumptions!$G$37</f>
        <v>4571.47695537438</v>
      </c>
      <c r="Q27" s="20" t="n">
        <f aca="false">'Sales Build'!O27*Assumptions!$G$38</f>
        <v>1107.2964137813</v>
      </c>
      <c r="R27" s="49" t="n">
        <f aca="false">SUM(G27:Q27)</f>
        <v>98369.5642170197</v>
      </c>
      <c r="S27" s="49" t="n">
        <f aca="false">F27-R27</f>
        <v>152408.234931534</v>
      </c>
      <c r="T27" s="20" t="n">
        <f aca="false">'Media Plan'!U27</f>
        <v>73001.6956068636</v>
      </c>
      <c r="U27" s="49" t="n">
        <f aca="false">S27-T27</f>
        <v>79406.5393246704</v>
      </c>
      <c r="V27" s="20" t="n">
        <f aca="false">'Fixed Costs'!$G$31/52</f>
        <v>25332.6923076923</v>
      </c>
      <c r="W27" s="49" t="n">
        <f aca="false">U27-V27</f>
        <v>54073.8470169781</v>
      </c>
    </row>
    <row r="28" customFormat="false" ht="15" hidden="false" customHeight="false" outlineLevel="0" collapsed="false">
      <c r="A28" s="13" t="n">
        <v>23</v>
      </c>
      <c r="B28" s="14" t="str">
        <f aca="false">Calendar!D28</f>
        <v>P6</v>
      </c>
      <c r="C28" s="20" t="n">
        <f aca="false">'Sales Build'!U28</f>
        <v>481403.867750042</v>
      </c>
      <c r="D28" s="20" t="n">
        <f aca="false">C28/(1-'Sales Build'!P28)*(1-Assumptions!$G$23)</f>
        <v>253887.278994925</v>
      </c>
      <c r="E28" s="20" t="n">
        <f aca="false">'Sales Build'!T28/(1-'Sales Build'!P28)*(1-Assumptions!$G$23)*Assumptions!$G$24</f>
        <v>4038.23118618723</v>
      </c>
      <c r="F28" s="49" t="n">
        <f aca="false">C28-D28-E28</f>
        <v>223478.35756893</v>
      </c>
      <c r="G28" s="20" t="n">
        <f aca="false">D28*Assumptions!$G$25</f>
        <v>7616.61836984775</v>
      </c>
      <c r="H28" s="20" t="n">
        <f aca="false">'Sales Build'!M28*Assumptions!$G$27</f>
        <v>38512.9505802423</v>
      </c>
      <c r="I28" s="20" t="n">
        <f aca="false">-'Sales Build'!M28*Assumptions!$G$28</f>
        <v>-10086.7251519682</v>
      </c>
      <c r="J28" s="20" t="n">
        <f aca="false">'Sales Build'!M28*Assumptions!$G$29</f>
        <v>4126.38756216882</v>
      </c>
      <c r="K28" s="20" t="n">
        <f aca="false">'Sales Build'!V28*Assumptions!$G$30</f>
        <v>14852.4644489511</v>
      </c>
      <c r="L28" s="20" t="n">
        <f aca="false">'Sales Build'!W28*Assumptions!$G$31</f>
        <v>7081.6646291357</v>
      </c>
      <c r="M28" s="20" t="n">
        <f aca="false">'Sales Build'!W28*Assumptions!$G$32</f>
        <v>3098.22827524687</v>
      </c>
      <c r="N28" s="20" t="n">
        <f aca="false">'Sales Build'!O28*Assumptions!$G$33</f>
        <v>10152.7084590575</v>
      </c>
      <c r="O28" s="20" t="n">
        <f aca="false">'Sales Build'!Y28*Assumptions!$G$35*Assumptions!$G$34</f>
        <v>3330.39765940551</v>
      </c>
      <c r="P28" s="20" t="n">
        <f aca="false">'Sales Build'!M28*Assumptions!$G$36*Assumptions!$G$37</f>
        <v>3851.29505802423</v>
      </c>
      <c r="Q28" s="20" t="n">
        <f aca="false">'Sales Build'!O28*Assumptions!$G$38</f>
        <v>951.816418036637</v>
      </c>
      <c r="R28" s="49" t="n">
        <f aca="false">SUM(G28:Q28)</f>
        <v>83487.8063081482</v>
      </c>
      <c r="S28" s="49" t="n">
        <f aca="false">F28-R28</f>
        <v>139990.551260782</v>
      </c>
      <c r="T28" s="20" t="n">
        <f aca="false">'Media Plan'!U28</f>
        <v>69140.5695498138</v>
      </c>
      <c r="U28" s="49" t="n">
        <f aca="false">S28-T28</f>
        <v>70849.9817109685</v>
      </c>
      <c r="V28" s="20" t="n">
        <f aca="false">'Fixed Costs'!$G$31/52</f>
        <v>25332.6923076923</v>
      </c>
      <c r="W28" s="49" t="n">
        <f aca="false">U28-V28</f>
        <v>45517.2894032762</v>
      </c>
    </row>
    <row r="29" customFormat="false" ht="15" hidden="false" customHeight="false" outlineLevel="0" collapsed="false">
      <c r="A29" s="13" t="n">
        <v>24</v>
      </c>
      <c r="B29" s="14" t="str">
        <f aca="false">Calendar!D29</f>
        <v>P6</v>
      </c>
      <c r="C29" s="20" t="n">
        <f aca="false">'Sales Build'!U29</f>
        <v>373154.872136979</v>
      </c>
      <c r="D29" s="20" t="n">
        <f aca="false">C29/(1-'Sales Build'!P29)*(1-Assumptions!$G$23)</f>
        <v>154014.757974476</v>
      </c>
      <c r="E29" s="20" t="n">
        <f aca="false">'Sales Build'!T29/(1-'Sales Build'!P29)*(1-Assumptions!$G$23)*Assumptions!$G$24</f>
        <v>2780.81233541478</v>
      </c>
      <c r="F29" s="49" t="n">
        <f aca="false">C29-D29-E29</f>
        <v>216359.301827088</v>
      </c>
      <c r="G29" s="20" t="n">
        <f aca="false">D29*Assumptions!$G$25</f>
        <v>4620.44273923427</v>
      </c>
      <c r="H29" s="20" t="n">
        <f aca="false">'Sales Build'!M29*Assumptions!$G$27</f>
        <v>27833.8231509647</v>
      </c>
      <c r="I29" s="20" t="n">
        <f aca="false">-'Sales Build'!M29*Assumptions!$G$28</f>
        <v>-7289.81082525265</v>
      </c>
      <c r="J29" s="20" t="n">
        <f aca="false">'Sales Build'!M29*Assumptions!$G$29</f>
        <v>2982.19533760336</v>
      </c>
      <c r="K29" s="20" t="n">
        <f aca="false">'Sales Build'!V29*Assumptions!$G$30</f>
        <v>10669.2592361658</v>
      </c>
      <c r="L29" s="20" t="n">
        <f aca="false">'Sales Build'!W29*Assumptions!$G$31</f>
        <v>5626.25889571262</v>
      </c>
      <c r="M29" s="20" t="n">
        <f aca="false">'Sales Build'!W29*Assumptions!$G$32</f>
        <v>2461.48826687427</v>
      </c>
      <c r="N29" s="20" t="n">
        <f aca="false">'Sales Build'!O29*Assumptions!$G$33</f>
        <v>8126.47637430276</v>
      </c>
      <c r="O29" s="20" t="n">
        <f aca="false">'Sales Build'!Y29*Assumptions!$G$35*Assumptions!$G$34</f>
        <v>2836.26737655243</v>
      </c>
      <c r="P29" s="20" t="n">
        <f aca="false">'Sales Build'!M29*Assumptions!$G$36*Assumptions!$G$37</f>
        <v>2783.38231509647</v>
      </c>
      <c r="Q29" s="20" t="n">
        <f aca="false">'Sales Build'!O29*Assumptions!$G$38</f>
        <v>761.857160090884</v>
      </c>
      <c r="R29" s="49" t="n">
        <f aca="false">SUM(G29:Q29)</f>
        <v>61411.6400273448</v>
      </c>
      <c r="S29" s="49" t="n">
        <f aca="false">F29-R29</f>
        <v>154947.661799744</v>
      </c>
      <c r="T29" s="20" t="n">
        <f aca="false">'Media Plan'!U29</f>
        <v>55001.353439915</v>
      </c>
      <c r="U29" s="49" t="n">
        <f aca="false">S29-T29</f>
        <v>99946.3083598286</v>
      </c>
      <c r="V29" s="20" t="n">
        <f aca="false">'Fixed Costs'!$G$31/52</f>
        <v>25332.6923076923</v>
      </c>
      <c r="W29" s="49" t="n">
        <f aca="false">U29-V29</f>
        <v>74613.6160521363</v>
      </c>
    </row>
    <row r="30" customFormat="false" ht="15" hidden="false" customHeight="false" outlineLevel="0" collapsed="false">
      <c r="A30" s="13" t="n">
        <v>25</v>
      </c>
      <c r="B30" s="14" t="str">
        <f aca="false">Calendar!D30</f>
        <v>P6</v>
      </c>
      <c r="C30" s="20" t="n">
        <f aca="false">'Sales Build'!U30</f>
        <v>345653.910245867</v>
      </c>
      <c r="D30" s="20" t="n">
        <f aca="false">C30/(1-'Sales Build'!P30)*(1-Assumptions!$G$23)</f>
        <v>142823.409798646</v>
      </c>
      <c r="E30" s="20" t="n">
        <f aca="false">'Sales Build'!T30/(1-'Sales Build'!P30)*(1-Assumptions!$G$23)*Assumptions!$G$24</f>
        <v>2546.30584636296</v>
      </c>
      <c r="F30" s="49" t="n">
        <f aca="false">C30-D30-E30</f>
        <v>200284.194600859</v>
      </c>
      <c r="G30" s="20" t="n">
        <f aca="false">D30*Assumptions!$G$25</f>
        <v>4284.70229395937</v>
      </c>
      <c r="H30" s="20" t="n">
        <f aca="false">'Sales Build'!M30*Assumptions!$G$27</f>
        <v>25945.6825406341</v>
      </c>
      <c r="I30" s="20" t="n">
        <f aca="false">-'Sales Build'!M30*Assumptions!$G$28</f>
        <v>-6795.29780826132</v>
      </c>
      <c r="J30" s="20" t="n">
        <f aca="false">'Sales Build'!M30*Assumptions!$G$29</f>
        <v>2779.89455792508</v>
      </c>
      <c r="K30" s="20" t="n">
        <f aca="false">'Sales Build'!V30*Assumptions!$G$30</f>
        <v>9756.60536301267</v>
      </c>
      <c r="L30" s="20" t="n">
        <f aca="false">'Sales Build'!W30*Assumptions!$G$31</f>
        <v>5195.95881942045</v>
      </c>
      <c r="M30" s="20" t="n">
        <f aca="false">'Sales Build'!W30*Assumptions!$G$32</f>
        <v>2273.23198349645</v>
      </c>
      <c r="N30" s="20" t="n">
        <f aca="false">'Sales Build'!O30*Assumptions!$G$33</f>
        <v>7502.44309282471</v>
      </c>
      <c r="O30" s="20" t="n">
        <f aca="false">'Sales Build'!Y30*Assumptions!$G$35*Assumptions!$G$34</f>
        <v>2545.08699659864</v>
      </c>
      <c r="P30" s="20" t="n">
        <f aca="false">'Sales Build'!M30*Assumptions!$G$36*Assumptions!$G$37</f>
        <v>2594.56825406341</v>
      </c>
      <c r="Q30" s="20" t="n">
        <f aca="false">'Sales Build'!O30*Assumptions!$G$38</f>
        <v>703.354039952317</v>
      </c>
      <c r="R30" s="49" t="n">
        <f aca="false">SUM(G30:Q30)</f>
        <v>56786.2301336259</v>
      </c>
      <c r="S30" s="49" t="n">
        <f aca="false">F30-R30</f>
        <v>143497.964467233</v>
      </c>
      <c r="T30" s="20" t="n">
        <f aca="false">'Media Plan'!U30</f>
        <v>53501.5357955463</v>
      </c>
      <c r="U30" s="49" t="n">
        <f aca="false">S30-T30</f>
        <v>89996.4286716864</v>
      </c>
      <c r="V30" s="20" t="n">
        <f aca="false">'Fixed Costs'!$G$31/52</f>
        <v>25332.6923076923</v>
      </c>
      <c r="W30" s="49" t="n">
        <f aca="false">U30-V30</f>
        <v>64663.7363639941</v>
      </c>
    </row>
    <row r="31" customFormat="false" ht="15" hidden="false" customHeight="false" outlineLevel="0" collapsed="false">
      <c r="A31" s="13" t="n">
        <v>26</v>
      </c>
      <c r="B31" s="14" t="str">
        <f aca="false">Calendar!D31</f>
        <v>P6</v>
      </c>
      <c r="C31" s="20" t="n">
        <f aca="false">'Sales Build'!U31</f>
        <v>359016.130920913</v>
      </c>
      <c r="D31" s="20" t="n">
        <f aca="false">C31/(1-'Sales Build'!P31)*(1-Assumptions!$G$23)</f>
        <v>148565.946836593</v>
      </c>
      <c r="E31" s="20" t="n">
        <f aca="false">'Sales Build'!T31/(1-'Sales Build'!P31)*(1-Assumptions!$G$23)*Assumptions!$G$24</f>
        <v>2633.66449689359</v>
      </c>
      <c r="F31" s="49" t="n">
        <f aca="false">C31-D31-E31</f>
        <v>207816.519587427</v>
      </c>
      <c r="G31" s="20" t="n">
        <f aca="false">D31*Assumptions!$G$25</f>
        <v>4456.97840509778</v>
      </c>
      <c r="H31" s="20" t="n">
        <f aca="false">'Sales Build'!M31*Assumptions!$G$27</f>
        <v>27370.9726873808</v>
      </c>
      <c r="I31" s="20" t="n">
        <f aca="false">-'Sales Build'!M31*Assumptions!$G$28</f>
        <v>-7168.5880847902</v>
      </c>
      <c r="J31" s="20" t="n">
        <f aca="false">'Sales Build'!M31*Assumptions!$G$29</f>
        <v>2932.60421650508</v>
      </c>
      <c r="K31" s="20" t="n">
        <f aca="false">'Sales Build'!V31*Assumptions!$G$30</f>
        <v>10528.5157485303</v>
      </c>
      <c r="L31" s="20" t="n">
        <f aca="false">'Sales Build'!W31*Assumptions!$G$31</f>
        <v>5458.44203329189</v>
      </c>
      <c r="M31" s="20" t="n">
        <f aca="false">'Sales Build'!W31*Assumptions!$G$32</f>
        <v>2388.0683895652</v>
      </c>
      <c r="N31" s="20" t="n">
        <f aca="false">'Sales Build'!O31*Assumptions!$G$33</f>
        <v>7780.85516522424</v>
      </c>
      <c r="O31" s="20" t="n">
        <f aca="false">'Sales Build'!Y31*Assumptions!$G$35*Assumptions!$G$34</f>
        <v>2355.71483464384</v>
      </c>
      <c r="P31" s="20" t="n">
        <f aca="false">'Sales Build'!M31*Assumptions!$G$36*Assumptions!$G$37</f>
        <v>2737.09726873808</v>
      </c>
      <c r="Q31" s="20" t="n">
        <f aca="false">'Sales Build'!O31*Assumptions!$G$38</f>
        <v>729.455171739773</v>
      </c>
      <c r="R31" s="49" t="n">
        <f aca="false">SUM(G31:Q31)</f>
        <v>59570.1158359267</v>
      </c>
      <c r="S31" s="49" t="n">
        <f aca="false">F31-R31</f>
        <v>148246.4037515</v>
      </c>
      <c r="T31" s="20" t="n">
        <f aca="false">'Media Plan'!U31</f>
        <v>50640.5937787372</v>
      </c>
      <c r="U31" s="49" t="n">
        <f aca="false">S31-T31</f>
        <v>97605.809972763</v>
      </c>
      <c r="V31" s="20" t="n">
        <f aca="false">'Fixed Costs'!$G$31/52</f>
        <v>25332.6923076923</v>
      </c>
      <c r="W31" s="49" t="n">
        <f aca="false">U31-V31</f>
        <v>72273.1176650707</v>
      </c>
    </row>
    <row r="32" customFormat="false" ht="15" hidden="false" customHeight="false" outlineLevel="0" collapsed="false">
      <c r="A32" s="13" t="n">
        <v>27</v>
      </c>
      <c r="B32" s="14" t="str">
        <f aca="false">Calendar!D32</f>
        <v>P7</v>
      </c>
      <c r="C32" s="20" t="n">
        <f aca="false">'Sales Build'!U32</f>
        <v>327170.773894656</v>
      </c>
      <c r="D32" s="20" t="n">
        <f aca="false">C32/(1-'Sales Build'!P32)*(1-Assumptions!$G$23)</f>
        <v>134858.506146938</v>
      </c>
      <c r="E32" s="20" t="n">
        <f aca="false">'Sales Build'!T32/(1-'Sales Build'!P32)*(1-Assumptions!$G$23)*Assumptions!$G$24</f>
        <v>2494.15903175962</v>
      </c>
      <c r="F32" s="49" t="n">
        <f aca="false">C32-D32-E32</f>
        <v>189818.108715959</v>
      </c>
      <c r="G32" s="20" t="n">
        <f aca="false">D32*Assumptions!$G$25</f>
        <v>4045.75518440815</v>
      </c>
      <c r="H32" s="20" t="n">
        <f aca="false">'Sales Build'!M32*Assumptions!$G$27</f>
        <v>24788.4801226831</v>
      </c>
      <c r="I32" s="20" t="n">
        <f aca="false">-'Sales Build'!M32*Assumptions!$G$28</f>
        <v>-6492.22098451224</v>
      </c>
      <c r="J32" s="20" t="n">
        <f aca="false">'Sales Build'!M32*Assumptions!$G$29</f>
        <v>2655.90858457319</v>
      </c>
      <c r="K32" s="20" t="n">
        <f aca="false">'Sales Build'!V32*Assumptions!$G$30</f>
        <v>9693.44848820908</v>
      </c>
      <c r="L32" s="20" t="n">
        <f aca="false">'Sales Build'!W32*Assumptions!$G$31</f>
        <v>5099.64353102884</v>
      </c>
      <c r="M32" s="20" t="n">
        <f aca="false">'Sales Build'!W32*Assumptions!$G$32</f>
        <v>2231.09404482512</v>
      </c>
      <c r="N32" s="20" t="n">
        <f aca="false">'Sales Build'!O32*Assumptions!$G$33</f>
        <v>7171.02181977401</v>
      </c>
      <c r="O32" s="20" t="n">
        <f aca="false">'Sales Build'!Y32*Assumptions!$G$35*Assumptions!$G$34</f>
        <v>2296.80483185963</v>
      </c>
      <c r="P32" s="20" t="n">
        <f aca="false">'Sales Build'!M32*Assumptions!$G$36*Assumptions!$G$37</f>
        <v>2478.84801226831</v>
      </c>
      <c r="Q32" s="20" t="n">
        <f aca="false">'Sales Build'!O32*Assumptions!$G$38</f>
        <v>672.283295603814</v>
      </c>
      <c r="R32" s="49" t="n">
        <f aca="false">SUM(G32:Q32)</f>
        <v>54641.066930721</v>
      </c>
      <c r="S32" s="49" t="n">
        <f aca="false">F32-R32</f>
        <v>135177.041785238</v>
      </c>
      <c r="T32" s="20" t="n">
        <f aca="false">'Media Plan'!U32</f>
        <v>49676.7773907301</v>
      </c>
      <c r="U32" s="49" t="n">
        <f aca="false">S32-T32</f>
        <v>85500.2643945074</v>
      </c>
      <c r="V32" s="20" t="n">
        <f aca="false">'Fixed Costs'!$G$31/52</f>
        <v>25332.6923076923</v>
      </c>
      <c r="W32" s="49" t="n">
        <f aca="false">U32-V32</f>
        <v>60167.5720868151</v>
      </c>
    </row>
    <row r="33" customFormat="false" ht="15" hidden="false" customHeight="false" outlineLevel="0" collapsed="false">
      <c r="A33" s="13" t="n">
        <v>28</v>
      </c>
      <c r="B33" s="14" t="str">
        <f aca="false">Calendar!D33</f>
        <v>P7</v>
      </c>
      <c r="C33" s="20" t="n">
        <f aca="false">'Sales Build'!U33</f>
        <v>365865.043440929</v>
      </c>
      <c r="D33" s="20" t="n">
        <f aca="false">C33/(1-'Sales Build'!P33)*(1-Assumptions!$G$23)</f>
        <v>150939.153596878</v>
      </c>
      <c r="E33" s="20" t="n">
        <f aca="false">'Sales Build'!T33/(1-'Sales Build'!P33)*(1-Assumptions!$G$23)*Assumptions!$G$24</f>
        <v>2535.50055876361</v>
      </c>
      <c r="F33" s="49" t="n">
        <f aca="false">C33-D33-E33</f>
        <v>212390.389285288</v>
      </c>
      <c r="G33" s="20" t="n">
        <f aca="false">D33*Assumptions!$G$25</f>
        <v>4528.17460790633</v>
      </c>
      <c r="H33" s="20" t="n">
        <f aca="false">'Sales Build'!M33*Assumptions!$G$27</f>
        <v>26510.0591481549</v>
      </c>
      <c r="I33" s="20" t="n">
        <f aca="false">-'Sales Build'!M33*Assumptions!$G$28</f>
        <v>-6943.11072927866</v>
      </c>
      <c r="J33" s="20" t="n">
        <f aca="false">'Sales Build'!M33*Assumptions!$G$29</f>
        <v>2840.36348015945</v>
      </c>
      <c r="K33" s="20" t="n">
        <f aca="false">'Sales Build'!V33*Assumptions!$G$30</f>
        <v>10053.9339880028</v>
      </c>
      <c r="L33" s="20" t="n">
        <f aca="false">'Sales Build'!W33*Assumptions!$G$31</f>
        <v>5079.35612656881</v>
      </c>
      <c r="M33" s="20" t="n">
        <f aca="false">'Sales Build'!W33*Assumptions!$G$32</f>
        <v>2222.21830537386</v>
      </c>
      <c r="N33" s="20" t="n">
        <f aca="false">'Sales Build'!O33*Assumptions!$G$33</f>
        <v>7820.51614003123</v>
      </c>
      <c r="O33" s="20" t="n">
        <f aca="false">'Sales Build'!Y33*Assumptions!$G$35*Assumptions!$G$34</f>
        <v>2512.06371648197</v>
      </c>
      <c r="P33" s="20" t="n">
        <f aca="false">'Sales Build'!M33*Assumptions!$G$36*Assumptions!$G$37</f>
        <v>2651.00591481549</v>
      </c>
      <c r="Q33" s="20" t="n">
        <f aca="false">'Sales Build'!O33*Assumptions!$G$38</f>
        <v>733.173388127928</v>
      </c>
      <c r="R33" s="49" t="n">
        <f aca="false">SUM(G33:Q33)</f>
        <v>58007.7540863441</v>
      </c>
      <c r="S33" s="49" t="n">
        <f aca="false">F33-R33</f>
        <v>154382.635198944</v>
      </c>
      <c r="T33" s="20" t="n">
        <f aca="false">'Media Plan'!U33</f>
        <v>52861.6863533232</v>
      </c>
      <c r="U33" s="49" t="n">
        <f aca="false">S33-T33</f>
        <v>101520.948845621</v>
      </c>
      <c r="V33" s="20" t="n">
        <f aca="false">'Fixed Costs'!$G$31/52</f>
        <v>25332.6923076923</v>
      </c>
      <c r="W33" s="49" t="n">
        <f aca="false">U33-V33</f>
        <v>76188.2565379282</v>
      </c>
    </row>
    <row r="34" customFormat="false" ht="15" hidden="false" customHeight="false" outlineLevel="0" collapsed="false">
      <c r="A34" s="13" t="n">
        <v>29</v>
      </c>
      <c r="B34" s="14" t="str">
        <f aca="false">Calendar!D34</f>
        <v>P7</v>
      </c>
      <c r="C34" s="20" t="n">
        <f aca="false">'Sales Build'!U34</f>
        <v>346095.611895172</v>
      </c>
      <c r="D34" s="20" t="n">
        <f aca="false">C34/(1-'Sales Build'!P34)*(1-Assumptions!$G$23)</f>
        <v>143316.764895967</v>
      </c>
      <c r="E34" s="20" t="n">
        <f aca="false">'Sales Build'!T34/(1-'Sales Build'!P34)*(1-Assumptions!$G$23)*Assumptions!$G$24</f>
        <v>2563.02927535587</v>
      </c>
      <c r="F34" s="49" t="n">
        <f aca="false">C34-D34-E34</f>
        <v>200215.81772385</v>
      </c>
      <c r="G34" s="20" t="n">
        <f aca="false">D34*Assumptions!$G$25</f>
        <v>4299.50294687901</v>
      </c>
      <c r="H34" s="20" t="n">
        <f aca="false">'Sales Build'!M34*Assumptions!$G$27</f>
        <v>26059.2122749043</v>
      </c>
      <c r="I34" s="20" t="n">
        <f aca="false">-'Sales Build'!M34*Assumptions!$G$28</f>
        <v>-6825.03178628445</v>
      </c>
      <c r="J34" s="20" t="n">
        <f aca="false">'Sales Build'!M34*Assumptions!$G$29</f>
        <v>2792.05845802546</v>
      </c>
      <c r="K34" s="20" t="n">
        <f aca="false">'Sales Build'!V34*Assumptions!$G$30</f>
        <v>10292.1827802025</v>
      </c>
      <c r="L34" s="20" t="n">
        <f aca="false">'Sales Build'!W34*Assumptions!$G$31</f>
        <v>5230.62094788615</v>
      </c>
      <c r="M34" s="20" t="n">
        <f aca="false">'Sales Build'!W34*Assumptions!$G$32</f>
        <v>2288.39666470019</v>
      </c>
      <c r="N34" s="20" t="n">
        <f aca="false">'Sales Build'!O34*Assumptions!$G$33</f>
        <v>7518.1565475699</v>
      </c>
      <c r="O34" s="20" t="n">
        <f aca="false">'Sales Build'!Y34*Assumptions!$G$35*Assumptions!$G$34</f>
        <v>2396.97144294064</v>
      </c>
      <c r="P34" s="20" t="n">
        <f aca="false">'Sales Build'!M34*Assumptions!$G$36*Assumptions!$G$37</f>
        <v>2605.92122749043</v>
      </c>
      <c r="Q34" s="20" t="n">
        <f aca="false">'Sales Build'!O34*Assumptions!$G$38</f>
        <v>704.827176334678</v>
      </c>
      <c r="R34" s="49" t="n">
        <f aca="false">SUM(G34:Q34)</f>
        <v>57362.8186806487</v>
      </c>
      <c r="S34" s="49" t="n">
        <f aca="false">F34-R34</f>
        <v>142852.999043201</v>
      </c>
      <c r="T34" s="20" t="n">
        <f aca="false">'Media Plan'!U34</f>
        <v>51183.6224613881</v>
      </c>
      <c r="U34" s="49" t="n">
        <f aca="false">S34-T34</f>
        <v>91669.3765818127</v>
      </c>
      <c r="V34" s="20" t="n">
        <f aca="false">'Fixed Costs'!$G$31/52</f>
        <v>25332.6923076923</v>
      </c>
      <c r="W34" s="49" t="n">
        <f aca="false">U34-V34</f>
        <v>66336.6842741204</v>
      </c>
    </row>
    <row r="35" customFormat="false" ht="15" hidden="false" customHeight="false" outlineLevel="0" collapsed="false">
      <c r="A35" s="13" t="n">
        <v>30</v>
      </c>
      <c r="B35" s="14" t="str">
        <f aca="false">Calendar!D35</f>
        <v>P7</v>
      </c>
      <c r="C35" s="20" t="n">
        <f aca="false">'Sales Build'!U35</f>
        <v>337648.362737388</v>
      </c>
      <c r="D35" s="20" t="n">
        <f aca="false">C35/(1-'Sales Build'!P35)*(1-Assumptions!$G$23)</f>
        <v>138782.997957558</v>
      </c>
      <c r="E35" s="20" t="n">
        <f aca="false">'Sales Build'!T35/(1-'Sales Build'!P35)*(1-Assumptions!$G$23)*Assumptions!$G$24</f>
        <v>2422.78340509365</v>
      </c>
      <c r="F35" s="49" t="n">
        <f aca="false">C35-D35-E35</f>
        <v>196442.581374736</v>
      </c>
      <c r="G35" s="20" t="n">
        <f aca="false">D35*Assumptions!$G$25</f>
        <v>4163.48993872675</v>
      </c>
      <c r="H35" s="20" t="n">
        <f aca="false">'Sales Build'!M35*Assumptions!$G$27</f>
        <v>25203.1624106395</v>
      </c>
      <c r="I35" s="20" t="n">
        <f aca="false">-'Sales Build'!M35*Assumptions!$G$28</f>
        <v>-6600.82825040559</v>
      </c>
      <c r="J35" s="20" t="n">
        <f aca="false">'Sales Build'!M35*Assumptions!$G$29</f>
        <v>2700.33882971138</v>
      </c>
      <c r="K35" s="20" t="n">
        <f aca="false">'Sales Build'!V35*Assumptions!$G$30</f>
        <v>9817.3018940375</v>
      </c>
      <c r="L35" s="20" t="n">
        <f aca="false">'Sales Build'!W35*Assumptions!$G$31</f>
        <v>4969.40935825487</v>
      </c>
      <c r="M35" s="20" t="n">
        <f aca="false">'Sales Build'!W35*Assumptions!$G$32</f>
        <v>2174.11659423651</v>
      </c>
      <c r="N35" s="20" t="n">
        <f aca="false">'Sales Build'!O35*Assumptions!$G$33</f>
        <v>7288.59643806609</v>
      </c>
      <c r="O35" s="20" t="n">
        <f aca="false">'Sales Build'!Y35*Assumptions!$G$35*Assumptions!$G$34</f>
        <v>2440.11029263884</v>
      </c>
      <c r="P35" s="20" t="n">
        <f aca="false">'Sales Build'!M35*Assumptions!$G$36*Assumptions!$G$37</f>
        <v>2520.31624106395</v>
      </c>
      <c r="Q35" s="20" t="n">
        <f aca="false">'Sales Build'!O35*Assumptions!$G$38</f>
        <v>683.305916068696</v>
      </c>
      <c r="R35" s="49" t="n">
        <f aca="false">SUM(G35:Q35)</f>
        <v>55359.3196630385</v>
      </c>
      <c r="S35" s="49" t="n">
        <f aca="false">F35-R35</f>
        <v>141083.261711697</v>
      </c>
      <c r="T35" s="20" t="n">
        <f aca="false">'Media Plan'!U35</f>
        <v>49200.5127390396</v>
      </c>
      <c r="U35" s="49" t="n">
        <f aca="false">S35-T35</f>
        <v>91882.7489726579</v>
      </c>
      <c r="V35" s="20" t="n">
        <f aca="false">'Fixed Costs'!$G$31/52</f>
        <v>25332.6923076923</v>
      </c>
      <c r="W35" s="49" t="n">
        <f aca="false">U35-V35</f>
        <v>66550.0566649655</v>
      </c>
    </row>
    <row r="36" customFormat="false" ht="15" hidden="false" customHeight="false" outlineLevel="0" collapsed="false">
      <c r="A36" s="13" t="n">
        <v>31</v>
      </c>
      <c r="B36" s="14" t="str">
        <f aca="false">Calendar!D36</f>
        <v>P8</v>
      </c>
      <c r="C36" s="20" t="n">
        <f aca="false">'Sales Build'!U36</f>
        <v>361678.97391511</v>
      </c>
      <c r="D36" s="20" t="n">
        <f aca="false">C36/(1-'Sales Build'!P36)*(1-Assumptions!$G$23)</f>
        <v>149473.850226167</v>
      </c>
      <c r="E36" s="20" t="n">
        <f aca="false">'Sales Build'!T36/(1-'Sales Build'!P36)*(1-Assumptions!$G$23)*Assumptions!$G$24</f>
        <v>2590.72568607148</v>
      </c>
      <c r="F36" s="49" t="n">
        <f aca="false">C36-D36-E36</f>
        <v>209614.398002871</v>
      </c>
      <c r="G36" s="20" t="n">
        <f aca="false">D36*Assumptions!$G$25</f>
        <v>4484.21550678501</v>
      </c>
      <c r="H36" s="20" t="n">
        <f aca="false">'Sales Build'!M36*Assumptions!$G$27</f>
        <v>26568.9138989103</v>
      </c>
      <c r="I36" s="20" t="n">
        <f aca="false">-'Sales Build'!M36*Assumptions!$G$28</f>
        <v>-6958.52506876222</v>
      </c>
      <c r="J36" s="20" t="n">
        <f aca="false">'Sales Build'!M36*Assumptions!$G$29</f>
        <v>2846.66934631182</v>
      </c>
      <c r="K36" s="20" t="n">
        <f aca="false">'Sales Build'!V36*Assumptions!$G$30</f>
        <v>10090.4905372602</v>
      </c>
      <c r="L36" s="20" t="n">
        <f aca="false">'Sales Build'!W36*Assumptions!$G$31</f>
        <v>5210.83409381102</v>
      </c>
      <c r="M36" s="20" t="n">
        <f aca="false">'Sales Build'!W36*Assumptions!$G$32</f>
        <v>2279.73991604232</v>
      </c>
      <c r="N36" s="20" t="n">
        <f aca="false">'Sales Build'!O36*Assumptions!$G$33</f>
        <v>7792.85675170205</v>
      </c>
      <c r="O36" s="20" t="n">
        <f aca="false">'Sales Build'!Y36*Assumptions!$G$35*Assumptions!$G$34</f>
        <v>2642.15689062869</v>
      </c>
      <c r="P36" s="20" t="n">
        <f aca="false">'Sales Build'!M36*Assumptions!$G$36*Assumptions!$G$37</f>
        <v>2656.89138989103</v>
      </c>
      <c r="Q36" s="20" t="n">
        <f aca="false">'Sales Build'!O36*Assumptions!$G$38</f>
        <v>730.580320472067</v>
      </c>
      <c r="R36" s="49" t="n">
        <f aca="false">SUM(G36:Q36)</f>
        <v>58344.8235830523</v>
      </c>
      <c r="S36" s="49" t="n">
        <f aca="false">F36-R36</f>
        <v>151269.574419819</v>
      </c>
      <c r="T36" s="20" t="n">
        <f aca="false">'Media Plan'!U36</f>
        <v>50664.1592599725</v>
      </c>
      <c r="U36" s="49" t="n">
        <f aca="false">S36-T36</f>
        <v>100605.415159847</v>
      </c>
      <c r="V36" s="20" t="n">
        <f aca="false">'Fixed Costs'!$G$31/52</f>
        <v>25332.6923076923</v>
      </c>
      <c r="W36" s="49" t="n">
        <f aca="false">U36-V36</f>
        <v>75272.7228521543</v>
      </c>
    </row>
    <row r="37" customFormat="false" ht="15" hidden="false" customHeight="false" outlineLevel="0" collapsed="false">
      <c r="A37" s="13" t="n">
        <v>32</v>
      </c>
      <c r="B37" s="14" t="str">
        <f aca="false">Calendar!D37</f>
        <v>P8</v>
      </c>
      <c r="C37" s="20" t="n">
        <f aca="false">'Sales Build'!U37</f>
        <v>350525.1757126</v>
      </c>
      <c r="D37" s="20" t="n">
        <f aca="false">C37/(1-'Sales Build'!P37)*(1-Assumptions!$G$23)</f>
        <v>144937.484919462</v>
      </c>
      <c r="E37" s="20" t="n">
        <f aca="false">'Sales Build'!T37/(1-'Sales Build'!P37)*(1-Assumptions!$G$23)*Assumptions!$G$24</f>
        <v>2569.46456523105</v>
      </c>
      <c r="F37" s="49" t="n">
        <f aca="false">C37-D37-E37</f>
        <v>203018.226227908</v>
      </c>
      <c r="G37" s="20" t="n">
        <f aca="false">D37*Assumptions!$G$25</f>
        <v>4348.12454758385</v>
      </c>
      <c r="H37" s="20" t="n">
        <f aca="false">'Sales Build'!M37*Assumptions!$G$27</f>
        <v>26359.8277606399</v>
      </c>
      <c r="I37" s="20" t="n">
        <f aca="false">-'Sales Build'!M37*Assumptions!$G$28</f>
        <v>-6903.76441350092</v>
      </c>
      <c r="J37" s="20" t="n">
        <f aca="false">'Sales Build'!M37*Assumptions!$G$29</f>
        <v>2824.26726006856</v>
      </c>
      <c r="K37" s="20" t="n">
        <f aca="false">'Sales Build'!V37*Assumptions!$G$30</f>
        <v>10064.0589320237</v>
      </c>
      <c r="L37" s="20" t="n">
        <f aca="false">'Sales Build'!W37*Assumptions!$G$31</f>
        <v>5256.98029662269</v>
      </c>
      <c r="M37" s="20" t="n">
        <f aca="false">'Sales Build'!W37*Assumptions!$G$32</f>
        <v>2299.92887977243</v>
      </c>
      <c r="N37" s="20" t="n">
        <f aca="false">'Sales Build'!O37*Assumptions!$G$33</f>
        <v>7596.92804342785</v>
      </c>
      <c r="O37" s="20" t="n">
        <f aca="false">'Sales Build'!Y37*Assumptions!$G$35*Assumptions!$G$34</f>
        <v>2462.34652746589</v>
      </c>
      <c r="P37" s="20" t="n">
        <f aca="false">'Sales Build'!M37*Assumptions!$G$36*Assumptions!$G$37</f>
        <v>2635.98277606399</v>
      </c>
      <c r="Q37" s="20" t="n">
        <f aca="false">'Sales Build'!O37*Assumptions!$G$38</f>
        <v>712.212004071361</v>
      </c>
      <c r="R37" s="49" t="n">
        <f aca="false">SUM(G37:Q37)</f>
        <v>57656.8926142392</v>
      </c>
      <c r="S37" s="49" t="n">
        <f aca="false">F37-R37</f>
        <v>145361.333613668</v>
      </c>
      <c r="T37" s="20" t="n">
        <f aca="false">'Media Plan'!U37</f>
        <v>51323.5404200715</v>
      </c>
      <c r="U37" s="49" t="n">
        <f aca="false">S37-T37</f>
        <v>94037.7931935969</v>
      </c>
      <c r="V37" s="20" t="n">
        <f aca="false">'Fixed Costs'!$G$31/52</f>
        <v>25332.6923076923</v>
      </c>
      <c r="W37" s="49" t="n">
        <f aca="false">U37-V37</f>
        <v>68705.1008859046</v>
      </c>
    </row>
    <row r="38" customFormat="false" ht="15" hidden="false" customHeight="false" outlineLevel="0" collapsed="false">
      <c r="A38" s="13" t="n">
        <v>33</v>
      </c>
      <c r="B38" s="14" t="str">
        <f aca="false">Calendar!D38</f>
        <v>P8</v>
      </c>
      <c r="C38" s="20" t="n">
        <f aca="false">'Sales Build'!U38</f>
        <v>355006.708226671</v>
      </c>
      <c r="D38" s="20" t="n">
        <f aca="false">C38/(1-'Sales Build'!P38)*(1-Assumptions!$G$23)</f>
        <v>147241.441069748</v>
      </c>
      <c r="E38" s="20" t="n">
        <f aca="false">'Sales Build'!T38/(1-'Sales Build'!P38)*(1-Assumptions!$G$23)*Assumptions!$G$24</f>
        <v>2632.76031683576</v>
      </c>
      <c r="F38" s="49" t="n">
        <f aca="false">C38-D38-E38</f>
        <v>205132.506840087</v>
      </c>
      <c r="G38" s="20" t="n">
        <f aca="false">D38*Assumptions!$G$25</f>
        <v>4417.24323209244</v>
      </c>
      <c r="H38" s="20" t="n">
        <f aca="false">'Sales Build'!M38*Assumptions!$G$27</f>
        <v>26237.1450318579</v>
      </c>
      <c r="I38" s="20" t="n">
        <f aca="false">-'Sales Build'!M38*Assumptions!$G$28</f>
        <v>-6871.63322262944</v>
      </c>
      <c r="J38" s="20" t="n">
        <f aca="false">'Sales Build'!M38*Assumptions!$G$29</f>
        <v>2811.12268198477</v>
      </c>
      <c r="K38" s="20" t="n">
        <f aca="false">'Sales Build'!V38*Assumptions!$G$30</f>
        <v>10128.8482628666</v>
      </c>
      <c r="L38" s="20" t="n">
        <f aca="false">'Sales Build'!W38*Assumptions!$G$31</f>
        <v>5265.66313909648</v>
      </c>
      <c r="M38" s="20" t="n">
        <f aca="false">'Sales Build'!W38*Assumptions!$G$32</f>
        <v>2303.72762335471</v>
      </c>
      <c r="N38" s="20" t="n">
        <f aca="false">'Sales Build'!O38*Assumptions!$G$33</f>
        <v>7711.37802137649</v>
      </c>
      <c r="O38" s="20" t="n">
        <f aca="false">'Sales Build'!Y38*Assumptions!$G$35*Assumptions!$G$34</f>
        <v>2532.77738128809</v>
      </c>
      <c r="P38" s="20" t="n">
        <f aca="false">'Sales Build'!M38*Assumptions!$G$36*Assumptions!$G$37</f>
        <v>2623.71450318579</v>
      </c>
      <c r="Q38" s="20" t="n">
        <f aca="false">'Sales Build'!O38*Assumptions!$G$38</f>
        <v>722.941689504046</v>
      </c>
      <c r="R38" s="49" t="n">
        <f aca="false">SUM(G38:Q38)</f>
        <v>57882.9283439779</v>
      </c>
      <c r="S38" s="49" t="n">
        <f aca="false">F38-R38</f>
        <v>147249.57849611</v>
      </c>
      <c r="T38" s="20" t="n">
        <f aca="false">'Media Plan'!U38</f>
        <v>50051.0108381058</v>
      </c>
      <c r="U38" s="49" t="n">
        <f aca="false">S38-T38</f>
        <v>97198.5676580038</v>
      </c>
      <c r="V38" s="20" t="n">
        <f aca="false">'Fixed Costs'!$G$31/52</f>
        <v>25332.6923076923</v>
      </c>
      <c r="W38" s="49" t="n">
        <f aca="false">U38-V38</f>
        <v>71865.8753503115</v>
      </c>
    </row>
    <row r="39" customFormat="false" ht="15" hidden="false" customHeight="false" outlineLevel="0" collapsed="false">
      <c r="A39" s="13" t="n">
        <v>34</v>
      </c>
      <c r="B39" s="14" t="str">
        <f aca="false">Calendar!D39</f>
        <v>P8</v>
      </c>
      <c r="C39" s="20" t="n">
        <f aca="false">'Sales Build'!U39</f>
        <v>346878.106123569</v>
      </c>
      <c r="D39" s="20" t="n">
        <f aca="false">C39/(1-'Sales Build'!P39)*(1-Assumptions!$G$23)</f>
        <v>142848.852032659</v>
      </c>
      <c r="E39" s="20" t="n">
        <f aca="false">'Sales Build'!T39/(1-'Sales Build'!P39)*(1-Assumptions!$G$23)*Assumptions!$G$24</f>
        <v>2404.72930556226</v>
      </c>
      <c r="F39" s="49" t="n">
        <f aca="false">C39-D39-E39</f>
        <v>201624.524785348</v>
      </c>
      <c r="G39" s="20" t="n">
        <f aca="false">D39*Assumptions!$G$25</f>
        <v>4285.46556097977</v>
      </c>
      <c r="H39" s="20" t="n">
        <f aca="false">'Sales Build'!M39*Assumptions!$G$27</f>
        <v>25410.4306088635</v>
      </c>
      <c r="I39" s="20" t="n">
        <f aca="false">-'Sales Build'!M39*Assumptions!$G$28</f>
        <v>-6655.11277851186</v>
      </c>
      <c r="J39" s="20" t="n">
        <f aca="false">'Sales Build'!M39*Assumptions!$G$29</f>
        <v>2722.54613666394</v>
      </c>
      <c r="K39" s="20" t="n">
        <f aca="false">'Sales Build'!V39*Assumptions!$G$30</f>
        <v>9888.23034645113</v>
      </c>
      <c r="L39" s="20" t="n">
        <f aca="false">'Sales Build'!W39*Assumptions!$G$31</f>
        <v>4876.45438449341</v>
      </c>
      <c r="M39" s="20" t="n">
        <f aca="false">'Sales Build'!W39*Assumptions!$G$32</f>
        <v>2133.44879321587</v>
      </c>
      <c r="N39" s="20" t="n">
        <f aca="false">'Sales Build'!O39*Assumptions!$G$33</f>
        <v>7418.64954545802</v>
      </c>
      <c r="O39" s="20" t="n">
        <f aca="false">'Sales Build'!Y39*Assumptions!$G$35*Assumptions!$G$34</f>
        <v>2521.00081171891</v>
      </c>
      <c r="P39" s="20" t="n">
        <f aca="false">'Sales Build'!M39*Assumptions!$G$36*Assumptions!$G$37</f>
        <v>2541.04306088635</v>
      </c>
      <c r="Q39" s="20" t="n">
        <f aca="false">'Sales Build'!O39*Assumptions!$G$38</f>
        <v>695.498394886689</v>
      </c>
      <c r="R39" s="49" t="n">
        <f aca="false">SUM(G39:Q39)</f>
        <v>55837.6548651057</v>
      </c>
      <c r="S39" s="49" t="n">
        <f aca="false">F39-R39</f>
        <v>145786.869920242</v>
      </c>
      <c r="T39" s="20" t="n">
        <f aca="false">'Media Plan'!U39</f>
        <v>51359.6777556983</v>
      </c>
      <c r="U39" s="49" t="n">
        <f aca="false">S39-T39</f>
        <v>94427.192164544</v>
      </c>
      <c r="V39" s="20" t="n">
        <f aca="false">'Fixed Costs'!$G$31/52</f>
        <v>25332.6923076923</v>
      </c>
      <c r="W39" s="49" t="n">
        <f aca="false">U39-V39</f>
        <v>69094.4998568517</v>
      </c>
    </row>
    <row r="40" customFormat="false" ht="15" hidden="false" customHeight="false" outlineLevel="0" collapsed="false">
      <c r="A40" s="13" t="n">
        <v>35</v>
      </c>
      <c r="B40" s="14" t="str">
        <f aca="false">Calendar!D40</f>
        <v>P9</v>
      </c>
      <c r="C40" s="20" t="n">
        <f aca="false">'Sales Build'!U40</f>
        <v>343410.93423563</v>
      </c>
      <c r="D40" s="20" t="n">
        <f aca="false">C40/(1-'Sales Build'!P40)*(1-Assumptions!$G$23)</f>
        <v>142014.110122071</v>
      </c>
      <c r="E40" s="20" t="n">
        <f aca="false">'Sales Build'!T40/(1-'Sales Build'!P40)*(1-Assumptions!$G$23)*Assumptions!$G$24</f>
        <v>2494.89936994648</v>
      </c>
      <c r="F40" s="49" t="n">
        <f aca="false">C40-D40-E40</f>
        <v>198901.924743613</v>
      </c>
      <c r="G40" s="20" t="n">
        <f aca="false">D40*Assumptions!$G$25</f>
        <v>4260.42330366212</v>
      </c>
      <c r="H40" s="20" t="n">
        <f aca="false">'Sales Build'!M40*Assumptions!$G$27</f>
        <v>25677.0333200905</v>
      </c>
      <c r="I40" s="20" t="n">
        <f aca="false">-'Sales Build'!M40*Assumptions!$G$28</f>
        <v>-6724.93729811895</v>
      </c>
      <c r="J40" s="20" t="n">
        <f aca="false">'Sales Build'!M40*Assumptions!$G$29</f>
        <v>2751.11071286684</v>
      </c>
      <c r="K40" s="20" t="n">
        <f aca="false">'Sales Build'!V40*Assumptions!$G$30</f>
        <v>9786.12293838114</v>
      </c>
      <c r="L40" s="20" t="n">
        <f aca="false">'Sales Build'!W40*Assumptions!$G$31</f>
        <v>5086.58386674763</v>
      </c>
      <c r="M40" s="20" t="n">
        <f aca="false">'Sales Build'!W40*Assumptions!$G$32</f>
        <v>2225.38044170209</v>
      </c>
      <c r="N40" s="20" t="n">
        <f aca="false">'Sales Build'!O40*Assumptions!$G$33</f>
        <v>7425.14530638192</v>
      </c>
      <c r="O40" s="20" t="n">
        <f aca="false">'Sales Build'!Y40*Assumptions!$G$35*Assumptions!$G$34</f>
        <v>2518.75368345761</v>
      </c>
      <c r="P40" s="20" t="n">
        <f aca="false">'Sales Build'!M40*Assumptions!$G$36*Assumptions!$G$37</f>
        <v>2567.70333200905</v>
      </c>
      <c r="Q40" s="20" t="n">
        <f aca="false">'Sales Build'!O40*Assumptions!$G$38</f>
        <v>696.107372473305</v>
      </c>
      <c r="R40" s="49" t="n">
        <f aca="false">SUM(G40:Q40)</f>
        <v>56269.4269796533</v>
      </c>
      <c r="S40" s="49" t="n">
        <f aca="false">F40-R40</f>
        <v>142632.49776396</v>
      </c>
      <c r="T40" s="20" t="n">
        <f aca="false">'Media Plan'!U40</f>
        <v>49215.2011779803</v>
      </c>
      <c r="U40" s="49" t="n">
        <f aca="false">S40-T40</f>
        <v>93417.2965859797</v>
      </c>
      <c r="V40" s="20" t="n">
        <f aca="false">'Fixed Costs'!$G$31/52</f>
        <v>25332.6923076923</v>
      </c>
      <c r="W40" s="49" t="n">
        <f aca="false">U40-V40</f>
        <v>68084.6042782874</v>
      </c>
    </row>
    <row r="41" customFormat="false" ht="15" hidden="false" customHeight="false" outlineLevel="0" collapsed="false">
      <c r="A41" s="13" t="n">
        <v>36</v>
      </c>
      <c r="B41" s="14" t="str">
        <f aca="false">Calendar!D41</f>
        <v>P9</v>
      </c>
      <c r="C41" s="20" t="n">
        <f aca="false">'Sales Build'!U41</f>
        <v>475399.336393442</v>
      </c>
      <c r="D41" s="20" t="n">
        <f aca="false">C41/(1-'Sales Build'!P41)*(1-Assumptions!$G$23)</f>
        <v>232892.990696935</v>
      </c>
      <c r="E41" s="20" t="n">
        <f aca="false">'Sales Build'!T41/(1-'Sales Build'!P41)*(1-Assumptions!$G$23)*Assumptions!$G$24</f>
        <v>4003.76829306405</v>
      </c>
      <c r="F41" s="49" t="n">
        <f aca="false">C41-D41-E41</f>
        <v>238502.577403443</v>
      </c>
      <c r="G41" s="20" t="n">
        <f aca="false">D41*Assumptions!$G$25</f>
        <v>6986.78972090805</v>
      </c>
      <c r="H41" s="20" t="n">
        <f aca="false">'Sales Build'!M41*Assumptions!$G$27</f>
        <v>37774.8282981237</v>
      </c>
      <c r="I41" s="20" t="n">
        <f aca="false">-'Sales Build'!M41*Assumptions!$G$28</f>
        <v>-9893.40741141334</v>
      </c>
      <c r="J41" s="20" t="n">
        <f aca="false">'Sales Build'!M41*Assumptions!$G$29</f>
        <v>4047.30303194182</v>
      </c>
      <c r="K41" s="20" t="n">
        <f aca="false">'Sales Build'!V41*Assumptions!$G$30</f>
        <v>14480.6123566366</v>
      </c>
      <c r="L41" s="20" t="n">
        <f aca="false">'Sales Build'!W41*Assumptions!$G$31</f>
        <v>7363.79499061147</v>
      </c>
      <c r="M41" s="20" t="n">
        <f aca="false">'Sales Build'!W41*Assumptions!$G$32</f>
        <v>3221.66030839252</v>
      </c>
      <c r="N41" s="20" t="n">
        <f aca="false">'Sales Build'!O41*Assumptions!$G$33</f>
        <v>10221.6866947988</v>
      </c>
      <c r="O41" s="20" t="n">
        <f aca="false">'Sales Build'!Y41*Assumptions!$G$35*Assumptions!$G$34</f>
        <v>3145.29145897065</v>
      </c>
      <c r="P41" s="20" t="n">
        <f aca="false">'Sales Build'!M41*Assumptions!$G$36*Assumptions!$G$37</f>
        <v>3777.48282981237</v>
      </c>
      <c r="Q41" s="20" t="n">
        <f aca="false">'Sales Build'!O41*Assumptions!$G$38</f>
        <v>958.283127637385</v>
      </c>
      <c r="R41" s="49" t="n">
        <f aca="false">SUM(G41:Q41)</f>
        <v>82084.3254064199</v>
      </c>
      <c r="S41" s="49" t="n">
        <f aca="false">F41-R41</f>
        <v>156418.251997023</v>
      </c>
      <c r="T41" s="20" t="n">
        <f aca="false">'Media Plan'!U41</f>
        <v>61039.9323886628</v>
      </c>
      <c r="U41" s="49" t="n">
        <f aca="false">S41-T41</f>
        <v>95378.3196083605</v>
      </c>
      <c r="V41" s="20" t="n">
        <f aca="false">'Fixed Costs'!$G$31/52</f>
        <v>25332.6923076923</v>
      </c>
      <c r="W41" s="49" t="n">
        <f aca="false">U41-V41</f>
        <v>70045.6273006682</v>
      </c>
    </row>
    <row r="42" customFormat="false" ht="15" hidden="false" customHeight="false" outlineLevel="0" collapsed="false">
      <c r="A42" s="13" t="n">
        <v>37</v>
      </c>
      <c r="B42" s="14" t="str">
        <f aca="false">Calendar!D42</f>
        <v>P9</v>
      </c>
      <c r="C42" s="20" t="n">
        <f aca="false">'Sales Build'!U42</f>
        <v>392913.501696317</v>
      </c>
      <c r="D42" s="20" t="n">
        <f aca="false">C42/(1-'Sales Build'!P42)*(1-Assumptions!$G$23)</f>
        <v>162448.540642855</v>
      </c>
      <c r="E42" s="20" t="n">
        <f aca="false">'Sales Build'!T42/(1-'Sales Build'!P42)*(1-Assumptions!$G$23)*Assumptions!$G$24</f>
        <v>2803.12578217952</v>
      </c>
      <c r="F42" s="49" t="n">
        <f aca="false">C42-D42-E42</f>
        <v>227661.835271283</v>
      </c>
      <c r="G42" s="20" t="n">
        <f aca="false">D42*Assumptions!$G$25</f>
        <v>4873.45621928564</v>
      </c>
      <c r="H42" s="20" t="n">
        <f aca="false">'Sales Build'!M42*Assumptions!$G$27</f>
        <v>28790.523068184</v>
      </c>
      <c r="I42" s="20" t="n">
        <f aca="false">-'Sales Build'!M42*Assumptions!$G$28</f>
        <v>-7540.37508928628</v>
      </c>
      <c r="J42" s="20" t="n">
        <f aca="false">'Sales Build'!M42*Assumptions!$G$29</f>
        <v>3084.69890016257</v>
      </c>
      <c r="K42" s="20" t="n">
        <f aca="false">'Sales Build'!V42*Assumptions!$G$30</f>
        <v>11256.9369076575</v>
      </c>
      <c r="L42" s="20" t="n">
        <f aca="false">'Sales Build'!W42*Assumptions!$G$31</f>
        <v>5627.93934663957</v>
      </c>
      <c r="M42" s="20" t="n">
        <f aca="false">'Sales Build'!W42*Assumptions!$G$32</f>
        <v>2462.22346415481</v>
      </c>
      <c r="N42" s="20" t="n">
        <f aca="false">'Sales Build'!O42*Assumptions!$G$33</f>
        <v>8456.18620593199</v>
      </c>
      <c r="O42" s="20" t="n">
        <f aca="false">'Sales Build'!Y42*Assumptions!$G$35*Assumptions!$G$34</f>
        <v>2791.56925204661</v>
      </c>
      <c r="P42" s="20" t="n">
        <f aca="false">'Sales Build'!M42*Assumptions!$G$36*Assumptions!$G$37</f>
        <v>2879.0523068184</v>
      </c>
      <c r="Q42" s="20" t="n">
        <f aca="false">'Sales Build'!O42*Assumptions!$G$38</f>
        <v>792.767456806124</v>
      </c>
      <c r="R42" s="49" t="n">
        <f aca="false">SUM(G42:Q42)</f>
        <v>63474.978038401</v>
      </c>
      <c r="S42" s="49" t="n">
        <f aca="false">F42-R42</f>
        <v>164186.857232882</v>
      </c>
      <c r="T42" s="20" t="n">
        <f aca="false">'Media Plan'!U42</f>
        <v>53498.2447894293</v>
      </c>
      <c r="U42" s="49" t="n">
        <f aca="false">S42-T42</f>
        <v>110688.612443452</v>
      </c>
      <c r="V42" s="20" t="n">
        <f aca="false">'Fixed Costs'!$G$31/52</f>
        <v>25332.6923076923</v>
      </c>
      <c r="W42" s="49" t="n">
        <f aca="false">U42-V42</f>
        <v>85355.92013576</v>
      </c>
    </row>
    <row r="43" customFormat="false" ht="15" hidden="false" customHeight="false" outlineLevel="0" collapsed="false">
      <c r="A43" s="13" t="n">
        <v>38</v>
      </c>
      <c r="B43" s="14" t="str">
        <f aca="false">Calendar!D43</f>
        <v>P9</v>
      </c>
      <c r="C43" s="20" t="n">
        <f aca="false">'Sales Build'!U43</f>
        <v>429450.671496573</v>
      </c>
      <c r="D43" s="20" t="n">
        <f aca="false">C43/(1-'Sales Build'!P43)*(1-Assumptions!$G$23)</f>
        <v>176951.481007238</v>
      </c>
      <c r="E43" s="20" t="n">
        <f aca="false">'Sales Build'!T43/(1-'Sales Build'!P43)*(1-Assumptions!$G$23)*Assumptions!$G$24</f>
        <v>3167.87775056766</v>
      </c>
      <c r="F43" s="49" t="n">
        <f aca="false">C43-D43-E43</f>
        <v>249331.312738767</v>
      </c>
      <c r="G43" s="20" t="n">
        <f aca="false">D43*Assumptions!$G$25</f>
        <v>5308.54443021713</v>
      </c>
      <c r="H43" s="20" t="n">
        <f aca="false">'Sales Build'!M43*Assumptions!$G$27</f>
        <v>32254.2022141762</v>
      </c>
      <c r="I43" s="20" t="n">
        <f aca="false">-'Sales Build'!M43*Assumptions!$G$28</f>
        <v>-8447.52915133187</v>
      </c>
      <c r="J43" s="20" t="n">
        <f aca="false">'Sales Build'!M43*Assumptions!$G$29</f>
        <v>3455.80738009031</v>
      </c>
      <c r="K43" s="20" t="n">
        <f aca="false">'Sales Build'!V43*Assumptions!$G$30</f>
        <v>12653.1648262825</v>
      </c>
      <c r="L43" s="20" t="n">
        <f aca="false">'Sales Build'!W43*Assumptions!$G$31</f>
        <v>6479.10920986365</v>
      </c>
      <c r="M43" s="20" t="n">
        <f aca="false">'Sales Build'!W43*Assumptions!$G$32</f>
        <v>2834.61027931535</v>
      </c>
      <c r="N43" s="20" t="n">
        <f aca="false">'Sales Build'!O43*Assumptions!$G$33</f>
        <v>9331.45074999688</v>
      </c>
      <c r="O43" s="20" t="n">
        <f aca="false">'Sales Build'!Y43*Assumptions!$G$35*Assumptions!$G$34</f>
        <v>3181.36065327117</v>
      </c>
      <c r="P43" s="20" t="n">
        <f aca="false">'Sales Build'!M43*Assumptions!$G$36*Assumptions!$G$37</f>
        <v>3225.42022141762</v>
      </c>
      <c r="Q43" s="20" t="n">
        <f aca="false">'Sales Build'!O43*Assumptions!$G$38</f>
        <v>874.823507812208</v>
      </c>
      <c r="R43" s="49" t="n">
        <f aca="false">SUM(G43:Q43)</f>
        <v>71150.9643211111</v>
      </c>
      <c r="S43" s="49" t="n">
        <f aca="false">F43-R43</f>
        <v>178180.348417656</v>
      </c>
      <c r="T43" s="20" t="n">
        <f aca="false">'Media Plan'!U43</f>
        <v>58964.8748152866</v>
      </c>
      <c r="U43" s="49" t="n">
        <f aca="false">S43-T43</f>
        <v>119215.47360237</v>
      </c>
      <c r="V43" s="20" t="n">
        <f aca="false">'Fixed Costs'!$G$31/52</f>
        <v>25332.6923076923</v>
      </c>
      <c r="W43" s="49" t="n">
        <f aca="false">U43-V43</f>
        <v>93882.7812946773</v>
      </c>
    </row>
    <row r="44" customFormat="false" ht="15" hidden="false" customHeight="false" outlineLevel="0" collapsed="false">
      <c r="A44" s="13" t="n">
        <v>39</v>
      </c>
      <c r="B44" s="14" t="str">
        <f aca="false">Calendar!D44</f>
        <v>P9</v>
      </c>
      <c r="C44" s="20" t="n">
        <f aca="false">'Sales Build'!U44</f>
        <v>399315.659134029</v>
      </c>
      <c r="D44" s="20" t="n">
        <f aca="false">C44/(1-'Sales Build'!P44)*(1-Assumptions!$G$23)</f>
        <v>165541.181398073</v>
      </c>
      <c r="E44" s="20" t="n">
        <f aca="false">'Sales Build'!T44/(1-'Sales Build'!P44)*(1-Assumptions!$G$23)*Assumptions!$G$24</f>
        <v>3030.9297808629</v>
      </c>
      <c r="F44" s="49" t="n">
        <f aca="false">C44-D44-E44</f>
        <v>230743.547955093</v>
      </c>
      <c r="G44" s="20" t="n">
        <f aca="false">D44*Assumptions!$G$25</f>
        <v>4966.23544194219</v>
      </c>
      <c r="H44" s="20" t="n">
        <f aca="false">'Sales Build'!M44*Assumptions!$G$27</f>
        <v>29585.6528829119</v>
      </c>
      <c r="I44" s="20" t="n">
        <f aca="false">-'Sales Build'!M44*Assumptions!$G$28</f>
        <v>-7748.62337409597</v>
      </c>
      <c r="J44" s="20" t="n">
        <f aca="false">'Sales Build'!M44*Assumptions!$G$29</f>
        <v>3169.89138031199</v>
      </c>
      <c r="K44" s="20" t="n">
        <f aca="false">'Sales Build'!V44*Assumptions!$G$30</f>
        <v>11199.2718877322</v>
      </c>
      <c r="L44" s="20" t="n">
        <f aca="false">'Sales Build'!W44*Assumptions!$G$31</f>
        <v>6041.8835260128</v>
      </c>
      <c r="M44" s="20" t="n">
        <f aca="false">'Sales Build'!W44*Assumptions!$G$32</f>
        <v>2643.3240426306</v>
      </c>
      <c r="N44" s="20" t="n">
        <f aca="false">'Sales Build'!O44*Assumptions!$G$33</f>
        <v>8728.62108783121</v>
      </c>
      <c r="O44" s="20" t="n">
        <f aca="false">'Sales Build'!Y44*Assumptions!$G$35*Assumptions!$G$34</f>
        <v>2941.71608347276</v>
      </c>
      <c r="P44" s="20" t="n">
        <f aca="false">'Sales Build'!M44*Assumptions!$G$36*Assumptions!$G$37</f>
        <v>2958.56528829119</v>
      </c>
      <c r="Q44" s="20" t="n">
        <f aca="false">'Sales Build'!O44*Assumptions!$G$38</f>
        <v>818.308226984176</v>
      </c>
      <c r="R44" s="49" t="n">
        <f aca="false">SUM(G44:Q44)</f>
        <v>65304.846474025</v>
      </c>
      <c r="S44" s="49" t="n">
        <f aca="false">F44-R44</f>
        <v>165438.701481068</v>
      </c>
      <c r="T44" s="20" t="n">
        <f aca="false">'Media Plan'!U44</f>
        <v>58950.8362133231</v>
      </c>
      <c r="U44" s="49" t="n">
        <f aca="false">S44-T44</f>
        <v>106487.865267745</v>
      </c>
      <c r="V44" s="20" t="n">
        <f aca="false">'Fixed Costs'!$G$31/52</f>
        <v>25332.6923076923</v>
      </c>
      <c r="W44" s="49" t="n">
        <f aca="false">U44-V44</f>
        <v>81155.1729600528</v>
      </c>
    </row>
    <row r="45" customFormat="false" ht="15" hidden="false" customHeight="false" outlineLevel="0" collapsed="false">
      <c r="A45" s="13" t="n">
        <v>40</v>
      </c>
      <c r="B45" s="14" t="str">
        <f aca="false">Calendar!D45</f>
        <v>P10</v>
      </c>
      <c r="C45" s="20" t="n">
        <f aca="false">'Sales Build'!U45</f>
        <v>392458.96429052</v>
      </c>
      <c r="D45" s="20" t="n">
        <f aca="false">C45/(1-'Sales Build'!P45)*(1-Assumptions!$G$23)</f>
        <v>162978.402276608</v>
      </c>
      <c r="E45" s="20" t="n">
        <f aca="false">'Sales Build'!T45/(1-'Sales Build'!P45)*(1-Assumptions!$G$23)*Assumptions!$G$24</f>
        <v>2866.08169665731</v>
      </c>
      <c r="F45" s="49" t="n">
        <f aca="false">C45-D45-E45</f>
        <v>226614.480317254</v>
      </c>
      <c r="G45" s="20" t="n">
        <f aca="false">D45*Assumptions!$G$25</f>
        <v>4889.35206829825</v>
      </c>
      <c r="H45" s="20" t="n">
        <f aca="false">'Sales Build'!M45*Assumptions!$G$27</f>
        <v>29346.755813637</v>
      </c>
      <c r="I45" s="20" t="n">
        <f aca="false">-'Sales Build'!M45*Assumptions!$G$28</f>
        <v>-7686.05509404778</v>
      </c>
      <c r="J45" s="20" t="n">
        <f aca="false">'Sales Build'!M45*Assumptions!$G$29</f>
        <v>3144.29526574682</v>
      </c>
      <c r="K45" s="20" t="n">
        <f aca="false">'Sales Build'!V45*Assumptions!$G$30</f>
        <v>11461.6501848236</v>
      </c>
      <c r="L45" s="20" t="n">
        <f aca="false">'Sales Build'!W45*Assumptions!$G$31</f>
        <v>5817.88026674693</v>
      </c>
      <c r="M45" s="20" t="n">
        <f aca="false">'Sales Build'!W45*Assumptions!$G$32</f>
        <v>2545.32261670178</v>
      </c>
      <c r="N45" s="20" t="n">
        <f aca="false">'Sales Build'!O45*Assumptions!$G$33</f>
        <v>8487.87057291734</v>
      </c>
      <c r="O45" s="20" t="n">
        <f aca="false">'Sales Build'!Y45*Assumptions!$G$35*Assumptions!$G$34</f>
        <v>2794.05364765536</v>
      </c>
      <c r="P45" s="20" t="n">
        <f aca="false">'Sales Build'!M45*Assumptions!$G$36*Assumptions!$G$37</f>
        <v>2934.6755813637</v>
      </c>
      <c r="Q45" s="20" t="n">
        <f aca="false">'Sales Build'!O45*Assumptions!$G$38</f>
        <v>795.737866211001</v>
      </c>
      <c r="R45" s="49" t="n">
        <f aca="false">SUM(G45:Q45)</f>
        <v>64531.538790054</v>
      </c>
      <c r="S45" s="49" t="n">
        <f aca="false">F45-R45</f>
        <v>162082.9415272</v>
      </c>
      <c r="T45" s="20" t="n">
        <f aca="false">'Media Plan'!U45</f>
        <v>56220.9049661854</v>
      </c>
      <c r="U45" s="49" t="n">
        <f aca="false">S45-T45</f>
        <v>105862.036561015</v>
      </c>
      <c r="V45" s="20" t="n">
        <f aca="false">'Fixed Costs'!$G$31/52</f>
        <v>25332.6923076923</v>
      </c>
      <c r="W45" s="49" t="n">
        <f aca="false">U45-V45</f>
        <v>80529.3442533227</v>
      </c>
    </row>
    <row r="46" customFormat="false" ht="15" hidden="false" customHeight="false" outlineLevel="0" collapsed="false">
      <c r="A46" s="13" t="n">
        <v>41</v>
      </c>
      <c r="B46" s="14" t="str">
        <f aca="false">Calendar!D46</f>
        <v>P10</v>
      </c>
      <c r="C46" s="20" t="n">
        <f aca="false">'Sales Build'!U46</f>
        <v>405789.549289314</v>
      </c>
      <c r="D46" s="20" t="n">
        <f aca="false">C46/(1-'Sales Build'!P46)*(1-Assumptions!$G$23)</f>
        <v>167091.623362552</v>
      </c>
      <c r="E46" s="20" t="n">
        <f aca="false">'Sales Build'!T46/(1-'Sales Build'!P46)*(1-Assumptions!$G$23)*Assumptions!$G$24</f>
        <v>2883.38816768309</v>
      </c>
      <c r="F46" s="49" t="n">
        <f aca="false">C46-D46-E46</f>
        <v>235814.537759079</v>
      </c>
      <c r="G46" s="20" t="n">
        <f aca="false">D46*Assumptions!$G$25</f>
        <v>5012.74870087655</v>
      </c>
      <c r="H46" s="20" t="n">
        <f aca="false">'Sales Build'!M46*Assumptions!$G$27</f>
        <v>30082.3664164226</v>
      </c>
      <c r="I46" s="20" t="n">
        <f aca="false">-'Sales Build'!M46*Assumptions!$G$28</f>
        <v>-7878.71501382497</v>
      </c>
      <c r="J46" s="20" t="n">
        <f aca="false">'Sales Build'!M46*Assumptions!$G$29</f>
        <v>3223.11068747385</v>
      </c>
      <c r="K46" s="20" t="n">
        <f aca="false">'Sales Build'!V46*Assumptions!$G$30</f>
        <v>11728.1212616355</v>
      </c>
      <c r="L46" s="20" t="n">
        <f aca="false">'Sales Build'!W46*Assumptions!$G$31</f>
        <v>5880.68550136801</v>
      </c>
      <c r="M46" s="20" t="n">
        <f aca="false">'Sales Build'!W46*Assumptions!$G$32</f>
        <v>2572.7999068485</v>
      </c>
      <c r="N46" s="20" t="n">
        <f aca="false">'Sales Build'!O46*Assumptions!$G$33</f>
        <v>8733.41304835805</v>
      </c>
      <c r="O46" s="20" t="n">
        <f aca="false">'Sales Build'!Y46*Assumptions!$G$35*Assumptions!$G$34</f>
        <v>2821.55484589853</v>
      </c>
      <c r="P46" s="20" t="n">
        <f aca="false">'Sales Build'!M46*Assumptions!$G$36*Assumptions!$G$37</f>
        <v>3008.23664164226</v>
      </c>
      <c r="Q46" s="20" t="n">
        <f aca="false">'Sales Build'!O46*Assumptions!$G$38</f>
        <v>818.757473283567</v>
      </c>
      <c r="R46" s="49" t="n">
        <f aca="false">SUM(G46:Q46)</f>
        <v>66003.0794699825</v>
      </c>
      <c r="S46" s="49" t="n">
        <f aca="false">F46-R46</f>
        <v>169811.458289097</v>
      </c>
      <c r="T46" s="20" t="n">
        <f aca="false">'Media Plan'!U46</f>
        <v>57839.8046977596</v>
      </c>
      <c r="U46" s="49" t="n">
        <f aca="false">S46-T46</f>
        <v>111971.653591337</v>
      </c>
      <c r="V46" s="20" t="n">
        <f aca="false">'Fixed Costs'!$G$31/52</f>
        <v>25332.6923076923</v>
      </c>
      <c r="W46" s="49" t="n">
        <f aca="false">U46-V46</f>
        <v>86638.9612836447</v>
      </c>
    </row>
    <row r="47" customFormat="false" ht="15" hidden="false" customHeight="false" outlineLevel="0" collapsed="false">
      <c r="A47" s="13" t="n">
        <v>42</v>
      </c>
      <c r="B47" s="14" t="str">
        <f aca="false">Calendar!D47</f>
        <v>P10</v>
      </c>
      <c r="C47" s="20" t="n">
        <f aca="false">'Sales Build'!U47</f>
        <v>396684.555145468</v>
      </c>
      <c r="D47" s="20" t="n">
        <f aca="false">C47/(1-'Sales Build'!P47)*(1-Assumptions!$G$23)</f>
        <v>163748.866217273</v>
      </c>
      <c r="E47" s="20" t="n">
        <f aca="false">'Sales Build'!T47/(1-'Sales Build'!P47)*(1-Assumptions!$G$23)*Assumptions!$G$24</f>
        <v>2879.64086033496</v>
      </c>
      <c r="F47" s="49" t="n">
        <f aca="false">C47-D47-E47</f>
        <v>230056.04806786</v>
      </c>
      <c r="G47" s="20" t="n">
        <f aca="false">D47*Assumptions!$G$25</f>
        <v>4912.46598651819</v>
      </c>
      <c r="H47" s="20" t="n">
        <f aca="false">'Sales Build'!M47*Assumptions!$G$27</f>
        <v>29101.5574573288</v>
      </c>
      <c r="I47" s="20" t="n">
        <f aca="false">-'Sales Build'!M47*Assumptions!$G$28</f>
        <v>-7621.83647691945</v>
      </c>
      <c r="J47" s="20" t="n">
        <f aca="false">'Sales Build'!M47*Assumptions!$G$29</f>
        <v>3118.02401328523</v>
      </c>
      <c r="K47" s="20" t="n">
        <f aca="false">'Sales Build'!V47*Assumptions!$G$30</f>
        <v>11395.6744075241</v>
      </c>
      <c r="L47" s="20" t="n">
        <f aca="false">'Sales Build'!W47*Assumptions!$G$31</f>
        <v>5769.28554430325</v>
      </c>
      <c r="M47" s="20" t="n">
        <f aca="false">'Sales Build'!W47*Assumptions!$G$32</f>
        <v>2524.06242563267</v>
      </c>
      <c r="N47" s="20" t="n">
        <f aca="false">'Sales Build'!O47*Assumptions!$G$33</f>
        <v>8579.26694724685</v>
      </c>
      <c r="O47" s="20" t="n">
        <f aca="false">'Sales Build'!Y47*Assumptions!$G$35*Assumptions!$G$34</f>
        <v>2868.56294856873</v>
      </c>
      <c r="P47" s="20" t="n">
        <f aca="false">'Sales Build'!M47*Assumptions!$G$36*Assumptions!$G$37</f>
        <v>2910.15574573288</v>
      </c>
      <c r="Q47" s="20" t="n">
        <f aca="false">'Sales Build'!O47*Assumptions!$G$38</f>
        <v>804.306276304392</v>
      </c>
      <c r="R47" s="49" t="n">
        <f aca="false">SUM(G47:Q47)</f>
        <v>64361.5252755256</v>
      </c>
      <c r="S47" s="49" t="n">
        <f aca="false">F47-R47</f>
        <v>165694.522792334</v>
      </c>
      <c r="T47" s="20" t="n">
        <f aca="false">'Media Plan'!U47</f>
        <v>57173.7031753931</v>
      </c>
      <c r="U47" s="49" t="n">
        <f aca="false">S47-T47</f>
        <v>108520.819616941</v>
      </c>
      <c r="V47" s="20" t="n">
        <f aca="false">'Fixed Costs'!$G$31/52</f>
        <v>25332.6923076923</v>
      </c>
      <c r="W47" s="49" t="n">
        <f aca="false">U47-V47</f>
        <v>83188.1273092486</v>
      </c>
    </row>
    <row r="48" customFormat="false" ht="15" hidden="false" customHeight="false" outlineLevel="0" collapsed="false">
      <c r="A48" s="13" t="n">
        <v>43</v>
      </c>
      <c r="B48" s="14" t="str">
        <f aca="false">Calendar!D48</f>
        <v>P10</v>
      </c>
      <c r="C48" s="20" t="n">
        <f aca="false">'Sales Build'!U48</f>
        <v>1070800.2459478</v>
      </c>
      <c r="D48" s="20" t="n">
        <f aca="false">C48/(1-'Sales Build'!P48)*(1-Assumptions!$G$23)</f>
        <v>541312.672167957</v>
      </c>
      <c r="E48" s="20" t="n">
        <f aca="false">'Sales Build'!T48/(1-'Sales Build'!P48)*(1-Assumptions!$G$23)*Assumptions!$G$24</f>
        <v>10293.1972311892</v>
      </c>
      <c r="F48" s="49" t="n">
        <f aca="false">C48-D48-E48</f>
        <v>519194.376548656</v>
      </c>
      <c r="G48" s="20" t="n">
        <f aca="false">D48*Assumptions!$G$25</f>
        <v>16239.3801650387</v>
      </c>
      <c r="H48" s="20" t="n">
        <f aca="false">'Sales Build'!M48*Assumptions!$G$27</f>
        <v>85805.7625152474</v>
      </c>
      <c r="I48" s="20" t="n">
        <f aca="false">-'Sales Build'!M48*Assumptions!$G$28</f>
        <v>-22472.9378016124</v>
      </c>
      <c r="J48" s="20" t="n">
        <f aca="false">'Sales Build'!M48*Assumptions!$G$29</f>
        <v>9193.47455520507</v>
      </c>
      <c r="K48" s="20" t="n">
        <f aca="false">'Sales Build'!V48*Assumptions!$G$30</f>
        <v>32606.1465535159</v>
      </c>
      <c r="L48" s="20" t="n">
        <f aca="false">'Sales Build'!W48*Assumptions!$G$31</f>
        <v>18012.5069389</v>
      </c>
      <c r="M48" s="20" t="n">
        <f aca="false">'Sales Build'!W48*Assumptions!$G$32</f>
        <v>7880.47178576876</v>
      </c>
      <c r="N48" s="20" t="n">
        <f aca="false">'Sales Build'!O48*Assumptions!$G$33</f>
        <v>23648.4958483675</v>
      </c>
      <c r="O48" s="20" t="n">
        <f aca="false">'Sales Build'!Y48*Assumptions!$G$35*Assumptions!$G$34</f>
        <v>7563.12439487621</v>
      </c>
      <c r="P48" s="20" t="n">
        <f aca="false">'Sales Build'!M48*Assumptions!$G$36*Assumptions!$G$37</f>
        <v>8580.57625152474</v>
      </c>
      <c r="Q48" s="20" t="n">
        <f aca="false">'Sales Build'!O48*Assumptions!$G$38</f>
        <v>2217.04648578446</v>
      </c>
      <c r="R48" s="49" t="n">
        <f aca="false">SUM(G48:Q48)</f>
        <v>189274.047692616</v>
      </c>
      <c r="S48" s="49" t="n">
        <f aca="false">F48-R48</f>
        <v>329920.328856039</v>
      </c>
      <c r="T48" s="20" t="n">
        <f aca="false">'Media Plan'!U48</f>
        <v>112988.037558716</v>
      </c>
      <c r="U48" s="49" t="n">
        <f aca="false">S48-T48</f>
        <v>216932.291297323</v>
      </c>
      <c r="V48" s="20" t="n">
        <f aca="false">'Fixed Costs'!$G$31/52</f>
        <v>25332.6923076923</v>
      </c>
      <c r="W48" s="49" t="n">
        <f aca="false">U48-V48</f>
        <v>191599.598989631</v>
      </c>
    </row>
    <row r="49" customFormat="false" ht="15" hidden="false" customHeight="false" outlineLevel="0" collapsed="false">
      <c r="A49" s="13" t="n">
        <v>44</v>
      </c>
      <c r="B49" s="14" t="str">
        <f aca="false">Calendar!D49</f>
        <v>P11</v>
      </c>
      <c r="C49" s="20" t="n">
        <f aca="false">'Sales Build'!U49</f>
        <v>766642.044238299</v>
      </c>
      <c r="D49" s="20" t="n">
        <f aca="false">C49/(1-'Sales Build'!P49)*(1-Assumptions!$G$23)</f>
        <v>374997.143487464</v>
      </c>
      <c r="E49" s="20" t="n">
        <f aca="false">'Sales Build'!T49/(1-'Sales Build'!P49)*(1-Assumptions!$G$23)*Assumptions!$G$24</f>
        <v>7531.63977744343</v>
      </c>
      <c r="F49" s="49" t="n">
        <f aca="false">C49-D49-E49</f>
        <v>384113.260973392</v>
      </c>
      <c r="G49" s="20" t="n">
        <f aca="false">D49*Assumptions!$G$25</f>
        <v>11249.9143046239</v>
      </c>
      <c r="H49" s="20" t="n">
        <f aca="false">'Sales Build'!M49*Assumptions!$G$27</f>
        <v>59827.6735539201</v>
      </c>
      <c r="I49" s="20" t="n">
        <f aca="false">-'Sales Build'!M49*Assumptions!$G$28</f>
        <v>-15669.1525974553</v>
      </c>
      <c r="J49" s="20" t="n">
        <f aca="false">'Sales Build'!M49*Assumptions!$G$29</f>
        <v>6410.10788077715</v>
      </c>
      <c r="K49" s="20" t="n">
        <f aca="false">'Sales Build'!V49*Assumptions!$G$30</f>
        <v>22526.931743824</v>
      </c>
      <c r="L49" s="20" t="n">
        <f aca="false">'Sales Build'!W49*Assumptions!$G$31</f>
        <v>13062.9795013787</v>
      </c>
      <c r="M49" s="20" t="n">
        <f aca="false">'Sales Build'!W49*Assumptions!$G$32</f>
        <v>5715.05353185319</v>
      </c>
      <c r="N49" s="20" t="n">
        <f aca="false">'Sales Build'!O49*Assumptions!$G$33</f>
        <v>17193.5181042951</v>
      </c>
      <c r="O49" s="20" t="n">
        <f aca="false">'Sales Build'!Y49*Assumptions!$G$35*Assumptions!$G$34</f>
        <v>5415.05723798053</v>
      </c>
      <c r="P49" s="20" t="n">
        <f aca="false">'Sales Build'!M49*Assumptions!$G$36*Assumptions!$G$37</f>
        <v>5982.76735539201</v>
      </c>
      <c r="Q49" s="20" t="n">
        <f aca="false">'Sales Build'!O49*Assumptions!$G$38</f>
        <v>1611.89232227767</v>
      </c>
      <c r="R49" s="49" t="n">
        <f aca="false">SUM(G49:Q49)</f>
        <v>133326.742938867</v>
      </c>
      <c r="S49" s="49" t="n">
        <f aca="false">F49-R49</f>
        <v>250786.518034525</v>
      </c>
      <c r="T49" s="20" t="n">
        <f aca="false">'Media Plan'!U49</f>
        <v>89114.1709317762</v>
      </c>
      <c r="U49" s="49" t="n">
        <f aca="false">S49-T49</f>
        <v>161672.347102749</v>
      </c>
      <c r="V49" s="20" t="n">
        <f aca="false">'Fixed Costs'!$G$31/52</f>
        <v>25332.6923076923</v>
      </c>
      <c r="W49" s="49" t="n">
        <f aca="false">U49-V49</f>
        <v>136339.654795056</v>
      </c>
    </row>
    <row r="50" customFormat="false" ht="15" hidden="false" customHeight="false" outlineLevel="0" collapsed="false">
      <c r="A50" s="13" t="n">
        <v>45</v>
      </c>
      <c r="B50" s="14" t="str">
        <f aca="false">Calendar!D50</f>
        <v>P11</v>
      </c>
      <c r="C50" s="20" t="n">
        <f aca="false">'Sales Build'!U50</f>
        <v>648296.404412179</v>
      </c>
      <c r="D50" s="20" t="n">
        <f aca="false">C50/(1-'Sales Build'!P50)*(1-Assumptions!$G$23)</f>
        <v>267455.958043134</v>
      </c>
      <c r="E50" s="20" t="n">
        <f aca="false">'Sales Build'!T50/(1-'Sales Build'!P50)*(1-Assumptions!$G$23)*Assumptions!$G$24</f>
        <v>5013.73055248528</v>
      </c>
      <c r="F50" s="49" t="n">
        <f aca="false">C50-D50-E50</f>
        <v>375826.71581656</v>
      </c>
      <c r="G50" s="20" t="n">
        <f aca="false">D50*Assumptions!$G$25</f>
        <v>8023.67874129402</v>
      </c>
      <c r="H50" s="20" t="n">
        <f aca="false">'Sales Build'!M50*Assumptions!$G$27</f>
        <v>44324.2837242311</v>
      </c>
      <c r="I50" s="20" t="n">
        <f aca="false">-'Sales Build'!M50*Assumptions!$G$28</f>
        <v>-11608.7409753939</v>
      </c>
      <c r="J50" s="20" t="n">
        <f aca="false">'Sales Build'!M50*Assumptions!$G$29</f>
        <v>4749.03039902476</v>
      </c>
      <c r="K50" s="20" t="n">
        <f aca="false">'Sales Build'!V50*Assumptions!$G$30</f>
        <v>16846.8946662703</v>
      </c>
      <c r="L50" s="20" t="n">
        <f aca="false">'Sales Build'!W50*Assumptions!$G$31</f>
        <v>9208.81326154174</v>
      </c>
      <c r="M50" s="20" t="n">
        <f aca="false">'Sales Build'!W50*Assumptions!$G$32</f>
        <v>4028.85580192451</v>
      </c>
      <c r="N50" s="20" t="n">
        <f aca="false">'Sales Build'!O50*Assumptions!$G$33</f>
        <v>14261.6919797694</v>
      </c>
      <c r="O50" s="20" t="n">
        <f aca="false">'Sales Build'!Y50*Assumptions!$G$35*Assumptions!$G$34</f>
        <v>4679.29875036465</v>
      </c>
      <c r="P50" s="20" t="n">
        <f aca="false">'Sales Build'!M50*Assumptions!$G$36*Assumptions!$G$37</f>
        <v>4432.42837242311</v>
      </c>
      <c r="Q50" s="20" t="n">
        <f aca="false">'Sales Build'!O50*Assumptions!$G$38</f>
        <v>1337.03362310339</v>
      </c>
      <c r="R50" s="49" t="n">
        <f aca="false">SUM(G50:Q50)</f>
        <v>100283.268344553</v>
      </c>
      <c r="S50" s="49" t="n">
        <f aca="false">F50-R50</f>
        <v>275543.447472007</v>
      </c>
      <c r="T50" s="20" t="n">
        <f aca="false">'Media Plan'!U50</f>
        <v>80415.0999216261</v>
      </c>
      <c r="U50" s="49" t="n">
        <f aca="false">S50-T50</f>
        <v>195128.347550381</v>
      </c>
      <c r="V50" s="20" t="n">
        <f aca="false">'Fixed Costs'!$G$31/52</f>
        <v>25332.6923076923</v>
      </c>
      <c r="W50" s="49" t="n">
        <f aca="false">U50-V50</f>
        <v>169795.655242689</v>
      </c>
    </row>
    <row r="51" customFormat="false" ht="15" hidden="false" customHeight="false" outlineLevel="0" collapsed="false">
      <c r="A51" s="13" t="n">
        <v>46</v>
      </c>
      <c r="B51" s="14" t="str">
        <f aca="false">Calendar!D51</f>
        <v>P11</v>
      </c>
      <c r="C51" s="20" t="n">
        <f aca="false">'Sales Build'!U51</f>
        <v>578360.359695955</v>
      </c>
      <c r="D51" s="20" t="n">
        <f aca="false">C51/(1-'Sales Build'!P51)*(1-Assumptions!$G$23)</f>
        <v>237850.393504921</v>
      </c>
      <c r="E51" s="20" t="n">
        <f aca="false">'Sales Build'!T51/(1-'Sales Build'!P51)*(1-Assumptions!$G$23)*Assumptions!$G$24</f>
        <v>4616.26541637133</v>
      </c>
      <c r="F51" s="49" t="n">
        <f aca="false">C51-D51-E51</f>
        <v>335893.700774662</v>
      </c>
      <c r="G51" s="20" t="n">
        <f aca="false">D51*Assumptions!$G$25</f>
        <v>7135.51180514763</v>
      </c>
      <c r="H51" s="20" t="n">
        <f aca="false">'Sales Build'!M51*Assumptions!$G$27</f>
        <v>39660.8674785851</v>
      </c>
      <c r="I51" s="20" t="n">
        <f aca="false">-'Sales Build'!M51*Assumptions!$G$28</f>
        <v>-10387.3700539152</v>
      </c>
      <c r="J51" s="20" t="n">
        <f aca="false">'Sales Build'!M51*Assumptions!$G$29</f>
        <v>4249.37865841984</v>
      </c>
      <c r="K51" s="20" t="n">
        <f aca="false">'Sales Build'!V51*Assumptions!$G$30</f>
        <v>15452.8908259767</v>
      </c>
      <c r="L51" s="20" t="n">
        <f aca="false">'Sales Build'!W51*Assumptions!$G$31</f>
        <v>8449.64676898661</v>
      </c>
      <c r="M51" s="20" t="n">
        <f aca="false">'Sales Build'!W51*Assumptions!$G$32</f>
        <v>3696.72046143164</v>
      </c>
      <c r="N51" s="20" t="n">
        <f aca="false">'Sales Build'!O51*Assumptions!$G$33</f>
        <v>12845.7580320577</v>
      </c>
      <c r="O51" s="20" t="n">
        <f aca="false">'Sales Build'!Y51*Assumptions!$G$35*Assumptions!$G$34</f>
        <v>4233.66125589408</v>
      </c>
      <c r="P51" s="20" t="n">
        <f aca="false">'Sales Build'!M51*Assumptions!$G$36*Assumptions!$G$37</f>
        <v>3966.08674785851</v>
      </c>
      <c r="Q51" s="20" t="n">
        <f aca="false">'Sales Build'!O51*Assumptions!$G$38</f>
        <v>1204.28981550541</v>
      </c>
      <c r="R51" s="49" t="n">
        <f aca="false">SUM(G51:Q51)</f>
        <v>90507.4417959481</v>
      </c>
      <c r="S51" s="49" t="n">
        <f aca="false">F51-R51</f>
        <v>245386.258978714</v>
      </c>
      <c r="T51" s="20" t="n">
        <f aca="false">'Media Plan'!U51</f>
        <v>72596.6004483055</v>
      </c>
      <c r="U51" s="49" t="n">
        <f aca="false">S51-T51</f>
        <v>172789.658530409</v>
      </c>
      <c r="V51" s="20" t="n">
        <f aca="false">'Fixed Costs'!$G$31/52</f>
        <v>25332.6923076923</v>
      </c>
      <c r="W51" s="49" t="n">
        <f aca="false">U51-V51</f>
        <v>147456.966222717</v>
      </c>
    </row>
    <row r="52" customFormat="false" ht="15" hidden="false" customHeight="false" outlineLevel="0" collapsed="false">
      <c r="A52" s="13" t="n">
        <v>47</v>
      </c>
      <c r="B52" s="14" t="str">
        <f aca="false">Calendar!D52</f>
        <v>P11</v>
      </c>
      <c r="C52" s="20" t="n">
        <f aca="false">'Sales Build'!U52</f>
        <v>370654.463276675</v>
      </c>
      <c r="D52" s="20" t="n">
        <f aca="false">C52/(1-'Sales Build'!P52)*(1-Assumptions!$G$23)</f>
        <v>153281.07326325</v>
      </c>
      <c r="E52" s="20" t="n">
        <f aca="false">'Sales Build'!T52/(1-'Sales Build'!P52)*(1-Assumptions!$G$23)*Assumptions!$G$24</f>
        <v>2727.60366510945</v>
      </c>
      <c r="F52" s="49" t="n">
        <f aca="false">C52-D52-E52</f>
        <v>214645.786348316</v>
      </c>
      <c r="G52" s="20" t="n">
        <f aca="false">D52*Assumptions!$G$25</f>
        <v>4598.43219789751</v>
      </c>
      <c r="H52" s="20" t="n">
        <f aca="false">'Sales Build'!M52*Assumptions!$G$27</f>
        <v>27136.016728208</v>
      </c>
      <c r="I52" s="20" t="n">
        <f aca="false">-'Sales Build'!M52*Assumptions!$G$28</f>
        <v>-7107.05200024496</v>
      </c>
      <c r="J52" s="20" t="n">
        <f aca="false">'Sales Build'!M52*Assumptions!$G$29</f>
        <v>2907.43036373657</v>
      </c>
      <c r="K52" s="20" t="n">
        <f aca="false">'Sales Build'!V52*Assumptions!$G$30</f>
        <v>10623.4245213311</v>
      </c>
      <c r="L52" s="20" t="n">
        <f aca="false">'Sales Build'!W52*Assumptions!$G$31</f>
        <v>5426.79272850263</v>
      </c>
      <c r="M52" s="20" t="n">
        <f aca="false">'Sales Build'!W52*Assumptions!$G$32</f>
        <v>2374.2218187199</v>
      </c>
      <c r="N52" s="20" t="n">
        <f aca="false">'Sales Build'!O52*Assumptions!$G$33</f>
        <v>8041.10062658699</v>
      </c>
      <c r="O52" s="20" t="n">
        <f aca="false">'Sales Build'!Y52*Assumptions!$G$35*Assumptions!$G$34</f>
        <v>2703.55070805772</v>
      </c>
      <c r="P52" s="20" t="n">
        <f aca="false">'Sales Build'!M52*Assumptions!$G$36*Assumptions!$G$37</f>
        <v>2713.6016728208</v>
      </c>
      <c r="Q52" s="20" t="n">
        <f aca="false">'Sales Build'!O52*Assumptions!$G$38</f>
        <v>753.85318374253</v>
      </c>
      <c r="R52" s="49" t="n">
        <f aca="false">SUM(G52:Q52)</f>
        <v>60171.3725493588</v>
      </c>
      <c r="S52" s="49" t="n">
        <f aca="false">F52-R52</f>
        <v>154474.413798957</v>
      </c>
      <c r="T52" s="20" t="n">
        <f aca="false">'Media Plan'!U52</f>
        <v>54887.1512349433</v>
      </c>
      <c r="U52" s="49" t="n">
        <f aca="false">S52-T52</f>
        <v>99587.2625640136</v>
      </c>
      <c r="V52" s="20" t="n">
        <f aca="false">'Fixed Costs'!$G$31/52</f>
        <v>25332.6923076923</v>
      </c>
      <c r="W52" s="49" t="n">
        <f aca="false">U52-V52</f>
        <v>74254.5702563213</v>
      </c>
    </row>
    <row r="53" customFormat="false" ht="15" hidden="false" customHeight="false" outlineLevel="0" collapsed="false">
      <c r="A53" s="13" t="n">
        <v>48</v>
      </c>
      <c r="B53" s="14" t="str">
        <f aca="false">Calendar!D53</f>
        <v>P12</v>
      </c>
      <c r="C53" s="20" t="n">
        <f aca="false">'Sales Build'!U53</f>
        <v>768796.857038796</v>
      </c>
      <c r="D53" s="20" t="n">
        <f aca="false">C53/(1-'Sales Build'!P53)*(1-Assumptions!$G$23)</f>
        <v>435742.850426752</v>
      </c>
      <c r="E53" s="20" t="n">
        <f aca="false">'Sales Build'!T53/(1-'Sales Build'!P53)*(1-Assumptions!$G$23)*Assumptions!$G$24</f>
        <v>6979.70103664333</v>
      </c>
      <c r="F53" s="49" t="n">
        <f aca="false">C53-D53-E53</f>
        <v>326074.305575401</v>
      </c>
      <c r="G53" s="20" t="n">
        <f aca="false">D53*Assumptions!$G$25</f>
        <v>13072.2855128026</v>
      </c>
      <c r="H53" s="20" t="n">
        <f aca="false">'Sales Build'!M53*Assumptions!$G$27</f>
        <v>62551.5658383256</v>
      </c>
      <c r="I53" s="20" t="n">
        <f aca="false">-'Sales Build'!M53*Assumptions!$G$28</f>
        <v>-16382.5529576567</v>
      </c>
      <c r="J53" s="20" t="n">
        <f aca="false">'Sales Build'!M53*Assumptions!$G$29</f>
        <v>6701.95348267774</v>
      </c>
      <c r="K53" s="20" t="n">
        <f aca="false">'Sales Build'!V53*Assumptions!$G$30</f>
        <v>23660.998510822</v>
      </c>
      <c r="L53" s="20" t="n">
        <f aca="false">'Sales Build'!W53*Assumptions!$G$31</f>
        <v>11563.3449896468</v>
      </c>
      <c r="M53" s="20" t="n">
        <f aca="false">'Sales Build'!W53*Assumptions!$G$32</f>
        <v>5058.96343297049</v>
      </c>
      <c r="N53" s="20" t="n">
        <f aca="false">'Sales Build'!O53*Assumptions!$G$33</f>
        <v>16241.4021151368</v>
      </c>
      <c r="O53" s="20" t="n">
        <f aca="false">'Sales Build'!Y53*Assumptions!$G$35*Assumptions!$G$34</f>
        <v>5006.31604017183</v>
      </c>
      <c r="P53" s="20" t="n">
        <f aca="false">'Sales Build'!M53*Assumptions!$G$36*Assumptions!$G$37</f>
        <v>6255.15658383256</v>
      </c>
      <c r="Q53" s="20" t="n">
        <f aca="false">'Sales Build'!O53*Assumptions!$G$38</f>
        <v>1522.63144829408</v>
      </c>
      <c r="R53" s="49" t="n">
        <f aca="false">SUM(G53:Q53)</f>
        <v>135252.064997024</v>
      </c>
      <c r="S53" s="49" t="n">
        <f aca="false">F53-R53</f>
        <v>190822.240578377</v>
      </c>
      <c r="T53" s="20" t="n">
        <f aca="false">'Media Plan'!U53</f>
        <v>89741.5165584526</v>
      </c>
      <c r="U53" s="49" t="n">
        <f aca="false">S53-T53</f>
        <v>101080.724019924</v>
      </c>
      <c r="V53" s="20" t="n">
        <f aca="false">'Fixed Costs'!$G$31/52</f>
        <v>25332.6923076923</v>
      </c>
      <c r="W53" s="49" t="n">
        <f aca="false">U53-V53</f>
        <v>75748.0317122319</v>
      </c>
    </row>
    <row r="54" customFormat="false" ht="15" hidden="false" customHeight="false" outlineLevel="0" collapsed="false">
      <c r="A54" s="13" t="n">
        <v>49</v>
      </c>
      <c r="B54" s="14" t="str">
        <f aca="false">Calendar!D54</f>
        <v>P12</v>
      </c>
      <c r="C54" s="20" t="n">
        <f aca="false">'Sales Build'!U54</f>
        <v>595740.98192698</v>
      </c>
      <c r="D54" s="20" t="n">
        <f aca="false">C54/(1-'Sales Build'!P54)*(1-Assumptions!$G$23)</f>
        <v>330685.993553053</v>
      </c>
      <c r="E54" s="20" t="n">
        <f aca="false">'Sales Build'!T54/(1-'Sales Build'!P54)*(1-Assumptions!$G$23)*Assumptions!$G$24</f>
        <v>5101.20116824716</v>
      </c>
      <c r="F54" s="49" t="n">
        <f aca="false">C54-D54-E54</f>
        <v>259953.78720568</v>
      </c>
      <c r="G54" s="20" t="n">
        <f aca="false">D54*Assumptions!$G$25</f>
        <v>9920.57980659159</v>
      </c>
      <c r="H54" s="20" t="n">
        <f aca="false">'Sales Build'!M54*Assumptions!$G$27</f>
        <v>48472.3175009762</v>
      </c>
      <c r="I54" s="20" t="n">
        <f aca="false">-'Sales Build'!M54*Assumptions!$G$28</f>
        <v>-12695.1307740652</v>
      </c>
      <c r="J54" s="20" t="n">
        <f aca="false">'Sales Build'!M54*Assumptions!$G$29</f>
        <v>5193.46258939031</v>
      </c>
      <c r="K54" s="20" t="n">
        <f aca="false">'Sales Build'!V54*Assumptions!$G$30</f>
        <v>18645.6606502019</v>
      </c>
      <c r="L54" s="20" t="n">
        <f aca="false">'Sales Build'!W54*Assumptions!$G$31</f>
        <v>8707.63004791861</v>
      </c>
      <c r="M54" s="20" t="n">
        <f aca="false">'Sales Build'!W54*Assumptions!$G$32</f>
        <v>3809.58814596439</v>
      </c>
      <c r="N54" s="20" t="n">
        <f aca="false">'Sales Build'!O54*Assumptions!$G$33</f>
        <v>12472.6463361145</v>
      </c>
      <c r="O54" s="20" t="n">
        <f aca="false">'Sales Build'!Y54*Assumptions!$G$35*Assumptions!$G$34</f>
        <v>3778.42578370387</v>
      </c>
      <c r="P54" s="20" t="n">
        <f aca="false">'Sales Build'!M54*Assumptions!$G$36*Assumptions!$G$37</f>
        <v>4847.23175009762</v>
      </c>
      <c r="Q54" s="20" t="n">
        <f aca="false">'Sales Build'!O54*Assumptions!$G$38</f>
        <v>1169.31059401074</v>
      </c>
      <c r="R54" s="49" t="n">
        <f aca="false">SUM(G54:Q54)</f>
        <v>104321.722430905</v>
      </c>
      <c r="S54" s="49" t="n">
        <f aca="false">F54-R54</f>
        <v>155632.064774775</v>
      </c>
      <c r="T54" s="20" t="n">
        <f aca="false">'Media Plan'!U54</f>
        <v>73412.3426662056</v>
      </c>
      <c r="U54" s="49" t="n">
        <f aca="false">S54-T54</f>
        <v>82219.7221085695</v>
      </c>
      <c r="V54" s="20" t="n">
        <f aca="false">'Fixed Costs'!$G$31/52</f>
        <v>25332.6923076923</v>
      </c>
      <c r="W54" s="49" t="n">
        <f aca="false">U54-V54</f>
        <v>56887.0298008772</v>
      </c>
    </row>
    <row r="55" customFormat="false" ht="15" hidden="false" customHeight="false" outlineLevel="0" collapsed="false">
      <c r="A55" s="13" t="n">
        <v>50</v>
      </c>
      <c r="B55" s="14" t="str">
        <f aca="false">Calendar!D55</f>
        <v>P12</v>
      </c>
      <c r="C55" s="20" t="n">
        <f aca="false">'Sales Build'!U55</f>
        <v>437260.939212246</v>
      </c>
      <c r="D55" s="20" t="n">
        <f aca="false">C55/(1-'Sales Build'!P55)*(1-Assumptions!$G$23)</f>
        <v>231543.480853161</v>
      </c>
      <c r="E55" s="20" t="n">
        <f aca="false">'Sales Build'!T55/(1-'Sales Build'!P55)*(1-Assumptions!$G$23)*Assumptions!$G$24</f>
        <v>3758.49773939143</v>
      </c>
      <c r="F55" s="49" t="n">
        <f aca="false">C55-D55-E55</f>
        <v>201958.960619693</v>
      </c>
      <c r="G55" s="20" t="n">
        <f aca="false">D55*Assumptions!$G$25</f>
        <v>6946.30442559484</v>
      </c>
      <c r="H55" s="20" t="n">
        <f aca="false">'Sales Build'!M55*Assumptions!$G$27</f>
        <v>35280.1230089216</v>
      </c>
      <c r="I55" s="20" t="n">
        <f aca="false">-'Sales Build'!M55*Assumptions!$G$28</f>
        <v>-9240.03221662232</v>
      </c>
      <c r="J55" s="20" t="n">
        <f aca="false">'Sales Build'!M55*Assumptions!$G$29</f>
        <v>3780.01317952731</v>
      </c>
      <c r="K55" s="20" t="n">
        <f aca="false">'Sales Build'!V55*Assumptions!$G$30</f>
        <v>13453.2102061252</v>
      </c>
      <c r="L55" s="20" t="n">
        <f aca="false">'Sales Build'!W55*Assumptions!$G$31</f>
        <v>6587.8282295775</v>
      </c>
      <c r="M55" s="20" t="n">
        <f aca="false">'Sales Build'!W55*Assumptions!$G$32</f>
        <v>2882.17485044015</v>
      </c>
      <c r="N55" s="20" t="n">
        <f aca="false">'Sales Build'!O55*Assumptions!$G$33</f>
        <v>9267.46402486333</v>
      </c>
      <c r="O55" s="20" t="n">
        <f aca="false">'Sales Build'!Y55*Assumptions!$G$35*Assumptions!$G$34</f>
        <v>3135.00386474457</v>
      </c>
      <c r="P55" s="20" t="n">
        <f aca="false">'Sales Build'!M55*Assumptions!$G$36*Assumptions!$G$37</f>
        <v>3528.01230089216</v>
      </c>
      <c r="Q55" s="20" t="n">
        <f aca="false">'Sales Build'!O55*Assumptions!$G$38</f>
        <v>868.824752330937</v>
      </c>
      <c r="R55" s="49" t="n">
        <f aca="false">SUM(G55:Q55)</f>
        <v>76488.9266263952</v>
      </c>
      <c r="S55" s="49" t="n">
        <f aca="false">F55-R55</f>
        <v>125470.033993298</v>
      </c>
      <c r="T55" s="20" t="n">
        <f aca="false">'Media Plan'!U55</f>
        <v>62474.4149573144</v>
      </c>
      <c r="U55" s="49" t="n">
        <f aca="false">S55-T55</f>
        <v>62995.6190359836</v>
      </c>
      <c r="V55" s="20" t="n">
        <f aca="false">'Fixed Costs'!$G$31/52</f>
        <v>25332.6923076923</v>
      </c>
      <c r="W55" s="49" t="n">
        <f aca="false">U55-V55</f>
        <v>37662.9267282913</v>
      </c>
    </row>
    <row r="56" customFormat="false" ht="15" hidden="false" customHeight="false" outlineLevel="0" collapsed="false">
      <c r="A56" s="13" t="n">
        <v>51</v>
      </c>
      <c r="B56" s="14" t="str">
        <f aca="false">Calendar!D56</f>
        <v>P12</v>
      </c>
      <c r="C56" s="20" t="n">
        <f aca="false">'Sales Build'!U56</f>
        <v>351555.910031001</v>
      </c>
      <c r="D56" s="20" t="n">
        <f aca="false">C56/(1-'Sales Build'!P56)*(1-Assumptions!$G$23)</f>
        <v>152921.520606593</v>
      </c>
      <c r="E56" s="20" t="n">
        <f aca="false">'Sales Build'!T56/(1-'Sales Build'!P56)*(1-Assumptions!$G$23)*Assumptions!$G$24</f>
        <v>2690.67640326341</v>
      </c>
      <c r="F56" s="49" t="n">
        <f aca="false">C56-D56-E56</f>
        <v>195943.713021145</v>
      </c>
      <c r="G56" s="20" t="n">
        <f aca="false">D56*Assumptions!$G$25</f>
        <v>4587.64561819778</v>
      </c>
      <c r="H56" s="20" t="n">
        <f aca="false">'Sales Build'!M56*Assumptions!$G$27</f>
        <v>26027.7361040886</v>
      </c>
      <c r="I56" s="20" t="n">
        <f aca="false">-'Sales Build'!M56*Assumptions!$G$28</f>
        <v>-6816.78802726129</v>
      </c>
      <c r="J56" s="20" t="n">
        <f aca="false">'Sales Build'!M56*Assumptions!$G$29</f>
        <v>2788.68601115235</v>
      </c>
      <c r="K56" s="20" t="n">
        <f aca="false">'Sales Build'!V56*Assumptions!$G$30</f>
        <v>10135.672418647</v>
      </c>
      <c r="L56" s="20" t="n">
        <f aca="false">'Sales Build'!W56*Assumptions!$G$31</f>
        <v>5161.95765706972</v>
      </c>
      <c r="M56" s="20" t="n">
        <f aca="false">'Sales Build'!W56*Assumptions!$G$32</f>
        <v>2258.356474968</v>
      </c>
      <c r="N56" s="20" t="n">
        <f aca="false">'Sales Build'!O56*Assumptions!$G$33</f>
        <v>7604.31132338674</v>
      </c>
      <c r="O56" s="20" t="n">
        <f aca="false">'Sales Build'!Y56*Assumptions!$G$35*Assumptions!$G$34</f>
        <v>2531.27053023764</v>
      </c>
      <c r="P56" s="20" t="n">
        <f aca="false">'Sales Build'!M56*Assumptions!$G$36*Assumptions!$G$37</f>
        <v>2602.77361040886</v>
      </c>
      <c r="Q56" s="20" t="n">
        <f aca="false">'Sales Build'!O56*Assumptions!$G$38</f>
        <v>712.904186567507</v>
      </c>
      <c r="R56" s="49" t="n">
        <f aca="false">SUM(G56:Q56)</f>
        <v>57594.5259074629</v>
      </c>
      <c r="S56" s="49" t="n">
        <f aca="false">F56-R56</f>
        <v>138349.187113683</v>
      </c>
      <c r="T56" s="20" t="n">
        <f aca="false">'Media Plan'!U56</f>
        <v>50943.6968577416</v>
      </c>
      <c r="U56" s="49" t="n">
        <f aca="false">S56-T56</f>
        <v>87405.4902559409</v>
      </c>
      <c r="V56" s="20" t="n">
        <f aca="false">'Fixed Costs'!$G$31/52</f>
        <v>25332.6923076923</v>
      </c>
      <c r="W56" s="49" t="n">
        <f aca="false">U56-V56</f>
        <v>62072.7979482486</v>
      </c>
    </row>
    <row r="57" customFormat="false" ht="15" hidden="false" customHeight="false" outlineLevel="0" collapsed="false">
      <c r="A57" s="13" t="n">
        <v>52</v>
      </c>
      <c r="B57" s="14" t="str">
        <f aca="false">Calendar!D57</f>
        <v>P12</v>
      </c>
      <c r="C57" s="20" t="n">
        <f aca="false">'Sales Build'!U57</f>
        <v>324150.90277125</v>
      </c>
      <c r="D57" s="20" t="n">
        <f aca="false">C57/(1-'Sales Build'!P57)*(1-Assumptions!$G$23)</f>
        <v>133321.636453018</v>
      </c>
      <c r="E57" s="20" t="n">
        <f aca="false">'Sales Build'!T57/(1-'Sales Build'!P57)*(1-Assumptions!$G$23)*Assumptions!$G$24</f>
        <v>2329.57734007736</v>
      </c>
      <c r="F57" s="49" t="n">
        <f aca="false">C57-D57-E57</f>
        <v>188499.688978154</v>
      </c>
      <c r="G57" s="20" t="n">
        <f aca="false">D57*Assumptions!$G$25</f>
        <v>3999.64909359055</v>
      </c>
      <c r="H57" s="20" t="n">
        <f aca="false">'Sales Build'!M57*Assumptions!$G$27</f>
        <v>23993.5245365137</v>
      </c>
      <c r="I57" s="20" t="n">
        <f aca="false">-'Sales Build'!M57*Assumptions!$G$28</f>
        <v>-6284.01833099169</v>
      </c>
      <c r="J57" s="20" t="n">
        <f aca="false">'Sales Build'!M57*Assumptions!$G$29</f>
        <v>2570.73477176933</v>
      </c>
      <c r="K57" s="20" t="n">
        <f aca="false">'Sales Build'!V57*Assumptions!$G$30</f>
        <v>9338.58665426286</v>
      </c>
      <c r="L57" s="20" t="n">
        <f aca="false">'Sales Build'!W57*Assumptions!$G$31</f>
        <v>4734.115807698</v>
      </c>
      <c r="M57" s="20" t="n">
        <f aca="false">'Sales Build'!W57*Assumptions!$G$32</f>
        <v>2071.17566586787</v>
      </c>
      <c r="N57" s="20" t="n">
        <f aca="false">'Sales Build'!O57*Assumptions!$G$33</f>
        <v>6998.89648209867</v>
      </c>
      <c r="O57" s="20" t="n">
        <f aca="false">'Sales Build'!Y57*Assumptions!$G$35*Assumptions!$G$34</f>
        <v>2365.79381399457</v>
      </c>
      <c r="P57" s="20" t="n">
        <f aca="false">'Sales Build'!M57*Assumptions!$G$36*Assumptions!$G$37</f>
        <v>2399.35245365137</v>
      </c>
      <c r="Q57" s="20" t="n">
        <f aca="false">'Sales Build'!O57*Assumptions!$G$38</f>
        <v>656.14654519675</v>
      </c>
      <c r="R57" s="49" t="n">
        <f aca="false">SUM(G57:Q57)</f>
        <v>52843.957493652</v>
      </c>
      <c r="S57" s="49" t="n">
        <f aca="false">F57-R57</f>
        <v>135655.731484502</v>
      </c>
      <c r="T57" s="20" t="n">
        <f aca="false">'Media Plan'!U57</f>
        <v>45322.4016618914</v>
      </c>
      <c r="U57" s="49" t="n">
        <f aca="false">S57-T57</f>
        <v>90333.3298226109</v>
      </c>
      <c r="V57" s="20" t="n">
        <f aca="false">'Fixed Costs'!$G$31/52</f>
        <v>25332.6923076923</v>
      </c>
      <c r="W57" s="49" t="n">
        <f aca="false">U57-V57</f>
        <v>65000.6375149186</v>
      </c>
    </row>
    <row r="58" customFormat="false" ht="15" hidden="false" customHeight="false" outlineLevel="0" collapsed="false">
      <c r="A58" s="60" t="s">
        <v>483</v>
      </c>
      <c r="B58" s="61"/>
      <c r="C58" s="63" t="n">
        <f aca="false">SUM(C6:C57)</f>
        <v>22234811.322021</v>
      </c>
      <c r="D58" s="63" t="n">
        <f aca="false">SUM(D6:D57)</f>
        <v>9865024.29956233</v>
      </c>
      <c r="E58" s="63" t="n">
        <f aca="false">SUM(E6:E57)</f>
        <v>171868.951718997</v>
      </c>
      <c r="F58" s="63" t="n">
        <f aca="false">SUM(F6:F57)</f>
        <v>12197918.0707396</v>
      </c>
      <c r="G58" s="63" t="n">
        <f aca="false">SUM(G6:G57)</f>
        <v>295950.72898687</v>
      </c>
      <c r="H58" s="63" t="n">
        <f aca="false">SUM(H6:H57)</f>
        <v>1675340.09116934</v>
      </c>
      <c r="I58" s="63" t="n">
        <f aca="false">SUM(I6:I57)</f>
        <v>-438779.547687208</v>
      </c>
      <c r="J58" s="63" t="n">
        <f aca="false">SUM(J6:J57)</f>
        <v>179500.724053858</v>
      </c>
      <c r="K58" s="63" t="n">
        <f aca="false">SUM(K6:K57)</f>
        <v>644610.639250603</v>
      </c>
      <c r="L58" s="63" t="n">
        <f aca="false">SUM(L6:L57)</f>
        <v>330201.623528321</v>
      </c>
      <c r="M58" s="63" t="n">
        <f aca="false">SUM(M6:M57)</f>
        <v>144463.21029364</v>
      </c>
      <c r="N58" s="63" t="n">
        <f aca="false">SUM(N6:N57)</f>
        <v>480164.940389004</v>
      </c>
      <c r="O58" s="63" t="n">
        <f aca="false">SUM(O6:O57)</f>
        <v>157821.563173176</v>
      </c>
      <c r="P58" s="63" t="n">
        <f aca="false">SUM(P6:P57)</f>
        <v>167534.009116934</v>
      </c>
      <c r="Q58" s="63" t="n">
        <f aca="false">SUM(Q6:Q57)</f>
        <v>45015.4631614692</v>
      </c>
      <c r="R58" s="63" t="n">
        <f aca="false">SUM(R6:R57)</f>
        <v>3681823.44543601</v>
      </c>
      <c r="S58" s="63" t="n">
        <f aca="false">SUM(S6:S57)</f>
        <v>8516094.62530364</v>
      </c>
      <c r="T58" s="63" t="n">
        <f aca="false">SUM(T6:T57)</f>
        <v>3050000</v>
      </c>
      <c r="U58" s="63" t="n">
        <f aca="false">SUM(U6:U57)</f>
        <v>5466094.62530364</v>
      </c>
      <c r="V58" s="63" t="n">
        <f aca="false">SUM(V6:V57)</f>
        <v>1317300</v>
      </c>
      <c r="W58" s="63" t="n">
        <f aca="false">SUM(W6:W57)</f>
        <v>4148794.62530364</v>
      </c>
    </row>
  </sheetData>
  <sheetProtection sheet="true" formatColumns="false" formatRows="false"/>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5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62"/>
    <col collapsed="false" customWidth="true" hidden="false" outlineLevel="0" max="16" min="2" style="0" width="13"/>
  </cols>
  <sheetData>
    <row r="1" customFormat="false" ht="17.35" hidden="false" customHeight="false" outlineLevel="0" collapsed="false">
      <c r="A1" s="1" t="s">
        <v>597</v>
      </c>
    </row>
    <row r="2" customFormat="false" ht="15" hidden="false" customHeight="false" outlineLevel="0" collapsed="false">
      <c r="A2" s="2" t="s">
        <v>598</v>
      </c>
    </row>
    <row r="3" customFormat="false" ht="15" hidden="false" customHeight="false" outlineLevel="0" collapsed="false">
      <c r="N3" s="14" t="str">
        <f aca="false">Settings!B5</f>
        <v>FY2027</v>
      </c>
      <c r="O3" s="14" t="str">
        <f aca="false">Settings!B7</f>
        <v>FY2026</v>
      </c>
    </row>
    <row r="4" customFormat="false" ht="42" hidden="false" customHeight="true" outlineLevel="0" collapsed="false">
      <c r="A4" s="19" t="s">
        <v>493</v>
      </c>
      <c r="B4" s="19" t="s">
        <v>418</v>
      </c>
      <c r="C4" s="19" t="s">
        <v>420</v>
      </c>
      <c r="D4" s="19" t="s">
        <v>421</v>
      </c>
      <c r="E4" s="19" t="s">
        <v>423</v>
      </c>
      <c r="F4" s="19" t="s">
        <v>425</v>
      </c>
      <c r="G4" s="19" t="s">
        <v>427</v>
      </c>
      <c r="H4" s="19" t="s">
        <v>429</v>
      </c>
      <c r="I4" s="19" t="s">
        <v>431</v>
      </c>
      <c r="J4" s="19" t="s">
        <v>432</v>
      </c>
      <c r="K4" s="19" t="s">
        <v>436</v>
      </c>
      <c r="L4" s="19" t="s">
        <v>439</v>
      </c>
      <c r="M4" s="19" t="s">
        <v>441</v>
      </c>
      <c r="N4" s="19" t="s">
        <v>76</v>
      </c>
      <c r="O4" s="19" t="s">
        <v>86</v>
      </c>
      <c r="P4" s="19" t="s">
        <v>599</v>
      </c>
    </row>
    <row r="6" customFormat="false" ht="15" hidden="false" customHeight="false" outlineLevel="0" collapsed="false">
      <c r="A6" s="13" t="s">
        <v>600</v>
      </c>
      <c r="B6" s="21" t="n">
        <f aca="false">SUMIF('Sales Build'!$B$6:$B$57,B$4,'Sales Build'!J$6:J$57)</f>
        <v>1107389.68213053</v>
      </c>
      <c r="C6" s="21" t="n">
        <f aca="false">SUMIF('Sales Build'!$B$6:$B$57,C$4,'Sales Build'!J$6:J$57)</f>
        <v>1104703.42296711</v>
      </c>
      <c r="D6" s="21" t="n">
        <f aca="false">SUMIF('Sales Build'!$B$6:$B$57,D$4,'Sales Build'!J$6:J$57)</f>
        <v>1570161.20474834</v>
      </c>
      <c r="E6" s="21" t="n">
        <f aca="false">SUMIF('Sales Build'!$B$6:$B$57,E$4,'Sales Build'!J$6:J$57)</f>
        <v>1321459.36557366</v>
      </c>
      <c r="F6" s="21" t="n">
        <f aca="false">SUMIF('Sales Build'!$B$6:$B$57,F$4,'Sales Build'!J$6:J$57)</f>
        <v>1477211.53850374</v>
      </c>
      <c r="G6" s="21" t="n">
        <f aca="false">SUMIF('Sales Build'!$B$6:$B$57,G$4,'Sales Build'!J$6:J$57)</f>
        <v>1698856.79087803</v>
      </c>
      <c r="H6" s="21" t="n">
        <f aca="false">SUMIF('Sales Build'!$B$6:$B$57,H$4,'Sales Build'!J$6:J$57)</f>
        <v>1140690.79676135</v>
      </c>
      <c r="I6" s="21" t="n">
        <f aca="false">SUMIF('Sales Build'!$B$6:$B$57,I$4,'Sales Build'!J$6:J$57)</f>
        <v>1152465.58917039</v>
      </c>
      <c r="J6" s="21" t="n">
        <f aca="false">SUMIF('Sales Build'!$B$6:$B$57,J$4,'Sales Build'!J$6:J$57)</f>
        <v>1627333.53117319</v>
      </c>
      <c r="K6" s="21" t="n">
        <f aca="false">SUMIF('Sales Build'!$B$6:$B$57,K$4,'Sales Build'!J$6:J$57)</f>
        <v>1647666.54609292</v>
      </c>
      <c r="L6" s="21" t="n">
        <f aca="false">SUMIF('Sales Build'!$B$6:$B$57,L$4,'Sales Build'!J$6:J$57)</f>
        <v>1671410.27926396</v>
      </c>
      <c r="M6" s="21" t="n">
        <f aca="false">SUMIF('Sales Build'!$B$6:$B$57,M$4,'Sales Build'!J$6:J$57)</f>
        <v>1874394.07302142</v>
      </c>
      <c r="N6" s="55" t="n">
        <f aca="false">SUM(B6:M6)</f>
        <v>17393742.8202846</v>
      </c>
      <c r="O6" s="21" t="n">
        <f aca="false">'History Y-1'!I58</f>
        <v>16550070</v>
      </c>
      <c r="P6" s="22" t="n">
        <f aca="false">IF(OR(O6="",O6=0),"",N6/O6-1)</f>
        <v>0.0509769940722087</v>
      </c>
    </row>
    <row r="7" customFormat="false" ht="15" hidden="false" customHeight="false" outlineLevel="0" collapsed="false">
      <c r="A7" s="13" t="s">
        <v>454</v>
      </c>
      <c r="B7" s="21" t="n">
        <f aca="false">SUMIF('Sales Build'!$B$6:$B$57,B$4,'Sales Build'!M$6:M$57)</f>
        <v>23808.9494684392</v>
      </c>
      <c r="C7" s="21" t="n">
        <f aca="false">SUMIF('Sales Build'!$B$6:$B$57,C$4,'Sales Build'!M$6:M$57)</f>
        <v>23884.6039976532</v>
      </c>
      <c r="D7" s="21" t="n">
        <f aca="false">SUMIF('Sales Build'!$B$6:$B$57,D$4,'Sales Build'!M$6:M$57)</f>
        <v>34090.3950762297</v>
      </c>
      <c r="E7" s="21" t="n">
        <f aca="false">SUMIF('Sales Build'!$B$6:$B$57,E$4,'Sales Build'!M$6:M$57)</f>
        <v>28547.548928087</v>
      </c>
      <c r="F7" s="21" t="n">
        <f aca="false">SUMIF('Sales Build'!$B$6:$B$57,F$4,'Sales Build'!M$6:M$57)</f>
        <v>34223.7098962165</v>
      </c>
      <c r="G7" s="21" t="n">
        <f aca="false">SUMIF('Sales Build'!$B$6:$B$57,G$4,'Sales Build'!M$6:M$57)</f>
        <v>39375.7615507061</v>
      </c>
      <c r="H7" s="21" t="n">
        <f aca="false">SUMIF('Sales Build'!$B$6:$B$57,H$4,'Sales Build'!M$6:M$57)</f>
        <v>24419.2652277099</v>
      </c>
      <c r="I7" s="21" t="n">
        <f aca="false">SUMIF('Sales Build'!$B$6:$B$57,I$4,'Sales Build'!M$6:M$57)</f>
        <v>24899.1231667313</v>
      </c>
      <c r="J7" s="21" t="n">
        <f aca="false">SUMIF('Sales Build'!$B$6:$B$57,J$4,'Sales Build'!M$6:M$57)</f>
        <v>36686.2475674967</v>
      </c>
      <c r="K7" s="21" t="n">
        <f aca="false">SUMIF('Sales Build'!$B$6:$B$57,K$4,'Sales Build'!M$6:M$57)</f>
        <v>41508.6767149133</v>
      </c>
      <c r="L7" s="21" t="n">
        <f aca="false">SUMIF('Sales Build'!$B$6:$B$57,L$4,'Sales Build'!M$6:M$57)</f>
        <v>40702.1051154629</v>
      </c>
      <c r="M7" s="21" t="n">
        <f aca="false">SUMIF('Sales Build'!$B$6:$B$57,M$4,'Sales Build'!M$6:M$57)</f>
        <v>46744.1111878157</v>
      </c>
      <c r="N7" s="55" t="n">
        <f aca="false">SUM(B7:M7)</f>
        <v>398890.497897461</v>
      </c>
      <c r="O7" s="21" t="n">
        <f aca="false">'History Y-1'!J58</f>
        <v>382961</v>
      </c>
      <c r="P7" s="22" t="n">
        <f aca="false">IF(OR(O7="",O7=0),"",N7/O7-1)</f>
        <v>0.0415956139070597</v>
      </c>
    </row>
    <row r="8" customFormat="false" ht="15" hidden="false" customHeight="false" outlineLevel="0" collapsed="false">
      <c r="A8" s="13" t="s">
        <v>464</v>
      </c>
      <c r="B8" s="57" t="n">
        <f aca="false">IFERROR(B7/B6,0)</f>
        <v>0.0215000643880234</v>
      </c>
      <c r="C8" s="57" t="n">
        <f aca="false">IFERROR(C7/C6,0)</f>
        <v>0.0216208291755826</v>
      </c>
      <c r="D8" s="57" t="n">
        <f aca="false">IFERROR(D7/D6,0)</f>
        <v>0.0217113981501622</v>
      </c>
      <c r="E8" s="57" t="n">
        <f aca="false">IFERROR(E7/E6,0)</f>
        <v>0.0216030471097341</v>
      </c>
      <c r="F8" s="57" t="n">
        <f aca="false">IFERROR(F7/F6,0)</f>
        <v>0.0231677786181399</v>
      </c>
      <c r="G8" s="57" t="n">
        <f aca="false">IFERROR(G7/G6,0)</f>
        <v>0.0231777991895099</v>
      </c>
      <c r="H8" s="57" t="n">
        <f aca="false">IFERROR(H7/H6,0)</f>
        <v>0.0214074360002213</v>
      </c>
      <c r="I8" s="57" t="n">
        <f aca="false">IFERROR(I7/I6,0)</f>
        <v>0.0216050903391007</v>
      </c>
      <c r="J8" s="57" t="n">
        <f aca="false">IFERROR(J7/J6,0)</f>
        <v>0.0225437790500443</v>
      </c>
      <c r="K8" s="57" t="n">
        <f aca="false">IFERROR(K7/K6,0)</f>
        <v>0.0251924012254434</v>
      </c>
      <c r="L8" s="57" t="n">
        <f aca="false">IFERROR(L7/L6,0)</f>
        <v>0.0243519533297275</v>
      </c>
      <c r="M8" s="57" t="n">
        <f aca="false">IFERROR(M7/M6,0)</f>
        <v>0.0249382517052386</v>
      </c>
      <c r="N8" s="57" t="n">
        <f aca="false">IFERROR(N7/N6,0)</f>
        <v>0.0229329881451549</v>
      </c>
      <c r="O8" s="57" t="n">
        <f aca="false">IF(OR(O6="",O7=""),"",IFERROR(O7/O6,0))</f>
        <v>0.0231395395910712</v>
      </c>
      <c r="P8" s="77" t="n">
        <f aca="false">IF(O8="","",N8-O8)</f>
        <v>-0.000206551445916279</v>
      </c>
    </row>
    <row r="9" customFormat="false" ht="15" hidden="false" customHeight="false" outlineLevel="0" collapsed="false">
      <c r="A9" s="13" t="s">
        <v>465</v>
      </c>
      <c r="B9" s="58" t="n">
        <f aca="false">IFERROR(B10/B7,0)</f>
        <v>77.3730384864764</v>
      </c>
      <c r="C9" s="58" t="n">
        <f aca="false">IFERROR(C10/C7,0)</f>
        <v>76.5314782487828</v>
      </c>
      <c r="D9" s="58" t="n">
        <f aca="false">IFERROR(D10/D7,0)</f>
        <v>76.0389681532087</v>
      </c>
      <c r="E9" s="58" t="n">
        <f aca="false">IFERROR(E10/E7,0)</f>
        <v>77.0865846471936</v>
      </c>
      <c r="F9" s="58" t="n">
        <f aca="false">IFERROR(F10/F7,0)</f>
        <v>74.0120037447396</v>
      </c>
      <c r="G9" s="58" t="n">
        <f aca="false">IFERROR(G10/G7,0)</f>
        <v>72.0202655318486</v>
      </c>
      <c r="H9" s="58" t="n">
        <f aca="false">IFERROR(H10/H7,0)</f>
        <v>76.2673719591166</v>
      </c>
      <c r="I9" s="58" t="n">
        <f aca="false">IFERROR(I10/I7,0)</f>
        <v>76.608652435257</v>
      </c>
      <c r="J9" s="58" t="n">
        <f aca="false">IFERROR(J10/J7,0)</f>
        <v>75.2378155528306</v>
      </c>
      <c r="K9" s="58" t="n">
        <f aca="false">IFERROR(K10/K7,0)</f>
        <v>74.4558883985148</v>
      </c>
      <c r="L9" s="58" t="n">
        <f aca="false">IFERROR(L10/L7,0)</f>
        <v>80.3737125423647</v>
      </c>
      <c r="M9" s="58" t="n">
        <f aca="false">IFERROR(M10/M7,0)</f>
        <v>70.3092846154422</v>
      </c>
      <c r="N9" s="58" t="n">
        <f aca="false">IFERROR(N10/N7,0)</f>
        <v>75.2344538977391</v>
      </c>
      <c r="O9" s="58" t="n">
        <f aca="false">IF(OR(O7="",O10=""),"",IFERROR(O10/O7,0))</f>
        <v>75.4420227124955</v>
      </c>
      <c r="P9" s="22" t="n">
        <f aca="false">IF(OR(O9="",O9=0),"",N9/O9-1)</f>
        <v>-0.00275136863108039</v>
      </c>
    </row>
    <row r="10" customFormat="false" ht="15" hidden="false" customHeight="false" outlineLevel="0" collapsed="false">
      <c r="A10" s="13" t="s">
        <v>601</v>
      </c>
      <c r="B10" s="20" t="n">
        <f aca="false">SUMIF('Sales Build'!$B$6:$B$57,B$4,'Sales Build'!O$6:O$57)</f>
        <v>1842170.76354412</v>
      </c>
      <c r="C10" s="20" t="n">
        <f aca="false">SUMIF('Sales Build'!$B$6:$B$57,C$4,'Sales Build'!O$6:O$57)</f>
        <v>1827924.05132718</v>
      </c>
      <c r="D10" s="20" t="n">
        <f aca="false">SUMIF('Sales Build'!$B$6:$B$57,D$4,'Sales Build'!O$6:O$57)</f>
        <v>2592198.46553173</v>
      </c>
      <c r="E10" s="20" t="n">
        <f aca="false">SUMIF('Sales Build'!$B$6:$B$57,E$4,'Sales Build'!O$6:O$57)</f>
        <v>2200633.04691488</v>
      </c>
      <c r="F10" s="20" t="n">
        <f aca="false">SUMIF('Sales Build'!$B$6:$B$57,F$4,'Sales Build'!O$6:O$57)</f>
        <v>2532965.34499766</v>
      </c>
      <c r="G10" s="20" t="n">
        <f aca="false">SUMIF('Sales Build'!$B$6:$B$57,G$4,'Sales Build'!O$6:O$57)</f>
        <v>2835852.80240061</v>
      </c>
      <c r="H10" s="20" t="n">
        <f aca="false">SUMIF('Sales Build'!$B$6:$B$57,H$4,'Sales Build'!O$6:O$57)</f>
        <v>1862393.18409008</v>
      </c>
      <c r="I10" s="20" t="n">
        <f aca="false">SUMIF('Sales Build'!$B$6:$B$57,I$4,'Sales Build'!O$6:O$57)</f>
        <v>1907488.27262278</v>
      </c>
      <c r="J10" s="20" t="n">
        <f aca="false">SUMIF('Sales Build'!$B$6:$B$57,J$4,'Sales Build'!O$6:O$57)</f>
        <v>2760193.1278088</v>
      </c>
      <c r="K10" s="20" t="n">
        <f aca="false">SUMIF('Sales Build'!$B$6:$B$57,K$4,'Sales Build'!O$6:O$57)</f>
        <v>3090565.40105561</v>
      </c>
      <c r="L10" s="20" t="n">
        <f aca="false">SUMIF('Sales Build'!$B$6:$B$57,L$4,'Sales Build'!O$6:O$57)</f>
        <v>3271379.29641933</v>
      </c>
      <c r="M10" s="20" t="n">
        <f aca="false">SUMIF('Sales Build'!$B$6:$B$57,M$4,'Sales Build'!O$6:O$57)</f>
        <v>3286545.0176</v>
      </c>
      <c r="N10" s="49" t="n">
        <f aca="false">SUM(B10:M10)</f>
        <v>30010308.7743128</v>
      </c>
      <c r="O10" s="20" t="n">
        <f aca="false">'History Y-1'!K58</f>
        <v>28891352.46</v>
      </c>
      <c r="P10" s="22" t="n">
        <f aca="false">IF(OR(O10="",O10=0),"",N10/O10-1)</f>
        <v>0.0387298004086849</v>
      </c>
    </row>
    <row r="11" customFormat="false" ht="15" hidden="false" customHeight="false" outlineLevel="0" collapsed="false">
      <c r="A11" s="13" t="s">
        <v>602</v>
      </c>
      <c r="B11" s="20" t="n">
        <f aca="false">SUMIF('Sales Build'!$B$6:$B$57,B$4,'Sales Build'!R$6:R$57)</f>
        <v>159844.186863393</v>
      </c>
      <c r="C11" s="20" t="n">
        <f aca="false">SUMIF('Sales Build'!$B$6:$B$57,C$4,'Sales Build'!R$6:R$57)</f>
        <v>159011.449613966</v>
      </c>
      <c r="D11" s="20" t="n">
        <f aca="false">SUMIF('Sales Build'!$B$6:$B$57,D$4,'Sales Build'!R$6:R$57)</f>
        <v>228993.40023228</v>
      </c>
      <c r="E11" s="20" t="n">
        <f aca="false">SUMIF('Sales Build'!$B$6:$B$57,E$4,'Sales Build'!R$6:R$57)</f>
        <v>189723.619471303</v>
      </c>
      <c r="F11" s="20" t="n">
        <f aca="false">SUMIF('Sales Build'!$B$6:$B$57,F$4,'Sales Build'!R$6:R$57)</f>
        <v>545329.618069667</v>
      </c>
      <c r="G11" s="20" t="n">
        <f aca="false">SUMIF('Sales Build'!$B$6:$B$57,G$4,'Sales Build'!R$6:R$57)</f>
        <v>699893.465481023</v>
      </c>
      <c r="H11" s="20" t="n">
        <f aca="false">SUMIF('Sales Build'!$B$6:$B$57,H$4,'Sales Build'!R$6:R$57)</f>
        <v>159203.837006755</v>
      </c>
      <c r="I11" s="20" t="n">
        <f aca="false">SUMIF('Sales Build'!$B$6:$B$57,I$4,'Sales Build'!R$6:R$57)</f>
        <v>167393.900329979</v>
      </c>
      <c r="J11" s="20" t="n">
        <f aca="false">SUMIF('Sales Build'!$B$6:$B$57,J$4,'Sales Build'!R$6:R$57)</f>
        <v>371018.249558527</v>
      </c>
      <c r="K11" s="20" t="n">
        <f aca="false">SUMIF('Sales Build'!$B$6:$B$57,K$4,'Sales Build'!R$6:R$57)</f>
        <v>629375.975633021</v>
      </c>
      <c r="L11" s="20" t="n">
        <f aca="false">SUMIF('Sales Build'!$B$6:$B$57,L$4,'Sales Build'!R$6:R$57)</f>
        <v>495382.168125297</v>
      </c>
      <c r="M11" s="20" t="n">
        <f aca="false">SUMIF('Sales Build'!$B$6:$B$57,M$4,'Sales Build'!R$6:R$57)</f>
        <v>1190845.91830797</v>
      </c>
      <c r="N11" s="49" t="n">
        <f aca="false">SUM(B11:M11)</f>
        <v>4996015.78869319</v>
      </c>
      <c r="O11" s="20" t="n">
        <f aca="false">'History Y-1'!M58</f>
        <v>4757820.66</v>
      </c>
      <c r="P11" s="22" t="n">
        <f aca="false">IF(OR(O11="",O11=0),"",N11/O11-1)</f>
        <v>0.0500639149129225</v>
      </c>
    </row>
    <row r="12" customFormat="false" ht="15" hidden="false" customHeight="false" outlineLevel="0" collapsed="false">
      <c r="A12" s="13" t="s">
        <v>603</v>
      </c>
      <c r="B12" s="20" t="n">
        <f aca="false">SUMIF('Sales Build'!$B$6:$B$57,B$4,'Sales Build'!T$6:T$57)</f>
        <v>469596.88903593</v>
      </c>
      <c r="C12" s="20" t="n">
        <f aca="false">SUMIF('Sales Build'!$B$6:$B$57,C$4,'Sales Build'!T$6:T$57)</f>
        <v>472593.211176375</v>
      </c>
      <c r="D12" s="20" t="n">
        <f aca="false">SUMIF('Sales Build'!$B$6:$B$57,D$4,'Sales Build'!T$6:T$57)</f>
        <v>676572.804090713</v>
      </c>
      <c r="E12" s="20" t="n">
        <f aca="false">SUMIF('Sales Build'!$B$6:$B$57,E$4,'Sales Build'!T$6:T$57)</f>
        <v>571926.315618791</v>
      </c>
      <c r="F12" s="20" t="n">
        <f aca="false">SUMIF('Sales Build'!$B$6:$B$57,F$4,'Sales Build'!T$6:T$57)</f>
        <v>633112.89938213</v>
      </c>
      <c r="G12" s="20" t="n">
        <f aca="false">SUMIF('Sales Build'!$B$6:$B$57,G$4,'Sales Build'!T$6:T$57)</f>
        <v>711682.06956984</v>
      </c>
      <c r="H12" s="20" t="n">
        <f aca="false">SUMIF('Sales Build'!$B$6:$B$57,H$4,'Sales Build'!T$6:T$57)</f>
        <v>485613.392121931</v>
      </c>
      <c r="I12" s="20" t="n">
        <f aca="false">SUMIF('Sales Build'!$B$6:$B$57,I$4,'Sales Build'!T$6:T$57)</f>
        <v>493399.308644825</v>
      </c>
      <c r="J12" s="20" t="n">
        <f aca="false">SUMIF('Sales Build'!$B$6:$B$57,J$4,'Sales Build'!T$6:T$57)</f>
        <v>719703.024852807</v>
      </c>
      <c r="K12" s="20" t="n">
        <f aca="false">SUMIF('Sales Build'!$B$6:$B$57,K$4,'Sales Build'!T$6:T$57)</f>
        <v>824832.086382509</v>
      </c>
      <c r="L12" s="20" t="n">
        <f aca="false">SUMIF('Sales Build'!$B$6:$B$57,L$4,'Sales Build'!T$6:T$57)</f>
        <v>907426.024796222</v>
      </c>
      <c r="M12" s="20" t="n">
        <f aca="false">SUMIF('Sales Build'!$B$6:$B$57,M$4,'Sales Build'!T$6:T$57)</f>
        <v>809039.426619731</v>
      </c>
      <c r="N12" s="49" t="n">
        <f aca="false">SUM(B12:M12)</f>
        <v>7775497.4522918</v>
      </c>
      <c r="O12" s="20" t="n">
        <f aca="false">'History Y-1'!N58</f>
        <v>7466242.49</v>
      </c>
      <c r="P12" s="22" t="n">
        <f aca="false">IF(OR(O12="",O12=0),"",N12/O12-1)</f>
        <v>0.0414204283755861</v>
      </c>
    </row>
    <row r="13" customFormat="false" ht="15" hidden="false" customHeight="false" outlineLevel="0" collapsed="false">
      <c r="A13" s="13" t="s">
        <v>468</v>
      </c>
      <c r="B13" s="22" t="n">
        <f aca="false">IFERROR(B12/B10,0)</f>
        <v>0.254914961375503</v>
      </c>
      <c r="C13" s="22" t="n">
        <f aca="false">IFERROR(C12/C10,0)</f>
        <v>0.258540944758205</v>
      </c>
      <c r="D13" s="22" t="n">
        <f aca="false">IFERROR(D12/D10,0)</f>
        <v>0.261003473725894</v>
      </c>
      <c r="E13" s="22" t="n">
        <f aca="false">IFERROR(E12/E10,0)</f>
        <v>0.259891723620432</v>
      </c>
      <c r="F13" s="22" t="n">
        <f aca="false">IFERROR(F12/F10,0)</f>
        <v>0.249949293871099</v>
      </c>
      <c r="G13" s="22" t="n">
        <f aca="false">IFERROR(G12/G10,0)</f>
        <v>0.250958748270498</v>
      </c>
      <c r="H13" s="22" t="n">
        <f aca="false">IFERROR(H12/H10,0)</f>
        <v>0.260746976669801</v>
      </c>
      <c r="I13" s="22" t="n">
        <f aca="false">IFERROR(I12/I10,0)</f>
        <v>0.25866439952808</v>
      </c>
      <c r="J13" s="22" t="n">
        <f aca="false">IFERROR(J12/J10,0)</f>
        <v>0.260743720286033</v>
      </c>
      <c r="K13" s="22" t="n">
        <f aca="false">IFERROR(K12/K10,0)</f>
        <v>0.266887115898204</v>
      </c>
      <c r="L13" s="22" t="n">
        <f aca="false">IFERROR(L12/L10,0)</f>
        <v>0.277383312228405</v>
      </c>
      <c r="M13" s="22" t="n">
        <f aca="false">IFERROR(M12/M10,0)</f>
        <v>0.246167151913997</v>
      </c>
      <c r="N13" s="22" t="n">
        <f aca="false">IFERROR(N12/N10,0)</f>
        <v>0.259094216949451</v>
      </c>
      <c r="O13" s="22" t="n">
        <f aca="false">IF(OR(O10="",O12=""),"",IFERROR(O12/O10,0))</f>
        <v>0.258424817610633</v>
      </c>
      <c r="P13" s="77" t="n">
        <f aca="false">IF(O13="","",N13-O13)</f>
        <v>0.000669399338818377</v>
      </c>
    </row>
    <row r="14" customFormat="false" ht="15" hidden="false" customHeight="false" outlineLevel="0" collapsed="false">
      <c r="A14" s="78" t="s">
        <v>87</v>
      </c>
      <c r="B14" s="79" t="n">
        <f aca="false">SUMIF('Sales Build'!$B$6:$B$57,B$4,'Sales Build'!U$6:U$57)</f>
        <v>1372573.87450819</v>
      </c>
      <c r="C14" s="79" t="n">
        <f aca="false">SUMIF('Sales Build'!$B$6:$B$57,C$4,'Sales Build'!U$6:U$57)</f>
        <v>1355330.84015081</v>
      </c>
      <c r="D14" s="79" t="n">
        <f aca="false">SUMIF('Sales Build'!$B$6:$B$57,D$4,'Sales Build'!U$6:U$57)</f>
        <v>1915625.66144102</v>
      </c>
      <c r="E14" s="79" t="n">
        <f aca="false">SUMIF('Sales Build'!$B$6:$B$57,E$4,'Sales Build'!U$6:U$57)</f>
        <v>1628706.73129609</v>
      </c>
      <c r="F14" s="79" t="n">
        <f aca="false">SUMIF('Sales Build'!$B$6:$B$57,F$4,'Sales Build'!U$6:U$57)</f>
        <v>1899852.44561553</v>
      </c>
      <c r="G14" s="79" t="n">
        <f aca="false">SUMIF('Sales Build'!$B$6:$B$57,G$4,'Sales Build'!U$6:U$57)</f>
        <v>2124170.73283077</v>
      </c>
      <c r="H14" s="79" t="n">
        <f aca="false">SUMIF('Sales Build'!$B$6:$B$57,H$4,'Sales Build'!U$6:U$57)</f>
        <v>1376779.79196815</v>
      </c>
      <c r="I14" s="79" t="n">
        <f aca="false">SUMIF('Sales Build'!$B$6:$B$57,I$4,'Sales Build'!U$6:U$57)</f>
        <v>1414088.96397795</v>
      </c>
      <c r="J14" s="79" t="n">
        <f aca="false">SUMIF('Sales Build'!$B$6:$B$57,J$4,'Sales Build'!U$6:U$57)</f>
        <v>2040490.10295599</v>
      </c>
      <c r="K14" s="79" t="n">
        <f aca="false">SUMIF('Sales Build'!$B$6:$B$57,K$4,'Sales Build'!U$6:U$57)</f>
        <v>2265733.3146731</v>
      </c>
      <c r="L14" s="79" t="n">
        <f aca="false">SUMIF('Sales Build'!$B$6:$B$57,L$4,'Sales Build'!U$6:U$57)</f>
        <v>2363953.27162311</v>
      </c>
      <c r="M14" s="79" t="n">
        <f aca="false">SUMIF('Sales Build'!$B$6:$B$57,M$4,'Sales Build'!U$6:U$57)</f>
        <v>2477505.59098027</v>
      </c>
      <c r="N14" s="80" t="n">
        <f aca="false">SUM(B14:M14)</f>
        <v>22234811.322021</v>
      </c>
      <c r="O14" s="79" t="n">
        <f aca="false">'History Y-1'!AJ58</f>
        <v>21425109.97</v>
      </c>
      <c r="P14" s="81" t="n">
        <f aca="false">IF(OR(O14="",O14=0),"",N14/O14-1)</f>
        <v>0.0377921678420663</v>
      </c>
    </row>
    <row r="15" customFormat="false" ht="15" hidden="false" customHeight="false" outlineLevel="0" collapsed="false">
      <c r="A15" s="13" t="s">
        <v>604</v>
      </c>
      <c r="B15" s="20" t="n">
        <f aca="false">SUMIF(Costs!$B$6:$B$57,B$4,Costs!D$6:D$57)</f>
        <v>566842.212548276</v>
      </c>
      <c r="C15" s="20" t="n">
        <f aca="false">SUMIF(Costs!$B$6:$B$57,C$4,Costs!D$6:D$57)</f>
        <v>559825.292825283</v>
      </c>
      <c r="D15" s="20" t="n">
        <f aca="false">SUMIF(Costs!$B$6:$B$57,D$4,Costs!D$6:D$57)</f>
        <v>792247.085188637</v>
      </c>
      <c r="E15" s="20" t="n">
        <f aca="false">SUMIF(Costs!$B$6:$B$57,E$4,Costs!D$6:D$57)</f>
        <v>672267.029675118</v>
      </c>
      <c r="F15" s="20" t="n">
        <f aca="false">SUMIF(Costs!$B$6:$B$57,F$4,Costs!D$6:D$57)</f>
        <v>879952.783019721</v>
      </c>
      <c r="G15" s="20" t="n">
        <f aca="false">SUMIF(Costs!$B$6:$B$57,G$4,Costs!D$6:D$57)</f>
        <v>1008710.92737701</v>
      </c>
      <c r="H15" s="20" t="n">
        <f aca="false">SUMIF(Costs!$B$6:$B$57,H$4,Costs!D$6:D$57)</f>
        <v>567897.422597341</v>
      </c>
      <c r="I15" s="20" t="n">
        <f aca="false">SUMIF(Costs!$B$6:$B$57,I$4,Costs!D$6:D$57)</f>
        <v>584501.628248036</v>
      </c>
      <c r="J15" s="20" t="n">
        <f aca="false">SUMIF(Costs!$B$6:$B$57,J$4,Costs!D$6:D$57)</f>
        <v>879848.303867171</v>
      </c>
      <c r="K15" s="20" t="n">
        <f aca="false">SUMIF(Costs!$B$6:$B$57,K$4,Costs!D$6:D$57)</f>
        <v>1035131.56402439</v>
      </c>
      <c r="L15" s="20" t="n">
        <f aca="false">SUMIF(Costs!$B$6:$B$57,L$4,Costs!D$6:D$57)</f>
        <v>1033584.56829877</v>
      </c>
      <c r="M15" s="20" t="n">
        <f aca="false">SUMIF(Costs!$B$6:$B$57,M$4,Costs!D$6:D$57)</f>
        <v>1284215.48189258</v>
      </c>
      <c r="N15" s="49" t="n">
        <f aca="false">SUM(B15:M15)</f>
        <v>9865024.29956233</v>
      </c>
      <c r="O15" s="69"/>
      <c r="P15" s="22" t="str">
        <f aca="false">IF(OR(O15="",O15=0),"",N15/O15-1)</f>
        <v/>
      </c>
    </row>
    <row r="16" customFormat="false" ht="15" hidden="false" customHeight="false" outlineLevel="0" collapsed="false">
      <c r="A16" s="13" t="s">
        <v>605</v>
      </c>
      <c r="B16" s="20" t="n">
        <f aca="false">SUMIF(Costs!$B$6:$B$57,B$4,Costs!E$6:E$57)</f>
        <v>9696.17343032889</v>
      </c>
      <c r="C16" s="20" t="n">
        <f aca="false">SUMIF(Costs!$B$6:$B$57,C$4,Costs!E$6:E$57)</f>
        <v>9760.50987661768</v>
      </c>
      <c r="D16" s="20" t="n">
        <f aca="false">SUMIF(Costs!$B$6:$B$57,D$4,Costs!E$6:E$57)</f>
        <v>13990.2911900843</v>
      </c>
      <c r="E16" s="20" t="n">
        <f aca="false">SUMIF(Costs!$B$6:$B$57,E$4,Costs!E$6:E$57)</f>
        <v>11803.4251775816</v>
      </c>
      <c r="F16" s="20" t="n">
        <f aca="false">SUMIF(Costs!$B$6:$B$57,F$4,Costs!E$6:E$57)</f>
        <v>14489.9651472931</v>
      </c>
      <c r="G16" s="20" t="n">
        <f aca="false">SUMIF(Costs!$B$6:$B$57,G$4,Costs!E$6:E$57)</f>
        <v>16743.6327209006</v>
      </c>
      <c r="H16" s="20" t="n">
        <f aca="false">SUMIF(Costs!$B$6:$B$57,H$4,Costs!E$6:E$57)</f>
        <v>10015.4722709728</v>
      </c>
      <c r="I16" s="20" t="n">
        <f aca="false">SUMIF(Costs!$B$6:$B$57,I$4,Costs!E$6:E$57)</f>
        <v>10197.6798737005</v>
      </c>
      <c r="J16" s="20" t="n">
        <f aca="false">SUMIF(Costs!$B$6:$B$57,J$4,Costs!E$6:E$57)</f>
        <v>15500.6009766206</v>
      </c>
      <c r="K16" s="20" t="n">
        <f aca="false">SUMIF(Costs!$B$6:$B$57,K$4,Costs!E$6:E$57)</f>
        <v>18922.3079558645</v>
      </c>
      <c r="L16" s="20" t="n">
        <f aca="false">SUMIF(Costs!$B$6:$B$57,L$4,Costs!E$6:E$57)</f>
        <v>19889.2394114095</v>
      </c>
      <c r="M16" s="20" t="n">
        <f aca="false">SUMIF(Costs!$B$6:$B$57,M$4,Costs!E$6:E$57)</f>
        <v>20859.6536876227</v>
      </c>
      <c r="N16" s="49" t="n">
        <f aca="false">SUM(B16:M16)</f>
        <v>171868.951718997</v>
      </c>
      <c r="O16" s="69"/>
      <c r="P16" s="22" t="str">
        <f aca="false">IF(OR(O16="",O16=0),"",N16/O16-1)</f>
        <v/>
      </c>
    </row>
    <row r="17" customFormat="false" ht="15" hidden="false" customHeight="false" outlineLevel="0" collapsed="false">
      <c r="A17" s="78" t="s">
        <v>606</v>
      </c>
      <c r="B17" s="80" t="n">
        <f aca="false">B14-B15-B16</f>
        <v>796035.488529582</v>
      </c>
      <c r="C17" s="80" t="n">
        <f aca="false">C14-C15-C16</f>
        <v>785745.037448907</v>
      </c>
      <c r="D17" s="80" t="n">
        <f aca="false">D14-D15-D16</f>
        <v>1109388.2850623</v>
      </c>
      <c r="E17" s="80" t="n">
        <f aca="false">E14-E15-E16</f>
        <v>944636.276443389</v>
      </c>
      <c r="F17" s="80" t="n">
        <f aca="false">F14-F15-F16</f>
        <v>1005409.69744851</v>
      </c>
      <c r="G17" s="80" t="n">
        <f aca="false">G14-G15-G16</f>
        <v>1098716.17273286</v>
      </c>
      <c r="H17" s="80" t="n">
        <f aca="false">H14-H15-H16</f>
        <v>798866.897099832</v>
      </c>
      <c r="I17" s="80" t="n">
        <f aca="false">I14-I15-I16</f>
        <v>819389.655856214</v>
      </c>
      <c r="J17" s="80" t="n">
        <f aca="false">J14-J15-J16</f>
        <v>1145141.1981122</v>
      </c>
      <c r="K17" s="80" t="n">
        <f aca="false">K14-K15-K16</f>
        <v>1211679.44269285</v>
      </c>
      <c r="L17" s="80" t="n">
        <f aca="false">L14-L15-L16</f>
        <v>1310479.46391293</v>
      </c>
      <c r="M17" s="80" t="n">
        <f aca="false">M14-M15-M16</f>
        <v>1172430.45540007</v>
      </c>
      <c r="N17" s="80" t="n">
        <f aca="false">N14-N15-N16</f>
        <v>12197918.0707396</v>
      </c>
      <c r="O17" s="80" t="str">
        <f aca="false">IF(OR(O14="",O15="",O16=""),"",O14-O15-O16)</f>
        <v/>
      </c>
      <c r="P17" s="81" t="str">
        <f aca="false">IF(OR(O17="",O17=0),"",N17/O17-1)</f>
        <v/>
      </c>
    </row>
    <row r="18" customFormat="false" ht="15" hidden="false" customHeight="false" outlineLevel="0" collapsed="false">
      <c r="A18" s="13" t="s">
        <v>607</v>
      </c>
      <c r="B18" s="22" t="n">
        <f aca="false">IFERROR(B17/B14,0)</f>
        <v>0.579958210857549</v>
      </c>
      <c r="C18" s="22" t="n">
        <f aca="false">IFERROR(C17/C14,0)</f>
        <v>0.579744084744266</v>
      </c>
      <c r="D18" s="22" t="n">
        <f aca="false">IFERROR(D17/D14,0)</f>
        <v>0.57912582160116</v>
      </c>
      <c r="E18" s="22" t="n">
        <f aca="false">IFERROR(E17/E14,0)</f>
        <v>0.579991632804064</v>
      </c>
      <c r="F18" s="22" t="n">
        <f aca="false">IFERROR(F17/F14,0)</f>
        <v>0.529204096754353</v>
      </c>
      <c r="G18" s="22" t="n">
        <f aca="false">IFERROR(G17/G14,0)</f>
        <v>0.517244756154162</v>
      </c>
      <c r="H18" s="22" t="n">
        <f aca="false">IFERROR(H17/H14,0)</f>
        <v>0.580243043775235</v>
      </c>
      <c r="I18" s="22" t="n">
        <f aca="false">IFERROR(I17/I14,0)</f>
        <v>0.579447033905988</v>
      </c>
      <c r="J18" s="22" t="n">
        <f aca="false">IFERROR(J17/J14,0)</f>
        <v>0.561208896065348</v>
      </c>
      <c r="K18" s="22" t="n">
        <f aca="false">IFERROR(K17/K14,0)</f>
        <v>0.534784669866439</v>
      </c>
      <c r="L18" s="22" t="n">
        <f aca="false">IFERROR(L17/L14,0)</f>
        <v>0.554359292818485</v>
      </c>
      <c r="M18" s="22" t="n">
        <f aca="false">IFERROR(M17/M14,0)</f>
        <v>0.473230195592083</v>
      </c>
      <c r="N18" s="22" t="n">
        <f aca="false">IFERROR(N17/N14,0)</f>
        <v>0.548595528609637</v>
      </c>
      <c r="O18" s="22" t="str">
        <f aca="false">IF(OR(O14="",O17=""),"",IFERROR(O17/O14,0))</f>
        <v/>
      </c>
      <c r="P18" s="77" t="str">
        <f aca="false">IF(O18="","",N18-O18)</f>
        <v/>
      </c>
    </row>
    <row r="19" customFormat="false" ht="15" hidden="false" customHeight="false" outlineLevel="0" collapsed="false">
      <c r="A19" s="15" t="s">
        <v>608</v>
      </c>
      <c r="B19" s="15"/>
      <c r="C19" s="15"/>
      <c r="D19" s="15"/>
      <c r="E19" s="15"/>
      <c r="F19" s="15"/>
      <c r="G19" s="15"/>
      <c r="H19" s="15"/>
      <c r="I19" s="15"/>
      <c r="J19" s="15"/>
      <c r="K19" s="15"/>
      <c r="L19" s="15"/>
      <c r="M19" s="15"/>
      <c r="N19" s="15"/>
      <c r="O19" s="15"/>
      <c r="P19" s="15"/>
    </row>
    <row r="20" customFormat="false" ht="15" hidden="false" customHeight="false" outlineLevel="0" collapsed="false">
      <c r="A20" s="13" t="s">
        <v>584</v>
      </c>
      <c r="B20" s="20" t="n">
        <f aca="false">SUMIF(Costs!$B$6:$B$57,B$4,Costs!G$6:G$57)</f>
        <v>17005.2663764483</v>
      </c>
      <c r="C20" s="20" t="n">
        <f aca="false">SUMIF(Costs!$B$6:$B$57,C$4,Costs!G$6:G$57)</f>
        <v>16794.7587847585</v>
      </c>
      <c r="D20" s="20" t="n">
        <f aca="false">SUMIF(Costs!$B$6:$B$57,D$4,Costs!G$6:G$57)</f>
        <v>23767.4125556591</v>
      </c>
      <c r="E20" s="20" t="n">
        <f aca="false">SUMIF(Costs!$B$6:$B$57,E$4,Costs!G$6:G$57)</f>
        <v>20168.0108902536</v>
      </c>
      <c r="F20" s="20" t="n">
        <f aca="false">SUMIF(Costs!$B$6:$B$57,F$4,Costs!G$6:G$57)</f>
        <v>26398.5834905916</v>
      </c>
      <c r="G20" s="20" t="n">
        <f aca="false">SUMIF(Costs!$B$6:$B$57,G$4,Costs!G$6:G$57)</f>
        <v>30261.3278213102</v>
      </c>
      <c r="H20" s="20" t="n">
        <f aca="false">SUMIF(Costs!$B$6:$B$57,H$4,Costs!G$6:G$57)</f>
        <v>17036.9226779202</v>
      </c>
      <c r="I20" s="20" t="n">
        <f aca="false">SUMIF(Costs!$B$6:$B$57,I$4,Costs!G$6:G$57)</f>
        <v>17535.0488474411</v>
      </c>
      <c r="J20" s="20" t="n">
        <f aca="false">SUMIF(Costs!$B$6:$B$57,J$4,Costs!G$6:G$57)</f>
        <v>26395.4491160151</v>
      </c>
      <c r="K20" s="20" t="n">
        <f aca="false">SUMIF(Costs!$B$6:$B$57,K$4,Costs!G$6:G$57)</f>
        <v>31053.9469207317</v>
      </c>
      <c r="L20" s="20" t="n">
        <f aca="false">SUMIF(Costs!$B$6:$B$57,L$4,Costs!G$6:G$57)</f>
        <v>31007.5370489631</v>
      </c>
      <c r="M20" s="20" t="n">
        <f aca="false">SUMIF(Costs!$B$6:$B$57,M$4,Costs!G$6:G$57)</f>
        <v>38526.4644567773</v>
      </c>
      <c r="N20" s="49" t="n">
        <f aca="false">SUM(B20:M20)</f>
        <v>295950.72898687</v>
      </c>
      <c r="O20" s="69"/>
      <c r="P20" s="22" t="str">
        <f aca="false">IF(OR(O20="",O20=0),"",N20/O20-1)</f>
        <v/>
      </c>
    </row>
    <row r="21" customFormat="false" ht="15" hidden="false" customHeight="false" outlineLevel="0" collapsed="false">
      <c r="A21" s="13" t="s">
        <v>585</v>
      </c>
      <c r="B21" s="20" t="n">
        <f aca="false">SUMIF(Costs!$B$6:$B$57,B$4,Costs!H$6:H$57)</f>
        <v>99997.5877674445</v>
      </c>
      <c r="C21" s="20" t="n">
        <f aca="false">SUMIF(Costs!$B$6:$B$57,C$4,Costs!H$6:H$57)</f>
        <v>100315.336790143</v>
      </c>
      <c r="D21" s="20" t="n">
        <f aca="false">SUMIF(Costs!$B$6:$B$57,D$4,Costs!H$6:H$57)</f>
        <v>143179.659320165</v>
      </c>
      <c r="E21" s="20" t="n">
        <f aca="false">SUMIF(Costs!$B$6:$B$57,E$4,Costs!H$6:H$57)</f>
        <v>119899.705497965</v>
      </c>
      <c r="F21" s="20" t="n">
        <f aca="false">SUMIF(Costs!$B$6:$B$57,F$4,Costs!H$6:H$57)</f>
        <v>143739.581564109</v>
      </c>
      <c r="G21" s="20" t="n">
        <f aca="false">SUMIF(Costs!$B$6:$B$57,G$4,Costs!H$6:H$57)</f>
        <v>165378.198512966</v>
      </c>
      <c r="H21" s="20" t="n">
        <f aca="false">SUMIF(Costs!$B$6:$B$57,H$4,Costs!H$6:H$57)</f>
        <v>102560.913956382</v>
      </c>
      <c r="I21" s="20" t="n">
        <f aca="false">SUMIF(Costs!$B$6:$B$57,I$4,Costs!H$6:H$57)</f>
        <v>104576.317300272</v>
      </c>
      <c r="J21" s="20" t="n">
        <f aca="false">SUMIF(Costs!$B$6:$B$57,J$4,Costs!H$6:H$57)</f>
        <v>154082.239783486</v>
      </c>
      <c r="K21" s="20" t="n">
        <f aca="false">SUMIF(Costs!$B$6:$B$57,K$4,Costs!H$6:H$57)</f>
        <v>174336.442202636</v>
      </c>
      <c r="L21" s="20" t="n">
        <f aca="false">SUMIF(Costs!$B$6:$B$57,L$4,Costs!H$6:H$57)</f>
        <v>170948.841484944</v>
      </c>
      <c r="M21" s="20" t="n">
        <f aca="false">SUMIF(Costs!$B$6:$B$57,M$4,Costs!H$6:H$57)</f>
        <v>196325.266988826</v>
      </c>
      <c r="N21" s="49" t="n">
        <f aca="false">SUM(B21:M21)</f>
        <v>1675340.09116934</v>
      </c>
      <c r="O21" s="69"/>
      <c r="P21" s="22" t="str">
        <f aca="false">IF(OR(O21="",O21=0),"",N21/O21-1)</f>
        <v/>
      </c>
    </row>
    <row r="22" customFormat="false" ht="15" hidden="false" customHeight="false" outlineLevel="0" collapsed="false">
      <c r="A22" s="13" t="s">
        <v>586</v>
      </c>
      <c r="B22" s="20" t="n">
        <f aca="false">SUMIF(Costs!$B$6:$B$57,B$4,Costs!I$6:I$57)</f>
        <v>-26189.8444152831</v>
      </c>
      <c r="C22" s="20" t="n">
        <f aca="false">SUMIF(Costs!$B$6:$B$57,C$4,Costs!I$6:I$57)</f>
        <v>-26273.0643974185</v>
      </c>
      <c r="D22" s="20" t="n">
        <f aca="false">SUMIF(Costs!$B$6:$B$57,D$4,Costs!I$6:I$57)</f>
        <v>-37499.4345838526</v>
      </c>
      <c r="E22" s="20" t="n">
        <f aca="false">SUMIF(Costs!$B$6:$B$57,E$4,Costs!I$6:I$57)</f>
        <v>-31402.3038208957</v>
      </c>
      <c r="F22" s="20" t="n">
        <f aca="false">SUMIF(Costs!$B$6:$B$57,F$4,Costs!I$6:I$57)</f>
        <v>-37646.0808858381</v>
      </c>
      <c r="G22" s="20" t="n">
        <f aca="false">SUMIF(Costs!$B$6:$B$57,G$4,Costs!I$6:I$57)</f>
        <v>-43313.3377057767</v>
      </c>
      <c r="H22" s="20" t="n">
        <f aca="false">SUMIF(Costs!$B$6:$B$57,H$4,Costs!I$6:I$57)</f>
        <v>-26861.1917504809</v>
      </c>
      <c r="I22" s="20" t="n">
        <f aca="false">SUMIF(Costs!$B$6:$B$57,I$4,Costs!I$6:I$57)</f>
        <v>-27389.0354834044</v>
      </c>
      <c r="J22" s="20" t="n">
        <f aca="false">SUMIF(Costs!$B$6:$B$57,J$4,Costs!I$6:I$57)</f>
        <v>-40354.8723242464</v>
      </c>
      <c r="K22" s="20" t="n">
        <f aca="false">SUMIF(Costs!$B$6:$B$57,K$4,Costs!I$6:I$57)</f>
        <v>-45659.5443864046</v>
      </c>
      <c r="L22" s="20" t="n">
        <f aca="false">SUMIF(Costs!$B$6:$B$57,L$4,Costs!I$6:I$57)</f>
        <v>-44772.3156270092</v>
      </c>
      <c r="M22" s="20" t="n">
        <f aca="false">SUMIF(Costs!$B$6:$B$57,M$4,Costs!I$6:I$57)</f>
        <v>-51418.5223065972</v>
      </c>
      <c r="N22" s="49" t="n">
        <f aca="false">SUM(B22:M22)</f>
        <v>-438779.547687208</v>
      </c>
      <c r="O22" s="69"/>
      <c r="P22" s="22" t="str">
        <f aca="false">IF(OR(O22="",O22=0),"",N22/O22-1)</f>
        <v/>
      </c>
    </row>
    <row r="23" customFormat="false" ht="15" hidden="false" customHeight="false" outlineLevel="0" collapsed="false">
      <c r="A23" s="13" t="s">
        <v>587</v>
      </c>
      <c r="B23" s="20" t="n">
        <f aca="false">SUMIF(Costs!$B$6:$B$57,B$4,Costs!J$6:J$57)</f>
        <v>10714.0272607976</v>
      </c>
      <c r="C23" s="20" t="n">
        <f aca="false">SUMIF(Costs!$B$6:$B$57,C$4,Costs!J$6:J$57)</f>
        <v>10748.0717989439</v>
      </c>
      <c r="D23" s="20" t="n">
        <f aca="false">SUMIF(Costs!$B$6:$B$57,D$4,Costs!J$6:J$57)</f>
        <v>15340.6777843034</v>
      </c>
      <c r="E23" s="20" t="n">
        <f aca="false">SUMIF(Costs!$B$6:$B$57,E$4,Costs!J$6:J$57)</f>
        <v>12846.3970176392</v>
      </c>
      <c r="F23" s="20" t="n">
        <f aca="false">SUMIF(Costs!$B$6:$B$57,F$4,Costs!J$6:J$57)</f>
        <v>15400.6694532974</v>
      </c>
      <c r="G23" s="20" t="n">
        <f aca="false">SUMIF(Costs!$B$6:$B$57,G$4,Costs!J$6:J$57)</f>
        <v>17719.0926978177</v>
      </c>
      <c r="H23" s="20" t="n">
        <f aca="false">SUMIF(Costs!$B$6:$B$57,H$4,Costs!J$6:J$57)</f>
        <v>10988.6693524695</v>
      </c>
      <c r="I23" s="20" t="n">
        <f aca="false">SUMIF(Costs!$B$6:$B$57,I$4,Costs!J$6:J$57)</f>
        <v>11204.6054250291</v>
      </c>
      <c r="J23" s="20" t="n">
        <f aca="false">SUMIF(Costs!$B$6:$B$57,J$4,Costs!J$6:J$57)</f>
        <v>16508.8114053735</v>
      </c>
      <c r="K23" s="20" t="n">
        <f aca="false">SUMIF(Costs!$B$6:$B$57,K$4,Costs!J$6:J$57)</f>
        <v>18678.904521711</v>
      </c>
      <c r="L23" s="20" t="n">
        <f aca="false">SUMIF(Costs!$B$6:$B$57,L$4,Costs!J$6:J$57)</f>
        <v>18315.9473019583</v>
      </c>
      <c r="M23" s="20" t="n">
        <f aca="false">SUMIF(Costs!$B$6:$B$57,M$4,Costs!J$6:J$57)</f>
        <v>21034.850034517</v>
      </c>
      <c r="N23" s="49" t="n">
        <f aca="false">SUM(B23:M23)</f>
        <v>179500.724053858</v>
      </c>
      <c r="O23" s="69"/>
      <c r="P23" s="22" t="str">
        <f aca="false">IF(OR(O23="",O23=0),"",N23/O23-1)</f>
        <v/>
      </c>
    </row>
    <row r="24" customFormat="false" ht="15" hidden="false" customHeight="false" outlineLevel="0" collapsed="false">
      <c r="A24" s="13" t="s">
        <v>588</v>
      </c>
      <c r="B24" s="20" t="n">
        <f aca="false">SUMIF(Costs!$B$6:$B$57,B$4,Costs!K$6:K$57)</f>
        <v>38747.429694012</v>
      </c>
      <c r="C24" s="20" t="n">
        <f aca="false">SUMIF(Costs!$B$6:$B$57,C$4,Costs!K$6:K$57)</f>
        <v>38538.5636367457</v>
      </c>
      <c r="D24" s="20" t="n">
        <f aca="false">SUMIF(Costs!$B$6:$B$57,D$4,Costs!K$6:K$57)</f>
        <v>54856.8281023496</v>
      </c>
      <c r="E24" s="20" t="n">
        <f aca="false">SUMIF(Costs!$B$6:$B$57,E$4,Costs!K$6:K$57)</f>
        <v>46170.5898405496</v>
      </c>
      <c r="F24" s="20" t="n">
        <f aca="false">SUMIF(Costs!$B$6:$B$57,F$4,Costs!K$6:K$57)</f>
        <v>56081.2603494772</v>
      </c>
      <c r="G24" s="20" t="n">
        <f aca="false">SUMIF(Costs!$B$6:$B$57,G$4,Costs!K$6:K$57)</f>
        <v>62935.5008767654</v>
      </c>
      <c r="H24" s="20" t="n">
        <f aca="false">SUMIF(Costs!$B$6:$B$57,H$4,Costs!K$6:K$57)</f>
        <v>39856.8671504518</v>
      </c>
      <c r="I24" s="20" t="n">
        <f aca="false">SUMIF(Costs!$B$6:$B$57,I$4,Costs!K$6:K$57)</f>
        <v>40171.6280786016</v>
      </c>
      <c r="J24" s="20" t="n">
        <f aca="false">SUMIF(Costs!$B$6:$B$57,J$4,Costs!K$6:K$57)</f>
        <v>59376.1089166899</v>
      </c>
      <c r="K24" s="20" t="n">
        <f aca="false">SUMIF(Costs!$B$6:$B$57,K$4,Costs!K$6:K$57)</f>
        <v>67191.5924074991</v>
      </c>
      <c r="L24" s="20" t="n">
        <f aca="false">SUMIF(Costs!$B$6:$B$57,L$4,Costs!K$6:K$57)</f>
        <v>65450.1417574021</v>
      </c>
      <c r="M24" s="20" t="n">
        <f aca="false">SUMIF(Costs!$B$6:$B$57,M$4,Costs!K$6:K$57)</f>
        <v>75234.1284400589</v>
      </c>
      <c r="N24" s="49" t="n">
        <f aca="false">SUM(B24:M24)</f>
        <v>644610.639250603</v>
      </c>
      <c r="O24" s="69"/>
      <c r="P24" s="22" t="str">
        <f aca="false">IF(OR(O24="",O24=0),"",N24/O24-1)</f>
        <v/>
      </c>
    </row>
    <row r="25" customFormat="false" ht="15" hidden="false" customHeight="false" outlineLevel="0" collapsed="false">
      <c r="A25" s="13" t="s">
        <v>589</v>
      </c>
      <c r="B25" s="20" t="n">
        <f aca="false">SUMIF(Costs!$B$6:$B$57,B$4,Costs!L$6:L$57)</f>
        <v>19423.1792097573</v>
      </c>
      <c r="C25" s="20" t="n">
        <f aca="false">SUMIF(Costs!$B$6:$B$57,C$4,Costs!L$6:L$57)</f>
        <v>19762.2737384647</v>
      </c>
      <c r="D25" s="20" t="n">
        <f aca="false">SUMIF(Costs!$B$6:$B$57,D$4,Costs!L$6:L$57)</f>
        <v>28478.2891156928</v>
      </c>
      <c r="E25" s="20" t="n">
        <f aca="false">SUMIF(Costs!$B$6:$B$57,E$4,Costs!L$6:L$57)</f>
        <v>23744.6582696976</v>
      </c>
      <c r="F25" s="20" t="n">
        <f aca="false">SUMIF(Costs!$B$6:$B$57,F$4,Costs!L$6:L$57)</f>
        <v>27284.4551869363</v>
      </c>
      <c r="G25" s="20" t="n">
        <f aca="false">SUMIF(Costs!$B$6:$B$57,G$4,Costs!L$6:L$57)</f>
        <v>31537.0279464961</v>
      </c>
      <c r="H25" s="20" t="n">
        <f aca="false">SUMIF(Costs!$B$6:$B$57,H$4,Costs!L$6:L$57)</f>
        <v>20379.0299637387</v>
      </c>
      <c r="I25" s="20" t="n">
        <f aca="false">SUMIF(Costs!$B$6:$B$57,I$4,Costs!L$6:L$57)</f>
        <v>20609.9319140236</v>
      </c>
      <c r="J25" s="20" t="n">
        <f aca="false">SUMIF(Costs!$B$6:$B$57,J$4,Costs!L$6:L$57)</f>
        <v>30599.3109398751</v>
      </c>
      <c r="K25" s="20" t="n">
        <f aca="false">SUMIF(Costs!$B$6:$B$57,K$4,Costs!L$6:L$57)</f>
        <v>35480.3582513182</v>
      </c>
      <c r="L25" s="20" t="n">
        <f aca="false">SUMIF(Costs!$B$6:$B$57,L$4,Costs!L$6:L$57)</f>
        <v>36148.2322604097</v>
      </c>
      <c r="M25" s="20" t="n">
        <f aca="false">SUMIF(Costs!$B$6:$B$57,M$4,Costs!L$6:L$57)</f>
        <v>36754.8767319107</v>
      </c>
      <c r="N25" s="49" t="n">
        <f aca="false">SUM(B25:M25)</f>
        <v>330201.623528321</v>
      </c>
      <c r="O25" s="69"/>
      <c r="P25" s="22" t="str">
        <f aca="false">IF(OR(O25="",O25=0),"",N25/O25-1)</f>
        <v/>
      </c>
    </row>
    <row r="26" customFormat="false" ht="15" hidden="false" customHeight="false" outlineLevel="0" collapsed="false">
      <c r="A26" s="13" t="s">
        <v>590</v>
      </c>
      <c r="B26" s="20" t="n">
        <f aca="false">SUMIF(Costs!$B$6:$B$57,B$4,Costs!M$6:M$57)</f>
        <v>8497.64090426882</v>
      </c>
      <c r="C26" s="20" t="n">
        <f aca="false">SUMIF(Costs!$B$6:$B$57,C$4,Costs!M$6:M$57)</f>
        <v>8645.99476057832</v>
      </c>
      <c r="D26" s="20" t="n">
        <f aca="false">SUMIF(Costs!$B$6:$B$57,D$4,Costs!M$6:M$57)</f>
        <v>12459.2514881156</v>
      </c>
      <c r="E26" s="20" t="n">
        <f aca="false">SUMIF(Costs!$B$6:$B$57,E$4,Costs!M$6:M$57)</f>
        <v>10388.2879929927</v>
      </c>
      <c r="F26" s="20" t="n">
        <f aca="false">SUMIF(Costs!$B$6:$B$57,F$4,Costs!M$6:M$57)</f>
        <v>11936.9491442846</v>
      </c>
      <c r="G26" s="20" t="n">
        <f aca="false">SUMIF(Costs!$B$6:$B$57,G$4,Costs!M$6:M$57)</f>
        <v>13797.4497265921</v>
      </c>
      <c r="H26" s="20" t="n">
        <f aca="false">SUMIF(Costs!$B$6:$B$57,H$4,Costs!M$6:M$57)</f>
        <v>8915.82560913567</v>
      </c>
      <c r="I26" s="20" t="n">
        <f aca="false">SUMIF(Costs!$B$6:$B$57,I$4,Costs!M$6:M$57)</f>
        <v>9016.84521238532</v>
      </c>
      <c r="J26" s="20" t="n">
        <f aca="false">SUMIF(Costs!$B$6:$B$57,J$4,Costs!M$6:M$57)</f>
        <v>13387.1985361954</v>
      </c>
      <c r="K26" s="20" t="n">
        <f aca="false">SUMIF(Costs!$B$6:$B$57,K$4,Costs!M$6:M$57)</f>
        <v>15522.6567349517</v>
      </c>
      <c r="L26" s="20" t="n">
        <f aca="false">SUMIF(Costs!$B$6:$B$57,L$4,Costs!M$6:M$57)</f>
        <v>15814.8516139292</v>
      </c>
      <c r="M26" s="20" t="n">
        <f aca="false">SUMIF(Costs!$B$6:$B$57,M$4,Costs!M$6:M$57)</f>
        <v>16080.2585702109</v>
      </c>
      <c r="N26" s="49" t="n">
        <f aca="false">SUM(B26:M26)</f>
        <v>144463.21029364</v>
      </c>
      <c r="O26" s="69"/>
      <c r="P26" s="22" t="str">
        <f aca="false">IF(OR(O26="",O26=0),"",N26/O26-1)</f>
        <v/>
      </c>
    </row>
    <row r="27" customFormat="false" ht="15" hidden="false" customHeight="false" outlineLevel="0" collapsed="false">
      <c r="A27" s="13" t="s">
        <v>591</v>
      </c>
      <c r="B27" s="20" t="n">
        <f aca="false">SUMIF(Costs!$B$6:$B$57,B$4,Costs!N$6:N$57)</f>
        <v>29474.7322167059</v>
      </c>
      <c r="C27" s="20" t="n">
        <f aca="false">SUMIF(Costs!$B$6:$B$57,C$4,Costs!N$6:N$57)</f>
        <v>29246.7848212349</v>
      </c>
      <c r="D27" s="20" t="n">
        <f aca="false">SUMIF(Costs!$B$6:$B$57,D$4,Costs!N$6:N$57)</f>
        <v>41475.1754485077</v>
      </c>
      <c r="E27" s="20" t="n">
        <f aca="false">SUMIF(Costs!$B$6:$B$57,E$4,Costs!N$6:N$57)</f>
        <v>35210.1287506381</v>
      </c>
      <c r="F27" s="20" t="n">
        <f aca="false">SUMIF(Costs!$B$6:$B$57,F$4,Costs!N$6:N$57)</f>
        <v>40527.4455199625</v>
      </c>
      <c r="G27" s="20" t="n">
        <f aca="false">SUMIF(Costs!$B$6:$B$57,G$4,Costs!N$6:N$57)</f>
        <v>45373.6448384097</v>
      </c>
      <c r="H27" s="20" t="n">
        <f aca="false">SUMIF(Costs!$B$6:$B$57,H$4,Costs!N$6:N$57)</f>
        <v>29798.2909454412</v>
      </c>
      <c r="I27" s="20" t="n">
        <f aca="false">SUMIF(Costs!$B$6:$B$57,I$4,Costs!N$6:N$57)</f>
        <v>30519.8123619644</v>
      </c>
      <c r="J27" s="20" t="n">
        <f aca="false">SUMIF(Costs!$B$6:$B$57,J$4,Costs!N$6:N$57)</f>
        <v>44163.0900449408</v>
      </c>
      <c r="K27" s="20" t="n">
        <f aca="false">SUMIF(Costs!$B$6:$B$57,K$4,Costs!N$6:N$57)</f>
        <v>49449.0464168898</v>
      </c>
      <c r="L27" s="20" t="n">
        <f aca="false">SUMIF(Costs!$B$6:$B$57,L$4,Costs!N$6:N$57)</f>
        <v>52342.0687427093</v>
      </c>
      <c r="M27" s="20" t="n">
        <f aca="false">SUMIF(Costs!$B$6:$B$57,M$4,Costs!N$6:N$57)</f>
        <v>52584.7202816001</v>
      </c>
      <c r="N27" s="49" t="n">
        <f aca="false">SUM(B27:M27)</f>
        <v>480164.940389004</v>
      </c>
      <c r="O27" s="69"/>
      <c r="P27" s="22" t="str">
        <f aca="false">IF(OR(O27="",O27=0),"",N27/O27-1)</f>
        <v/>
      </c>
    </row>
    <row r="28" customFormat="false" ht="15" hidden="false" customHeight="false" outlineLevel="0" collapsed="false">
      <c r="A28" s="13" t="s">
        <v>592</v>
      </c>
      <c r="B28" s="20" t="n">
        <f aca="false">SUMIF(Costs!$B$6:$B$57,B$4,Costs!O$6:O$57)</f>
        <v>9813.23552311661</v>
      </c>
      <c r="C28" s="20" t="n">
        <f aca="false">SUMIF(Costs!$B$6:$B$57,C$4,Costs!O$6:O$57)</f>
        <v>9892.96713277332</v>
      </c>
      <c r="D28" s="20" t="n">
        <f aca="false">SUMIF(Costs!$B$6:$B$57,D$4,Costs!O$6:O$57)</f>
        <v>13819.2160720389</v>
      </c>
      <c r="E28" s="20" t="n">
        <f aca="false">SUMIF(Costs!$B$6:$B$57,E$4,Costs!O$6:O$57)</f>
        <v>11865.392443639</v>
      </c>
      <c r="F28" s="20" t="n">
        <f aca="false">SUMIF(Costs!$B$6:$B$57,F$4,Costs!O$6:O$57)</f>
        <v>13007.3024006311</v>
      </c>
      <c r="G28" s="20" t="n">
        <f aca="false">SUMIF(Costs!$B$6:$B$57,G$4,Costs!O$6:O$57)</f>
        <v>15144.8527525876</v>
      </c>
      <c r="H28" s="20" t="n">
        <f aca="false">SUMIF(Costs!$B$6:$B$57,H$4,Costs!O$6:O$57)</f>
        <v>9645.95028392108</v>
      </c>
      <c r="I28" s="20" t="n">
        <f aca="false">SUMIF(Costs!$B$6:$B$57,I$4,Costs!O$6:O$57)</f>
        <v>10158.2816111016</v>
      </c>
      <c r="J28" s="20" t="n">
        <f aca="false">SUMIF(Costs!$B$6:$B$57,J$4,Costs!O$6:O$57)</f>
        <v>14578.6911312188</v>
      </c>
      <c r="K28" s="20" t="n">
        <f aca="false">SUMIF(Costs!$B$6:$B$57,K$4,Costs!O$6:O$57)</f>
        <v>16047.2958369988</v>
      </c>
      <c r="L28" s="20" t="n">
        <f aca="false">SUMIF(Costs!$B$6:$B$57,L$4,Costs!O$6:O$57)</f>
        <v>17031.567952297</v>
      </c>
      <c r="M28" s="20" t="n">
        <f aca="false">SUMIF(Costs!$B$6:$B$57,M$4,Costs!O$6:O$57)</f>
        <v>16816.8100328525</v>
      </c>
      <c r="N28" s="49" t="n">
        <f aca="false">SUM(B28:M28)</f>
        <v>157821.563173176</v>
      </c>
      <c r="O28" s="69"/>
      <c r="P28" s="22" t="str">
        <f aca="false">IF(OR(O28="",O28=0),"",N28/O28-1)</f>
        <v/>
      </c>
    </row>
    <row r="29" customFormat="false" ht="15" hidden="false" customHeight="false" outlineLevel="0" collapsed="false">
      <c r="A29" s="13" t="s">
        <v>593</v>
      </c>
      <c r="B29" s="20" t="n">
        <f aca="false">SUMIF(Costs!$B$6:$B$57,B$4,Costs!P$6:P$57)</f>
        <v>9999.75877674445</v>
      </c>
      <c r="C29" s="20" t="n">
        <f aca="false">SUMIF(Costs!$B$6:$B$57,C$4,Costs!P$6:P$57)</f>
        <v>10031.5336790143</v>
      </c>
      <c r="D29" s="20" t="n">
        <f aca="false">SUMIF(Costs!$B$6:$B$57,D$4,Costs!P$6:P$57)</f>
        <v>14317.9659320165</v>
      </c>
      <c r="E29" s="20" t="n">
        <f aca="false">SUMIF(Costs!$B$6:$B$57,E$4,Costs!P$6:P$57)</f>
        <v>11989.9705497965</v>
      </c>
      <c r="F29" s="20" t="n">
        <f aca="false">SUMIF(Costs!$B$6:$B$57,F$4,Costs!P$6:P$57)</f>
        <v>14373.9581564109</v>
      </c>
      <c r="G29" s="20" t="n">
        <f aca="false">SUMIF(Costs!$B$6:$B$57,G$4,Costs!P$6:P$57)</f>
        <v>16537.8198512966</v>
      </c>
      <c r="H29" s="20" t="n">
        <f aca="false">SUMIF(Costs!$B$6:$B$57,H$4,Costs!P$6:P$57)</f>
        <v>10256.0913956382</v>
      </c>
      <c r="I29" s="20" t="n">
        <f aca="false">SUMIF(Costs!$B$6:$B$57,I$4,Costs!P$6:P$57)</f>
        <v>10457.6317300272</v>
      </c>
      <c r="J29" s="20" t="n">
        <f aca="false">SUMIF(Costs!$B$6:$B$57,J$4,Costs!P$6:P$57)</f>
        <v>15408.2239783486</v>
      </c>
      <c r="K29" s="20" t="n">
        <f aca="false">SUMIF(Costs!$B$6:$B$57,K$4,Costs!P$6:P$57)</f>
        <v>17433.6442202636</v>
      </c>
      <c r="L29" s="20" t="n">
        <f aca="false">SUMIF(Costs!$B$6:$B$57,L$4,Costs!P$6:P$57)</f>
        <v>17094.8841484944</v>
      </c>
      <c r="M29" s="20" t="n">
        <f aca="false">SUMIF(Costs!$B$6:$B$57,M$4,Costs!P$6:P$57)</f>
        <v>19632.5266988826</v>
      </c>
      <c r="N29" s="49" t="n">
        <f aca="false">SUM(B29:M29)</f>
        <v>167534.009116934</v>
      </c>
      <c r="O29" s="69"/>
      <c r="P29" s="22" t="str">
        <f aca="false">IF(OR(O29="",O29=0),"",N29/O29-1)</f>
        <v/>
      </c>
    </row>
    <row r="30" customFormat="false" ht="15" hidden="false" customHeight="false" outlineLevel="0" collapsed="false">
      <c r="A30" s="13" t="s">
        <v>594</v>
      </c>
      <c r="B30" s="20" t="n">
        <f aca="false">SUMIF(Costs!$B$6:$B$57,B$4,Costs!Q$6:Q$57)</f>
        <v>2763.25614531617</v>
      </c>
      <c r="C30" s="20" t="n">
        <f aca="false">SUMIF(Costs!$B$6:$B$57,C$4,Costs!Q$6:Q$57)</f>
        <v>2741.88607699077</v>
      </c>
      <c r="D30" s="20" t="n">
        <f aca="false">SUMIF(Costs!$B$6:$B$57,D$4,Costs!Q$6:Q$57)</f>
        <v>3888.29769829759</v>
      </c>
      <c r="E30" s="20" t="n">
        <f aca="false">SUMIF(Costs!$B$6:$B$57,E$4,Costs!Q$6:Q$57)</f>
        <v>3300.94957037232</v>
      </c>
      <c r="F30" s="20" t="n">
        <f aca="false">SUMIF(Costs!$B$6:$B$57,F$4,Costs!Q$6:Q$57)</f>
        <v>3799.44801749649</v>
      </c>
      <c r="G30" s="20" t="n">
        <f aca="false">SUMIF(Costs!$B$6:$B$57,G$4,Costs!Q$6:Q$57)</f>
        <v>4253.77920360091</v>
      </c>
      <c r="H30" s="20" t="n">
        <f aca="false">SUMIF(Costs!$B$6:$B$57,H$4,Costs!Q$6:Q$57)</f>
        <v>2793.58977613512</v>
      </c>
      <c r="I30" s="20" t="n">
        <f aca="false">SUMIF(Costs!$B$6:$B$57,I$4,Costs!Q$6:Q$57)</f>
        <v>2861.23240893416</v>
      </c>
      <c r="J30" s="20" t="n">
        <f aca="false">SUMIF(Costs!$B$6:$B$57,J$4,Costs!Q$6:Q$57)</f>
        <v>4140.2896917132</v>
      </c>
      <c r="K30" s="20" t="n">
        <f aca="false">SUMIF(Costs!$B$6:$B$57,K$4,Costs!Q$6:Q$57)</f>
        <v>4635.84810158342</v>
      </c>
      <c r="L30" s="20" t="n">
        <f aca="false">SUMIF(Costs!$B$6:$B$57,L$4,Costs!Q$6:Q$57)</f>
        <v>4907.068944629</v>
      </c>
      <c r="M30" s="20" t="n">
        <f aca="false">SUMIF(Costs!$B$6:$B$57,M$4,Costs!Q$6:Q$57)</f>
        <v>4929.81752640001</v>
      </c>
      <c r="N30" s="49" t="n">
        <f aca="false">SUM(B30:M30)</f>
        <v>45015.4631614692</v>
      </c>
      <c r="O30" s="69"/>
      <c r="P30" s="22" t="str">
        <f aca="false">IF(OR(O30="",O30=0),"",N30/O30-1)</f>
        <v/>
      </c>
    </row>
    <row r="31" customFormat="false" ht="15" hidden="false" customHeight="false" outlineLevel="0" collapsed="false">
      <c r="A31" s="13" t="s">
        <v>595</v>
      </c>
      <c r="B31" s="49" t="n">
        <f aca="false">SUM(B20:B30)</f>
        <v>220246.269459328</v>
      </c>
      <c r="C31" s="49" t="n">
        <f aca="false">SUM(C20:C30)</f>
        <v>220445.106822229</v>
      </c>
      <c r="D31" s="49" t="n">
        <f aca="false">SUM(D20:D30)</f>
        <v>314083.338933293</v>
      </c>
      <c r="E31" s="49" t="n">
        <f aca="false">SUM(E20:E30)</f>
        <v>264181.787002648</v>
      </c>
      <c r="F31" s="49" t="n">
        <f aca="false">SUM(F20:F30)</f>
        <v>314903.572397359</v>
      </c>
      <c r="G31" s="49" t="n">
        <f aca="false">SUM(G20:G30)</f>
        <v>359625.356522065</v>
      </c>
      <c r="H31" s="49" t="n">
        <f aca="false">SUM(H20:H30)</f>
        <v>225370.959360752</v>
      </c>
      <c r="I31" s="49" t="n">
        <f aca="false">SUM(I20:I30)</f>
        <v>229722.299406375</v>
      </c>
      <c r="J31" s="49" t="n">
        <f aca="false">SUM(J20:J30)</f>
        <v>338284.54121961</v>
      </c>
      <c r="K31" s="49" t="n">
        <f aca="false">SUM(K20:K30)</f>
        <v>384170.191228178</v>
      </c>
      <c r="L31" s="49" t="n">
        <f aca="false">SUM(L20:L30)</f>
        <v>384288.825628727</v>
      </c>
      <c r="M31" s="49" t="n">
        <f aca="false">SUM(M20:M30)</f>
        <v>426501.197455439</v>
      </c>
      <c r="N31" s="49" t="n">
        <f aca="false">SUM(N20:N30)</f>
        <v>3681823.44543601</v>
      </c>
      <c r="O31" s="49" t="str">
        <f aca="false">IF(COUNT(O20:O30)=0,"",SUM(O20:O30))</f>
        <v/>
      </c>
      <c r="P31" s="22" t="str">
        <f aca="false">IF(OR(O31="",O31=0),"",N31/O31-1)</f>
        <v/>
      </c>
    </row>
    <row r="32" customFormat="false" ht="15" hidden="false" customHeight="false" outlineLevel="0" collapsed="false">
      <c r="A32" s="78" t="s">
        <v>596</v>
      </c>
      <c r="B32" s="80" t="n">
        <f aca="false">B17-B31</f>
        <v>575789.219070253</v>
      </c>
      <c r="C32" s="80" t="n">
        <f aca="false">C17-C31</f>
        <v>565299.930626678</v>
      </c>
      <c r="D32" s="80" t="n">
        <f aca="false">D17-D31</f>
        <v>795304.946129002</v>
      </c>
      <c r="E32" s="80" t="n">
        <f aca="false">E17-E31</f>
        <v>680454.489440741</v>
      </c>
      <c r="F32" s="80" t="n">
        <f aca="false">F17-F31</f>
        <v>690506.125051154</v>
      </c>
      <c r="G32" s="80" t="n">
        <f aca="false">G17-G31</f>
        <v>739090.816210793</v>
      </c>
      <c r="H32" s="80" t="n">
        <f aca="false">H17-H31</f>
        <v>573495.937739079</v>
      </c>
      <c r="I32" s="80" t="n">
        <f aca="false">I17-I31</f>
        <v>589667.356449839</v>
      </c>
      <c r="J32" s="80" t="n">
        <f aca="false">J17-J31</f>
        <v>806856.656892589</v>
      </c>
      <c r="K32" s="80" t="n">
        <f aca="false">K17-K31</f>
        <v>827509.25146467</v>
      </c>
      <c r="L32" s="80" t="n">
        <f aca="false">L17-L31</f>
        <v>926190.638284203</v>
      </c>
      <c r="M32" s="80" t="n">
        <f aca="false">M17-M31</f>
        <v>745929.257944635</v>
      </c>
      <c r="N32" s="80" t="n">
        <f aca="false">N17-N31</f>
        <v>8516094.62530364</v>
      </c>
      <c r="O32" s="80" t="str">
        <f aca="false">IF(OR(O17="",O31=""),"",O17-O31)</f>
        <v/>
      </c>
      <c r="P32" s="81" t="str">
        <f aca="false">IF(OR(O32="",O32=0),"",N32/O32-1)</f>
        <v/>
      </c>
    </row>
    <row r="33" customFormat="false" ht="15" hidden="false" customHeight="false" outlineLevel="0" collapsed="false">
      <c r="A33" s="13" t="s">
        <v>88</v>
      </c>
      <c r="B33" s="20" t="n">
        <f aca="false">SUMIF(Costs!$B$6:$B$57,B$4,Costs!T$6:T$57)</f>
        <v>196594.645437685</v>
      </c>
      <c r="C33" s="20" t="n">
        <f aca="false">SUMIF(Costs!$B$6:$B$57,C$4,Costs!T$6:T$57)</f>
        <v>194873.393779044</v>
      </c>
      <c r="D33" s="20" t="n">
        <f aca="false">SUMIF(Costs!$B$6:$B$57,D$4,Costs!T$6:T$57)</f>
        <v>275737.788502826</v>
      </c>
      <c r="E33" s="20" t="n">
        <f aca="false">SUMIF(Costs!$B$6:$B$57,E$4,Costs!T$6:T$57)</f>
        <v>234148.114251736</v>
      </c>
      <c r="F33" s="20" t="n">
        <f aca="false">SUMIF(Costs!$B$6:$B$57,F$4,Costs!T$6:T$57)</f>
        <v>256240.387618512</v>
      </c>
      <c r="G33" s="20" t="n">
        <f aca="false">SUMIF(Costs!$B$6:$B$57,G$4,Costs!T$6:T$57)</f>
        <v>301285.748170876</v>
      </c>
      <c r="H33" s="20" t="n">
        <f aca="false">SUMIF(Costs!$B$6:$B$57,H$4,Costs!T$6:T$57)</f>
        <v>202922.598944481</v>
      </c>
      <c r="I33" s="20" t="n">
        <f aca="false">SUMIF(Costs!$B$6:$B$57,I$4,Costs!T$6:T$57)</f>
        <v>203398.388273848</v>
      </c>
      <c r="J33" s="20" t="n">
        <f aca="false">SUMIF(Costs!$B$6:$B$57,J$4,Costs!T$6:T$57)</f>
        <v>281669.089384682</v>
      </c>
      <c r="K33" s="20" t="n">
        <f aca="false">SUMIF(Costs!$B$6:$B$57,K$4,Costs!T$6:T$57)</f>
        <v>284222.450398054</v>
      </c>
      <c r="L33" s="20" t="n">
        <f aca="false">SUMIF(Costs!$B$6:$B$57,L$4,Costs!T$6:T$57)</f>
        <v>297013.022536651</v>
      </c>
      <c r="M33" s="20" t="n">
        <f aca="false">SUMIF(Costs!$B$6:$B$57,M$4,Costs!T$6:T$57)</f>
        <v>321894.372701606</v>
      </c>
      <c r="N33" s="49" t="n">
        <f aca="false">SUM(B33:M33)</f>
        <v>3050000</v>
      </c>
      <c r="O33" s="20" t="n">
        <f aca="false">'History Y-1'!P58+'History Y-1'!Q58+'History Y-1'!R58</f>
        <v>2891307.12</v>
      </c>
      <c r="P33" s="22" t="n">
        <f aca="false">IF(OR(O33="",O33=0),"",N33/O33-1)</f>
        <v>0.0548862066233904</v>
      </c>
    </row>
    <row r="34" customFormat="false" ht="15" hidden="false" customHeight="false" outlineLevel="0" collapsed="false">
      <c r="A34" s="78" t="s">
        <v>89</v>
      </c>
      <c r="B34" s="80" t="n">
        <f aca="false">B32-B33</f>
        <v>379194.573632568</v>
      </c>
      <c r="C34" s="80" t="n">
        <f aca="false">C32-C33</f>
        <v>370426.536847635</v>
      </c>
      <c r="D34" s="80" t="n">
        <f aca="false">D32-D33</f>
        <v>519567.157626176</v>
      </c>
      <c r="E34" s="80" t="n">
        <f aca="false">E32-E33</f>
        <v>446306.375189005</v>
      </c>
      <c r="F34" s="80" t="n">
        <f aca="false">F32-F33</f>
        <v>434265.737432642</v>
      </c>
      <c r="G34" s="80" t="n">
        <f aca="false">G32-G33</f>
        <v>437805.068039917</v>
      </c>
      <c r="H34" s="80" t="n">
        <f aca="false">H32-H33</f>
        <v>370573.338794598</v>
      </c>
      <c r="I34" s="80" t="n">
        <f aca="false">I32-I33</f>
        <v>386268.968175991</v>
      </c>
      <c r="J34" s="80" t="n">
        <f aca="false">J32-J33</f>
        <v>525187.567507907</v>
      </c>
      <c r="K34" s="80" t="n">
        <f aca="false">K32-K33</f>
        <v>543286.801066616</v>
      </c>
      <c r="L34" s="80" t="n">
        <f aca="false">L32-L33</f>
        <v>629177.615747552</v>
      </c>
      <c r="M34" s="80" t="n">
        <f aca="false">M32-M33</f>
        <v>424034.885243029</v>
      </c>
      <c r="N34" s="80" t="n">
        <f aca="false">N32-N33</f>
        <v>5466094.62530364</v>
      </c>
      <c r="O34" s="80" t="str">
        <f aca="false">IF(OR(O32="",O33=""),"",O32-O33)</f>
        <v/>
      </c>
      <c r="P34" s="81" t="str">
        <f aca="false">IF(OR(O34="",O34=0),"",N34/O34-1)</f>
        <v/>
      </c>
    </row>
    <row r="35" customFormat="false" ht="15" hidden="false" customHeight="false" outlineLevel="0" collapsed="false">
      <c r="A35" s="13" t="s">
        <v>93</v>
      </c>
      <c r="B35" s="22" t="n">
        <f aca="false">IFERROR(B34/B14,0)</f>
        <v>0.276265329447888</v>
      </c>
      <c r="C35" s="22" t="n">
        <f aca="false">IFERROR(C34/C14,0)</f>
        <v>0.273310785731414</v>
      </c>
      <c r="D35" s="22" t="n">
        <f aca="false">IFERROR(D34/D14,0)</f>
        <v>0.271225828764131</v>
      </c>
      <c r="E35" s="22" t="n">
        <f aca="false">IFERROR(E34/E14,0)</f>
        <v>0.274025008071186</v>
      </c>
      <c r="F35" s="22" t="n">
        <f aca="false">IFERROR(F34/F14,0)</f>
        <v>0.22857866590368</v>
      </c>
      <c r="G35" s="22" t="n">
        <f aca="false">IFERROR(G34/G14,0)</f>
        <v>0.206106346007544</v>
      </c>
      <c r="H35" s="22" t="n">
        <f aca="false">IFERROR(H34/H14,0)</f>
        <v>0.26915948429549</v>
      </c>
      <c r="I35" s="22" t="n">
        <f aca="false">IFERROR(I34/I14,0)</f>
        <v>0.273157473126291</v>
      </c>
      <c r="J35" s="22" t="n">
        <f aca="false">IFERROR(J34/J14,0)</f>
        <v>0.2573830506441</v>
      </c>
      <c r="K35" s="22" t="n">
        <f aca="false">IFERROR(K34/K14,0)</f>
        <v>0.239784090011053</v>
      </c>
      <c r="L35" s="22" t="n">
        <f aca="false">IFERROR(L34/L14,0)</f>
        <v>0.266154844641051</v>
      </c>
      <c r="M35" s="22" t="n">
        <f aca="false">IFERROR(M34/M14,0)</f>
        <v>0.171153956942334</v>
      </c>
      <c r="N35" s="22" t="n">
        <f aca="false">IFERROR(N34/N14,0)</f>
        <v>0.245834990283462</v>
      </c>
      <c r="O35" s="22" t="str">
        <f aca="false">IF(OR(O14="",O34=""),"",IFERROR(O34/O14,0))</f>
        <v/>
      </c>
      <c r="P35" s="77" t="str">
        <f aca="false">IF(O35="","",N35-O35)</f>
        <v/>
      </c>
    </row>
    <row r="36" customFormat="false" ht="15" hidden="false" customHeight="false" outlineLevel="0" collapsed="false">
      <c r="A36" s="13" t="s">
        <v>490</v>
      </c>
      <c r="B36" s="20" t="n">
        <f aca="false">SUMIF(Costs!$B$6:$B$57,B$4,Costs!V$6:V$57)</f>
        <v>101330.769230769</v>
      </c>
      <c r="C36" s="20" t="n">
        <f aca="false">SUMIF(Costs!$B$6:$B$57,C$4,Costs!V$6:V$57)</f>
        <v>101330.769230769</v>
      </c>
      <c r="D36" s="20" t="n">
        <f aca="false">SUMIF(Costs!$B$6:$B$57,D$4,Costs!V$6:V$57)</f>
        <v>126663.461538462</v>
      </c>
      <c r="E36" s="20" t="n">
        <f aca="false">SUMIF(Costs!$B$6:$B$57,E$4,Costs!V$6:V$57)</f>
        <v>101330.769230769</v>
      </c>
      <c r="F36" s="20" t="n">
        <f aca="false">SUMIF(Costs!$B$6:$B$57,F$4,Costs!V$6:V$57)</f>
        <v>101330.769230769</v>
      </c>
      <c r="G36" s="20" t="n">
        <f aca="false">SUMIF(Costs!$B$6:$B$57,G$4,Costs!V$6:V$57)</f>
        <v>126663.461538462</v>
      </c>
      <c r="H36" s="20" t="n">
        <f aca="false">SUMIF(Costs!$B$6:$B$57,H$4,Costs!V$6:V$57)</f>
        <v>101330.769230769</v>
      </c>
      <c r="I36" s="20" t="n">
        <f aca="false">SUMIF(Costs!$B$6:$B$57,I$4,Costs!V$6:V$57)</f>
        <v>101330.769230769</v>
      </c>
      <c r="J36" s="20" t="n">
        <f aca="false">SUMIF(Costs!$B$6:$B$57,J$4,Costs!V$6:V$57)</f>
        <v>126663.461538462</v>
      </c>
      <c r="K36" s="20" t="n">
        <f aca="false">SUMIF(Costs!$B$6:$B$57,K$4,Costs!V$6:V$57)</f>
        <v>101330.769230769</v>
      </c>
      <c r="L36" s="20" t="n">
        <f aca="false">SUMIF(Costs!$B$6:$B$57,L$4,Costs!V$6:V$57)</f>
        <v>101330.769230769</v>
      </c>
      <c r="M36" s="20" t="n">
        <f aca="false">SUMIF(Costs!$B$6:$B$57,M$4,Costs!V$6:V$57)</f>
        <v>126663.461538462</v>
      </c>
      <c r="N36" s="49" t="n">
        <f aca="false">SUM(B36:M36)</f>
        <v>1317300</v>
      </c>
      <c r="O36" s="69"/>
      <c r="P36" s="22" t="str">
        <f aca="false">IF(OR(O36="",O36=0),"",N36/O36-1)</f>
        <v/>
      </c>
    </row>
    <row r="37" customFormat="false" ht="15" hidden="false" customHeight="false" outlineLevel="0" collapsed="false">
      <c r="A37" s="78" t="s">
        <v>90</v>
      </c>
      <c r="B37" s="80" t="n">
        <f aca="false">B34-B36</f>
        <v>277863.804401799</v>
      </c>
      <c r="C37" s="80" t="n">
        <f aca="false">C34-C36</f>
        <v>269095.767616865</v>
      </c>
      <c r="D37" s="80" t="n">
        <f aca="false">D34-D36</f>
        <v>392903.696087714</v>
      </c>
      <c r="E37" s="80" t="n">
        <f aca="false">E34-E36</f>
        <v>344975.605958236</v>
      </c>
      <c r="F37" s="80" t="n">
        <f aca="false">F34-F36</f>
        <v>332934.968201873</v>
      </c>
      <c r="G37" s="80" t="n">
        <f aca="false">G34-G36</f>
        <v>311141.606501456</v>
      </c>
      <c r="H37" s="80" t="n">
        <f aca="false">H34-H36</f>
        <v>269242.569563829</v>
      </c>
      <c r="I37" s="80" t="n">
        <f aca="false">I34-I36</f>
        <v>284938.198945222</v>
      </c>
      <c r="J37" s="80" t="n">
        <f aca="false">J34-J36</f>
        <v>398524.105969446</v>
      </c>
      <c r="K37" s="80" t="n">
        <f aca="false">K34-K36</f>
        <v>441956.031835847</v>
      </c>
      <c r="L37" s="80" t="n">
        <f aca="false">L34-L36</f>
        <v>527846.846516783</v>
      </c>
      <c r="M37" s="80" t="n">
        <f aca="false">M34-M36</f>
        <v>297371.423704567</v>
      </c>
      <c r="N37" s="80" t="n">
        <f aca="false">N34-N36</f>
        <v>4148794.62530364</v>
      </c>
      <c r="O37" s="80" t="str">
        <f aca="false">IF(OR(O34="",O36=""),"",O34-O36)</f>
        <v/>
      </c>
      <c r="P37" s="81" t="str">
        <f aca="false">IF(OR(O37="",O37=0),"",N37/O37-1)</f>
        <v/>
      </c>
    </row>
    <row r="38" customFormat="false" ht="15" hidden="false" customHeight="false" outlineLevel="0" collapsed="false">
      <c r="A38" s="13" t="s">
        <v>609</v>
      </c>
      <c r="B38" s="22" t="n">
        <f aca="false">IFERROR(B37/B14,0)</f>
        <v>0.202439963023019</v>
      </c>
      <c r="C38" s="22" t="n">
        <f aca="false">IFERROR(C37/C14,0)</f>
        <v>0.198546184920372</v>
      </c>
      <c r="D38" s="22" t="n">
        <f aca="false">IFERROR(D37/D14,0)</f>
        <v>0.205104631868502</v>
      </c>
      <c r="E38" s="22" t="n">
        <f aca="false">IFERROR(E37/E14,0)</f>
        <v>0.21180952919849</v>
      </c>
      <c r="F38" s="22" t="n">
        <f aca="false">IFERROR(F37/F14,0)</f>
        <v>0.175242540003682</v>
      </c>
      <c r="G38" s="22" t="n">
        <f aca="false">IFERROR(G37/G14,0)</f>
        <v>0.146476741107724</v>
      </c>
      <c r="H38" s="22" t="n">
        <f aca="false">IFERROR(H37/H14,0)</f>
        <v>0.195559646600376</v>
      </c>
      <c r="I38" s="22" t="n">
        <f aca="false">IFERROR(I37/I14,0)</f>
        <v>0.201499485678516</v>
      </c>
      <c r="J38" s="22" t="n">
        <f aca="false">IFERROR(J37/J14,0)</f>
        <v>0.195308031826333</v>
      </c>
      <c r="K38" s="22" t="n">
        <f aca="false">IFERROR(K37/K14,0)</f>
        <v>0.195060923089976</v>
      </c>
      <c r="L38" s="22" t="n">
        <f aca="false">IFERROR(L37/L14,0)</f>
        <v>0.223289881764185</v>
      </c>
      <c r="M38" s="22" t="n">
        <f aca="false">IFERROR(M37/M14,0)</f>
        <v>0.120028558073569</v>
      </c>
      <c r="N38" s="22" t="n">
        <f aca="false">IFERROR(N37/N14,0)</f>
        <v>0.186590053102665</v>
      </c>
      <c r="O38" s="22" t="str">
        <f aca="false">IF(OR(O14="",O37=""),"",IFERROR(O37/O14,0))</f>
        <v/>
      </c>
      <c r="P38" s="77" t="str">
        <f aca="false">IF(O38="","",N38-O38)</f>
        <v/>
      </c>
    </row>
    <row r="40" customFormat="false" ht="15" hidden="false" customHeight="false" outlineLevel="0" collapsed="false">
      <c r="A40" s="15" t="s">
        <v>610</v>
      </c>
      <c r="B40" s="15"/>
      <c r="C40" s="15"/>
      <c r="D40" s="15"/>
      <c r="E40" s="15"/>
      <c r="F40" s="15"/>
      <c r="G40" s="15"/>
      <c r="H40" s="15"/>
      <c r="I40" s="15"/>
      <c r="J40" s="15"/>
      <c r="K40" s="15"/>
      <c r="L40" s="15"/>
      <c r="M40" s="15"/>
      <c r="N40" s="15"/>
      <c r="O40" s="15"/>
      <c r="P40" s="15"/>
    </row>
    <row r="41" customFormat="false" ht="15" hidden="false" customHeight="false" outlineLevel="0" collapsed="false">
      <c r="A41" s="13" t="s">
        <v>91</v>
      </c>
      <c r="B41" s="21" t="n">
        <f aca="false">SUMIF('Sales Build'!$B$6:$B$57,B$4,'Sales Build'!X$6:X$57)</f>
        <v>8448.14084906222</v>
      </c>
      <c r="C41" s="21" t="n">
        <f aca="false">SUMIF('Sales Build'!$B$6:$B$57,C$4,'Sales Build'!X$6:X$57)</f>
        <v>8418.18857612618</v>
      </c>
      <c r="D41" s="21" t="n">
        <f aca="false">SUMIF('Sales Build'!$B$6:$B$57,D$4,'Sales Build'!X$6:X$57)</f>
        <v>12546.5947714368</v>
      </c>
      <c r="E41" s="21" t="n">
        <f aca="false">SUMIF('Sales Build'!$B$6:$B$57,E$4,'Sales Build'!X$6:X$57)</f>
        <v>9984.37555739079</v>
      </c>
      <c r="F41" s="21" t="n">
        <f aca="false">SUMIF('Sales Build'!$B$6:$B$57,F$4,'Sales Build'!X$6:X$57)</f>
        <v>13244.825831308</v>
      </c>
      <c r="G41" s="21" t="n">
        <f aca="false">SUMIF('Sales Build'!$B$6:$B$57,G$4,'Sales Build'!X$6:X$57)</f>
        <v>15780.2852584298</v>
      </c>
      <c r="H41" s="21" t="n">
        <f aca="false">SUMIF('Sales Build'!$B$6:$B$57,H$4,'Sales Build'!X$6:X$57)</f>
        <v>8541.81680125012</v>
      </c>
      <c r="I41" s="21" t="n">
        <f aca="false">SUMIF('Sales Build'!$B$6:$B$57,I$4,'Sales Build'!X$6:X$57)</f>
        <v>8663.49474638281</v>
      </c>
      <c r="J41" s="21" t="n">
        <f aca="false">SUMIF('Sales Build'!$B$6:$B$57,J$4,'Sales Build'!X$6:X$57)</f>
        <v>13634.0044895793</v>
      </c>
      <c r="K41" s="21" t="n">
        <f aca="false">SUMIF('Sales Build'!$B$6:$B$57,K$4,'Sales Build'!X$6:X$57)</f>
        <v>16389.9535562904</v>
      </c>
      <c r="L41" s="21" t="n">
        <f aca="false">SUMIF('Sales Build'!$B$6:$B$57,L$4,'Sales Build'!X$6:X$57)</f>
        <v>15674.3399031086</v>
      </c>
      <c r="M41" s="21" t="n">
        <f aca="false">SUMIF('Sales Build'!$B$6:$B$57,M$4,'Sales Build'!X$6:X$57)</f>
        <v>19849.6962328477</v>
      </c>
      <c r="N41" s="55" t="n">
        <f aca="false">SUM(B41:M41)</f>
        <v>151175.716573213</v>
      </c>
      <c r="O41" s="21" t="n">
        <f aca="false">'History Y-1'!O58</f>
        <v>145175</v>
      </c>
      <c r="P41" s="22" t="n">
        <f aca="false">IF(OR(O41="",O41=0),"",N41/O41-1)</f>
        <v>0.0413343659253502</v>
      </c>
    </row>
    <row r="42" customFormat="false" ht="15" hidden="false" customHeight="false" outlineLevel="0" collapsed="false">
      <c r="A42" s="13" t="s">
        <v>611</v>
      </c>
      <c r="B42" s="55" t="n">
        <f aca="false">B7-B41</f>
        <v>15360.8086193769</v>
      </c>
      <c r="C42" s="55" t="n">
        <f aca="false">C7-C41</f>
        <v>15466.415421527</v>
      </c>
      <c r="D42" s="55" t="n">
        <f aca="false">D7-D41</f>
        <v>21543.8003047929</v>
      </c>
      <c r="E42" s="55" t="n">
        <f aca="false">E7-E41</f>
        <v>18563.1733706962</v>
      </c>
      <c r="F42" s="55" t="n">
        <f aca="false">F7-F41</f>
        <v>20978.8840649085</v>
      </c>
      <c r="G42" s="55" t="n">
        <f aca="false">G7-G41</f>
        <v>23595.4762922763</v>
      </c>
      <c r="H42" s="55" t="n">
        <f aca="false">H7-H41</f>
        <v>15877.4484264598</v>
      </c>
      <c r="I42" s="55" t="n">
        <f aca="false">I7-I41</f>
        <v>16235.6284203485</v>
      </c>
      <c r="J42" s="55" t="n">
        <f aca="false">J7-J41</f>
        <v>23052.2430779174</v>
      </c>
      <c r="K42" s="55" t="n">
        <f aca="false">K7-K41</f>
        <v>25118.7231586229</v>
      </c>
      <c r="L42" s="55" t="n">
        <f aca="false">L7-L41</f>
        <v>25027.7652123543</v>
      </c>
      <c r="M42" s="55" t="n">
        <f aca="false">M7-M41</f>
        <v>26894.414954968</v>
      </c>
      <c r="N42" s="55" t="n">
        <f aca="false">N7-N41</f>
        <v>247714.781324249</v>
      </c>
      <c r="O42" s="55" t="n">
        <f aca="false">IF(OR(O7="",O41=""),"",O7-O41)</f>
        <v>237786</v>
      </c>
      <c r="P42" s="22" t="n">
        <f aca="false">IF(OR(O42="",O42=0),"",N42/O42-1)</f>
        <v>0.0417551131027427</v>
      </c>
    </row>
    <row r="43" customFormat="false" ht="15" hidden="false" customHeight="false" outlineLevel="0" collapsed="false">
      <c r="A43" s="13" t="s">
        <v>612</v>
      </c>
      <c r="B43" s="49" t="n">
        <f aca="false">IFERROR(B14*B41/B7,0)</f>
        <v>487031.039860004</v>
      </c>
      <c r="C43" s="49" t="n">
        <f aca="false">IFERROR(C14*C41/C7,0)</f>
        <v>477689.753472576</v>
      </c>
      <c r="D43" s="49" t="n">
        <f aca="false">IFERROR(D14*D41/D7,0)</f>
        <v>705024.944830419</v>
      </c>
      <c r="E43" s="49" t="n">
        <f aca="false">IFERROR(E14*E41/E7,0)</f>
        <v>569632.780701226</v>
      </c>
      <c r="F43" s="49" t="n">
        <f aca="false">IFERROR(F14*F41/F7,0)</f>
        <v>735256.780275129</v>
      </c>
      <c r="G43" s="49" t="n">
        <f aca="false">IFERROR(G14*G41/G7,0)</f>
        <v>851285.633130217</v>
      </c>
      <c r="H43" s="49" t="n">
        <f aca="false">IFERROR(H14*H41/H7,0)</f>
        <v>481595.193343908</v>
      </c>
      <c r="I43" s="49" t="n">
        <f aca="false">IFERROR(I14*I41/I7,0)</f>
        <v>492023.443086938</v>
      </c>
      <c r="J43" s="49" t="n">
        <f aca="false">IFERROR(J14*J41/J7,0)</f>
        <v>758323.706273304</v>
      </c>
      <c r="K43" s="49" t="n">
        <f aca="false">IFERROR(K14*K41/K7,0)</f>
        <v>894638.584927236</v>
      </c>
      <c r="L43" s="49" t="n">
        <f aca="false">IFERROR(L14*L41/L7,0)</f>
        <v>910356.036607293</v>
      </c>
      <c r="M43" s="49" t="n">
        <f aca="false">IFERROR(M14*M41/M7,0)</f>
        <v>1052062.64803167</v>
      </c>
      <c r="N43" s="49" t="n">
        <f aca="false">IFERROR(N14*N41/N7,0)</f>
        <v>8426782.66891374</v>
      </c>
      <c r="O43" s="49" t="n">
        <f aca="false">IF(OR(O7="",O14="",O41=""),"",IFERROR(O14*O41/O7,0))</f>
        <v>8121950.64221879</v>
      </c>
      <c r="P43" s="22" t="n">
        <f aca="false">IF(OR(O43="",O43=0),"",N43/O43-1)</f>
        <v>0.0375318738223309</v>
      </c>
    </row>
    <row r="44" customFormat="false" ht="15" hidden="false" customHeight="false" outlineLevel="0" collapsed="false">
      <c r="A44" s="13" t="s">
        <v>613</v>
      </c>
      <c r="B44" s="49" t="n">
        <f aca="false">B14-B43</f>
        <v>885542.834648182</v>
      </c>
      <c r="C44" s="49" t="n">
        <f aca="false">C14-C43</f>
        <v>877641.086678233</v>
      </c>
      <c r="D44" s="49" t="n">
        <f aca="false">D14-D43</f>
        <v>1210600.7166106</v>
      </c>
      <c r="E44" s="49" t="n">
        <f aca="false">E14-E43</f>
        <v>1059073.95059486</v>
      </c>
      <c r="F44" s="49" t="n">
        <f aca="false">F14-F43</f>
        <v>1164595.6653404</v>
      </c>
      <c r="G44" s="49" t="n">
        <f aca="false">G14-G43</f>
        <v>1272885.09970055</v>
      </c>
      <c r="H44" s="49" t="n">
        <f aca="false">H14-H43</f>
        <v>895184.598624237</v>
      </c>
      <c r="I44" s="49" t="n">
        <f aca="false">I14-I43</f>
        <v>922065.520891012</v>
      </c>
      <c r="J44" s="49" t="n">
        <f aca="false">J14-J43</f>
        <v>1282166.39668269</v>
      </c>
      <c r="K44" s="49" t="n">
        <f aca="false">K14-K43</f>
        <v>1371094.72974587</v>
      </c>
      <c r="L44" s="49" t="n">
        <f aca="false">L14-L43</f>
        <v>1453597.23501582</v>
      </c>
      <c r="M44" s="49" t="n">
        <f aca="false">M14-M43</f>
        <v>1425442.9429486</v>
      </c>
      <c r="N44" s="49" t="n">
        <f aca="false">N14-N43</f>
        <v>13808028.6531072</v>
      </c>
      <c r="O44" s="49" t="n">
        <f aca="false">IF(OR(O14="",O43=""),"",O14-O43)</f>
        <v>13303159.3277812</v>
      </c>
      <c r="P44" s="22" t="n">
        <f aca="false">IF(OR(O44="",O44=0),"",N44/O44-1)</f>
        <v>0.0379510846172975</v>
      </c>
    </row>
    <row r="45" customFormat="false" ht="15" hidden="false" customHeight="false" outlineLevel="0" collapsed="false">
      <c r="A45" s="13" t="s">
        <v>614</v>
      </c>
      <c r="B45" s="58" t="n">
        <f aca="false">IFERROR(B33/B41,0)</f>
        <v>23.2707584958775</v>
      </c>
      <c r="C45" s="58" t="n">
        <f aca="false">IFERROR(C33/C41,0)</f>
        <v>23.1490886687548</v>
      </c>
      <c r="D45" s="58" t="n">
        <f aca="false">IFERROR(D33/D41,0)</f>
        <v>21.9771016380128</v>
      </c>
      <c r="E45" s="58" t="n">
        <f aca="false">IFERROR(E33/E41,0)</f>
        <v>23.4514530133445</v>
      </c>
      <c r="F45" s="58" t="n">
        <f aca="false">IFERROR(F33/F41,0)</f>
        <v>19.3464520320693</v>
      </c>
      <c r="G45" s="58" t="n">
        <f aca="false">IFERROR(G33/G41,0)</f>
        <v>19.092541309412</v>
      </c>
      <c r="H45" s="58" t="n">
        <f aca="false">IFERROR(H33/H41,0)</f>
        <v>23.7563745121275</v>
      </c>
      <c r="I45" s="58" t="n">
        <f aca="false">IFERROR(I33/I41,0)</f>
        <v>23.4776374001694</v>
      </c>
      <c r="J45" s="58" t="n">
        <f aca="false">IFERROR(J33/J41,0)</f>
        <v>20.6593073663696</v>
      </c>
      <c r="K45" s="58" t="n">
        <f aca="false">IFERROR(K33/K41,0)</f>
        <v>17.3412602678774</v>
      </c>
      <c r="L45" s="58" t="n">
        <f aca="false">IFERROR(L33/L41,0)</f>
        <v>18.9489971745315</v>
      </c>
      <c r="M45" s="58" t="n">
        <f aca="false">IFERROR(M33/M41,0)</f>
        <v>16.2165893586285</v>
      </c>
      <c r="N45" s="58" t="n">
        <f aca="false">IFERROR(N33/N41,0)</f>
        <v>20.1751979030503</v>
      </c>
      <c r="O45" s="58" t="n">
        <f aca="false">IF(OR(O33="",O41=""),"",IFERROR(O33/O41,0))</f>
        <v>19.9160125365938</v>
      </c>
      <c r="P45" s="22" t="n">
        <f aca="false">IF(OR(O45="",O45=0),"",N45/O45-1)</f>
        <v>0.0130139186235325</v>
      </c>
    </row>
    <row r="46" customFormat="false" ht="15" hidden="false" customHeight="false" outlineLevel="0" collapsed="false">
      <c r="A46" s="13" t="s">
        <v>615</v>
      </c>
      <c r="B46" s="58" t="n">
        <f aca="false">IFERROR(B14/B7,0)</f>
        <v>57.649493369191</v>
      </c>
      <c r="C46" s="58" t="n">
        <f aca="false">IFERROR(C14/C7,0)</f>
        <v>56.7449575586005</v>
      </c>
      <c r="D46" s="58" t="n">
        <f aca="false">IFERROR(D14/D7,0)</f>
        <v>56.1925333266886</v>
      </c>
      <c r="E46" s="58" t="n">
        <f aca="false">IFERROR(E14/E7,0)</f>
        <v>57.0524192952221</v>
      </c>
      <c r="F46" s="58" t="n">
        <f aca="false">IFERROR(F14/F7,0)</f>
        <v>55.5127556707568</v>
      </c>
      <c r="G46" s="58" t="n">
        <f aca="false">IFERROR(G14/G7,0)</f>
        <v>53.946149843867</v>
      </c>
      <c r="H46" s="58" t="n">
        <f aca="false">IFERROR(H14/H7,0)</f>
        <v>56.3808853022258</v>
      </c>
      <c r="I46" s="58" t="n">
        <f aca="false">IFERROR(I14/I7,0)</f>
        <v>56.7927213544359</v>
      </c>
      <c r="J46" s="58" t="n">
        <f aca="false">IFERROR(J14/J7,0)</f>
        <v>55.6200276193912</v>
      </c>
      <c r="K46" s="58" t="n">
        <f aca="false">IFERROR(K14/K7,0)</f>
        <v>54.5845710821966</v>
      </c>
      <c r="L46" s="58" t="n">
        <f aca="false">IFERROR(L14/L7,0)</f>
        <v>58.0793859412699</v>
      </c>
      <c r="M46" s="58" t="n">
        <f aca="false">IFERROR(M14/M7,0)</f>
        <v>53.0014482685481</v>
      </c>
      <c r="N46" s="58" t="n">
        <f aca="false">IFERROR(N14/N7,0)</f>
        <v>55.7416419774848</v>
      </c>
      <c r="O46" s="58" t="n">
        <f aca="false">IF(OR(O7="",O14=""),"",IFERROR(O14/O7,0))</f>
        <v>55.9459317528417</v>
      </c>
      <c r="P46" s="22" t="n">
        <f aca="false">IF(OR(O46="",O46=0),"",N46/O46-1)</f>
        <v>-0.00365155729748767</v>
      </c>
    </row>
    <row r="47" customFormat="false" ht="15" hidden="false" customHeight="false" outlineLevel="0" collapsed="false">
      <c r="A47" s="13" t="s">
        <v>616</v>
      </c>
      <c r="B47" s="58" t="n">
        <f aca="false">IFERROR(B32/B7,0)</f>
        <v>24.1837305687726</v>
      </c>
      <c r="C47" s="58" t="n">
        <f aca="false">IFERROR(C32/C7,0)</f>
        <v>23.6679632905876</v>
      </c>
      <c r="D47" s="58" t="n">
        <f aca="false">IFERROR(D32/D7,0)</f>
        <v>23.3292968400811</v>
      </c>
      <c r="E47" s="58" t="n">
        <f aca="false">IFERROR(E32/E7,0)</f>
        <v>23.8358288186088</v>
      </c>
      <c r="F47" s="58" t="n">
        <f aca="false">IFERROR(F32/F7,0)</f>
        <v>20.1762499490884</v>
      </c>
      <c r="G47" s="58" t="n">
        <f aca="false">IFERROR(G32/G7,0)</f>
        <v>18.7701973778724</v>
      </c>
      <c r="H47" s="58" t="n">
        <f aca="false">IFERROR(H32/H7,0)</f>
        <v>23.4853887859124</v>
      </c>
      <c r="I47" s="58" t="n">
        <f aca="false">IFERROR(I32/I7,0)</f>
        <v>23.6822538890734</v>
      </c>
      <c r="J47" s="58" t="n">
        <f aca="false">IFERROR(J32/J7,0)</f>
        <v>21.9934365161796</v>
      </c>
      <c r="K47" s="58" t="n">
        <f aca="false">IFERROR(K32/K7,0)</f>
        <v>19.9358138335295</v>
      </c>
      <c r="L47" s="58" t="n">
        <f aca="false">IFERROR(L32/L7,0)</f>
        <v>22.7553497701606</v>
      </c>
      <c r="M47" s="58" t="n">
        <f aca="false">IFERROR(M32/M7,0)</f>
        <v>15.9577161484048</v>
      </c>
      <c r="N47" s="58" t="n">
        <f aca="false">IFERROR(N32/N7,0)</f>
        <v>21.3494547255241</v>
      </c>
      <c r="O47" s="58" t="str">
        <f aca="false">IF(OR(O7="",O32=""),"",IFERROR(O32/O7,0))</f>
        <v/>
      </c>
      <c r="P47" s="22" t="str">
        <f aca="false">IF(OR(O47="",O47=0),"",N47/O47-1)</f>
        <v/>
      </c>
    </row>
    <row r="48" customFormat="false" ht="15" hidden="false" customHeight="false" outlineLevel="0" collapsed="false">
      <c r="A48" s="13" t="s">
        <v>617</v>
      </c>
      <c r="B48" s="82" t="n">
        <f aca="false">IFERROR(B47/B45,0)</f>
        <v>1.0392325876725</v>
      </c>
      <c r="C48" s="82" t="n">
        <f aca="false">IFERROR(C47/C45,0)</f>
        <v>1.02241447295216</v>
      </c>
      <c r="D48" s="82" t="n">
        <f aca="false">IFERROR(D47/D45,0)</f>
        <v>1.06152745818537</v>
      </c>
      <c r="E48" s="82" t="n">
        <f aca="false">IFERROR(E47/E45,0)</f>
        <v>1.01639027675793</v>
      </c>
      <c r="F48" s="82" t="n">
        <f aca="false">IFERROR(F47/F45,0)</f>
        <v>1.04289147775745</v>
      </c>
      <c r="G48" s="82" t="n">
        <f aca="false">IFERROR(G47/G45,0)</f>
        <v>0.983116761340687</v>
      </c>
      <c r="H48" s="82" t="n">
        <f aca="false">IFERROR(H47/H45,0)</f>
        <v>0.988593136293722</v>
      </c>
      <c r="I48" s="82" t="n">
        <f aca="false">IFERROR(I47/I45,0)</f>
        <v>1.00871537818803</v>
      </c>
      <c r="J48" s="82" t="n">
        <f aca="false">IFERROR(J47/J45,0)</f>
        <v>1.06457763206436</v>
      </c>
      <c r="K48" s="82" t="n">
        <f aca="false">IFERROR(K47/K45,0)</f>
        <v>1.14961735915228</v>
      </c>
      <c r="L48" s="82" t="n">
        <f aca="false">IFERROR(L47/L45,0)</f>
        <v>1.20087356394486</v>
      </c>
      <c r="M48" s="82" t="n">
        <f aca="false">IFERROR(M47/M45,0)</f>
        <v>0.984036519363058</v>
      </c>
      <c r="N48" s="82" t="n">
        <f aca="false">IFERROR(N47/N45,0)</f>
        <v>1.05820298904212</v>
      </c>
      <c r="O48" s="82" t="str">
        <f aca="false">IF(OR(O45="",O47=""),"",IFERROR(O47/O45,0))</f>
        <v/>
      </c>
      <c r="P48" s="83" t="str">
        <f aca="false">IF(O48="","",N48-O48)</f>
        <v/>
      </c>
    </row>
    <row r="49" customFormat="false" ht="15" hidden="false" customHeight="false" outlineLevel="0" collapsed="false">
      <c r="A49" s="13" t="s">
        <v>618</v>
      </c>
      <c r="B49" s="58" t="n">
        <f aca="false">IFERROR(B34/B7,0)</f>
        <v>15.9265562781434</v>
      </c>
      <c r="C49" s="58" t="n">
        <f aca="false">IFERROR(C34/C7,0)</f>
        <v>15.5090089366368</v>
      </c>
      <c r="D49" s="58" t="n">
        <f aca="false">IFERROR(D34/D7,0)</f>
        <v>15.2408664218872</v>
      </c>
      <c r="E49" s="58" t="n">
        <f aca="false">IFERROR(E34/E7,0)</f>
        <v>15.6337896578539</v>
      </c>
      <c r="F49" s="58" t="n">
        <f aca="false">IFERROR(F34/F7,0)</f>
        <v>12.6890316318586</v>
      </c>
      <c r="G49" s="58" t="n">
        <f aca="false">IFERROR(G34/G7,0)</f>
        <v>11.1186438254949</v>
      </c>
      <c r="H49" s="58" t="n">
        <f aca="false">IFERROR(H34/H7,0)</f>
        <v>15.1754500120703</v>
      </c>
      <c r="I49" s="58" t="n">
        <f aca="false">IFERROR(I34/I7,0)</f>
        <v>15.5133562571432</v>
      </c>
      <c r="J49" s="58" t="n">
        <f aca="false">IFERROR(J34/J7,0)</f>
        <v>14.315652385588</v>
      </c>
      <c r="K49" s="58" t="n">
        <f aca="false">IFERROR(K34/K7,0)</f>
        <v>13.0885117055881</v>
      </c>
      <c r="L49" s="58" t="n">
        <f aca="false">IFERROR(L34/L7,0)</f>
        <v>15.4581099420463</v>
      </c>
      <c r="M49" s="58" t="n">
        <f aca="false">IFERROR(M34/M7,0)</f>
        <v>9.07140759483642</v>
      </c>
      <c r="N49" s="58" t="n">
        <f aca="false">IFERROR(N34/N7,0)</f>
        <v>13.7032460139192</v>
      </c>
      <c r="O49" s="58" t="str">
        <f aca="false">IF(OR(O7="",O34=""),"",IFERROR(O34/O7,0))</f>
        <v/>
      </c>
      <c r="P49" s="22" t="str">
        <f aca="false">IF(OR(O49="",O49=0),"",N49/O49-1)</f>
        <v/>
      </c>
    </row>
    <row r="50" customFormat="false" ht="15" hidden="false" customHeight="false" outlineLevel="0" collapsed="false">
      <c r="A50" s="13" t="s">
        <v>619</v>
      </c>
      <c r="B50" s="58" t="n">
        <f aca="false">IFERROR(B31/B7,0)</f>
        <v>9.25056646246758</v>
      </c>
      <c r="C50" s="58" t="n">
        <f aca="false">IFERROR(C31/C7,0)</f>
        <v>9.22959019307541</v>
      </c>
      <c r="D50" s="58" t="n">
        <f aca="false">IFERROR(D31/D7,0)</f>
        <v>9.21325019058799</v>
      </c>
      <c r="E50" s="58" t="n">
        <f aca="false">IFERROR(E31/E7,0)</f>
        <v>9.2540970038492</v>
      </c>
      <c r="F50" s="58" t="n">
        <f aca="false">IFERROR(F31/F7,0)</f>
        <v>9.20132777399953</v>
      </c>
      <c r="G50" s="58" t="n">
        <f aca="false">IFERROR(G31/G7,0)</f>
        <v>9.13316574357446</v>
      </c>
      <c r="H50" s="58" t="n">
        <f aca="false">IFERROR(H31/H7,0)</f>
        <v>9.22922771259353</v>
      </c>
      <c r="I50" s="58" t="n">
        <f aca="false">IFERROR(I31/I7,0)</f>
        <v>9.22612004720375</v>
      </c>
      <c r="J50" s="58" t="n">
        <f aca="false">IFERROR(J31/J7,0)</f>
        <v>9.22101778322304</v>
      </c>
      <c r="K50" s="58" t="n">
        <f aca="false">IFERROR(K31/K7,0)</f>
        <v>9.25517799246425</v>
      </c>
      <c r="L50" s="58" t="n">
        <f aca="false">IFERROR(L31/L7,0)</f>
        <v>9.44149754757362</v>
      </c>
      <c r="M50" s="58" t="n">
        <f aca="false">IFERROR(M31/M7,0)</f>
        <v>9.1241695823839</v>
      </c>
      <c r="N50" s="58" t="n">
        <f aca="false">IFERROR(N31/N7,0)</f>
        <v>9.23016082068331</v>
      </c>
      <c r="O50" s="58" t="str">
        <f aca="false">IF(OR(O7="",O31=""),"",IFERROR(O31/O7,0))</f>
        <v/>
      </c>
      <c r="P50" s="22" t="str">
        <f aca="false">IF(OR(O50="",O50=0),"",N50/O50-1)</f>
        <v/>
      </c>
    </row>
    <row r="52" customFormat="false" ht="15" hidden="false" customHeight="false" outlineLevel="0" collapsed="false">
      <c r="A52" s="13" t="s">
        <v>620</v>
      </c>
    </row>
    <row r="54" customFormat="false" ht="15" hidden="false" customHeight="false" outlineLevel="0" collapsed="false">
      <c r="A54" s="15" t="s">
        <v>621</v>
      </c>
      <c r="B54" s="15"/>
      <c r="C54" s="15"/>
      <c r="D54" s="15"/>
      <c r="E54" s="15"/>
      <c r="F54" s="15"/>
      <c r="G54" s="15"/>
      <c r="H54" s="15"/>
      <c r="I54" s="15"/>
      <c r="J54" s="15"/>
      <c r="K54" s="15"/>
      <c r="L54" s="15"/>
      <c r="M54" s="15"/>
      <c r="N54" s="15"/>
      <c r="O54" s="15"/>
      <c r="P54" s="15"/>
    </row>
    <row r="55" customFormat="false" ht="15" hidden="false" customHeight="false" outlineLevel="0" collapsed="false">
      <c r="A55" s="13" t="s">
        <v>622</v>
      </c>
    </row>
    <row r="56" customFormat="false" ht="15" hidden="false" customHeight="false" outlineLevel="0" collapsed="false">
      <c r="A56" s="13" t="s">
        <v>623</v>
      </c>
    </row>
    <row r="57" customFormat="false" ht="15" hidden="false" customHeight="false" outlineLevel="0" collapsed="false">
      <c r="A57" s="13" t="s">
        <v>624</v>
      </c>
    </row>
    <row r="58" customFormat="false" ht="15" hidden="false" customHeight="false" outlineLevel="0" collapsed="false">
      <c r="A58" s="13" t="s">
        <v>625</v>
      </c>
    </row>
  </sheetData>
  <sheetProtection sheet="true" formatColumns="false" formatRows="false"/>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12" min="2" style="0" width="13"/>
    <col collapsed="false" customWidth="true" hidden="false" outlineLevel="0" max="13" min="13" style="0" width="10"/>
    <col collapsed="false" customWidth="true" hidden="false" outlineLevel="0" max="14" min="14" style="0" width="15"/>
  </cols>
  <sheetData>
    <row r="1" customFormat="false" ht="17.35" hidden="false" customHeight="false" outlineLevel="0" collapsed="false">
      <c r="A1" s="1" t="s">
        <v>626</v>
      </c>
    </row>
    <row r="2" customFormat="false" ht="15" hidden="false" customHeight="false" outlineLevel="0" collapsed="false">
      <c r="A2" s="2" t="s">
        <v>627</v>
      </c>
    </row>
    <row r="3" customFormat="false" ht="15" hidden="false" customHeight="false" outlineLevel="0" collapsed="false">
      <c r="A3" s="13" t="s">
        <v>628</v>
      </c>
      <c r="E3" s="43" t="n">
        <v>0.6</v>
      </c>
    </row>
    <row r="4" customFormat="false" ht="15" hidden="false" customHeight="false" outlineLevel="0" collapsed="false">
      <c r="A4" s="13" t="s">
        <v>629</v>
      </c>
      <c r="E4" s="84" t="n">
        <v>4</v>
      </c>
    </row>
    <row r="6" customFormat="false" ht="42" hidden="false" customHeight="true" outlineLevel="0" collapsed="false">
      <c r="A6" s="19" t="s">
        <v>413</v>
      </c>
      <c r="B6" s="19" t="s">
        <v>630</v>
      </c>
      <c r="C6" s="19" t="s">
        <v>631</v>
      </c>
      <c r="D6" s="19" t="s">
        <v>632</v>
      </c>
      <c r="E6" s="19" t="s">
        <v>633</v>
      </c>
      <c r="F6" s="19" t="s">
        <v>634</v>
      </c>
      <c r="G6" s="19" t="s">
        <v>635</v>
      </c>
      <c r="H6" s="19" t="s">
        <v>636</v>
      </c>
      <c r="I6" s="19" t="s">
        <v>637</v>
      </c>
      <c r="J6" s="19" t="s">
        <v>638</v>
      </c>
      <c r="K6" s="19" t="s">
        <v>639</v>
      </c>
      <c r="L6" s="19" t="s">
        <v>640</v>
      </c>
      <c r="M6" s="19" t="s">
        <v>641</v>
      </c>
      <c r="N6" s="19" t="s">
        <v>642</v>
      </c>
    </row>
    <row r="7" customFormat="false" ht="15" hidden="false" customHeight="false" outlineLevel="0" collapsed="false">
      <c r="A7" s="13" t="s">
        <v>418</v>
      </c>
      <c r="B7" s="14" t="n">
        <f aca="false">COUNTIF(Calendar!$D$6:$D$57,A7)</f>
        <v>4</v>
      </c>
      <c r="C7" s="21" t="n">
        <f aca="false">SUMIF('Sales Build'!$B$6:$B$57,A7,'Sales Build'!$V$6:$V$57)</f>
        <v>45585.21140472</v>
      </c>
      <c r="D7" s="21" t="n">
        <f aca="false">SUMIF('Sales Build'!$B$6:$B$57,A7,'Sales Build'!$Z$6:$Z$57)*(1-Assumptions!$G$24)</f>
        <v>11040.8518963562</v>
      </c>
      <c r="E7" s="55" t="n">
        <f aca="false">C7-D7</f>
        <v>34544.3595083638</v>
      </c>
      <c r="F7" s="85" t="n">
        <v>60000</v>
      </c>
      <c r="G7" s="85" t="n">
        <v>40000</v>
      </c>
      <c r="H7" s="55" t="n">
        <f aca="false">F7+G7</f>
        <v>100000</v>
      </c>
      <c r="I7" s="22" t="n">
        <f aca="false">IFERROR(E7/H7,0)</f>
        <v>0.345443595083638</v>
      </c>
      <c r="J7" s="55" t="n">
        <f aca="false">H7-E7</f>
        <v>65455.6404916362</v>
      </c>
      <c r="K7" s="55" t="n">
        <f aca="false">IFERROR(E8/B8,0)</f>
        <v>8550.54873047637</v>
      </c>
      <c r="L7" s="59" t="n">
        <f aca="false">IFERROR(J7/K7,0)</f>
        <v>7.65513916765779</v>
      </c>
      <c r="M7" s="34" t="str">
        <f aca="false">IF(J7&lt;0,"Short",IF(OR(I7&gt;$E$3,L7&lt;$E$4),"Tight","OK"))</f>
        <v>OK</v>
      </c>
      <c r="N7" s="49" t="n">
        <f aca="false">IF(J7&lt;0,-J7*$E$23,IF(L7&lt;$E$4,MAX(0,$E$4*K7-J7)*$E$23,0))</f>
        <v>0</v>
      </c>
    </row>
    <row r="8" customFormat="false" ht="15" hidden="false" customHeight="false" outlineLevel="0" collapsed="false">
      <c r="A8" s="13" t="s">
        <v>420</v>
      </c>
      <c r="B8" s="14" t="n">
        <f aca="false">COUNTIF(Calendar!$D$6:$D$57,A8)</f>
        <v>4</v>
      </c>
      <c r="C8" s="21" t="n">
        <f aca="false">SUMIF('Sales Build'!$B$6:$B$57,A8,'Sales Build'!$V$6:$V$57)</f>
        <v>45339.4866314655</v>
      </c>
      <c r="D8" s="21" t="n">
        <f aca="false">SUMIF('Sales Build'!$B$6:$B$57,A8,'Sales Build'!$Z$6:$Z$57)*(1-Assumptions!$G$24)</f>
        <v>11137.2917095601</v>
      </c>
      <c r="E8" s="55" t="n">
        <f aca="false">C8-D8</f>
        <v>34202.1949219055</v>
      </c>
      <c r="F8" s="55" t="n">
        <f aca="false">J7</f>
        <v>65455.6404916362</v>
      </c>
      <c r="G8" s="85" t="n">
        <v>30000</v>
      </c>
      <c r="H8" s="55" t="n">
        <f aca="false">F8+G8</f>
        <v>95455.6404916362</v>
      </c>
      <c r="I8" s="22" t="n">
        <f aca="false">IFERROR(E8/H8,0)</f>
        <v>0.358304598300844</v>
      </c>
      <c r="J8" s="55" t="n">
        <f aca="false">H8-E8</f>
        <v>61253.4455697308</v>
      </c>
      <c r="K8" s="55" t="n">
        <f aca="false">IFERROR(E9/B9,0)</f>
        <v>9706.99006672679</v>
      </c>
      <c r="L8" s="59" t="n">
        <f aca="false">IFERROR(J8/K8,0)</f>
        <v>6.31024088297904</v>
      </c>
      <c r="M8" s="34" t="str">
        <f aca="false">IF(J8&lt;0,"Short",IF(OR(I8&gt;$E$3,L8&lt;$E$4),"Tight","OK"))</f>
        <v>OK</v>
      </c>
      <c r="N8" s="49" t="n">
        <f aca="false">IF(J8&lt;0,-J8*$E$23,IF(L8&lt;$E$4,MAX(0,$E$4*K8-J8)*$E$23,0))</f>
        <v>0</v>
      </c>
    </row>
    <row r="9" customFormat="false" ht="15" hidden="false" customHeight="false" outlineLevel="0" collapsed="false">
      <c r="A9" s="13" t="s">
        <v>421</v>
      </c>
      <c r="B9" s="14" t="n">
        <f aca="false">COUNTIF(Calendar!$D$6:$D$57,A9)</f>
        <v>5</v>
      </c>
      <c r="C9" s="21" t="n">
        <f aca="false">SUMIF('Sales Build'!$B$6:$B$57,A9,'Sales Build'!$V$6:$V$57)</f>
        <v>64537.4448262937</v>
      </c>
      <c r="D9" s="21" t="n">
        <f aca="false">SUMIF('Sales Build'!$B$6:$B$57,A9,'Sales Build'!$Z$6:$Z$57)*(1-Assumptions!$G$24)</f>
        <v>16002.4944926597</v>
      </c>
      <c r="E9" s="55" t="n">
        <f aca="false">C9-D9</f>
        <v>48534.9503336339</v>
      </c>
      <c r="F9" s="55" t="n">
        <f aca="false">J8</f>
        <v>61253.4455697308</v>
      </c>
      <c r="G9" s="85" t="n">
        <v>40000</v>
      </c>
      <c r="H9" s="55" t="n">
        <f aca="false">F9+G9</f>
        <v>101253.445569731</v>
      </c>
      <c r="I9" s="22" t="n">
        <f aca="false">IFERROR(E9/H9,0)</f>
        <v>0.479341222024974</v>
      </c>
      <c r="J9" s="55" t="n">
        <f aca="false">H9-E9</f>
        <v>52718.4952360968</v>
      </c>
      <c r="K9" s="55" t="n">
        <f aca="false">IFERROR(E10/B10,0)</f>
        <v>10226.1316673179</v>
      </c>
      <c r="L9" s="59" t="n">
        <f aca="false">IFERROR(J9/K9,0)</f>
        <v>5.15527248730642</v>
      </c>
      <c r="M9" s="34" t="str">
        <f aca="false">IF(J9&lt;0,"Short",IF(OR(I9&gt;$E$3,L9&lt;$E$4),"Tight","OK"))</f>
        <v>OK</v>
      </c>
      <c r="N9" s="49" t="n">
        <f aca="false">IF(J9&lt;0,-J9*$E$23,IF(L9&lt;$E$4,MAX(0,$E$4*K9-J9)*$E$23,0))</f>
        <v>0</v>
      </c>
    </row>
    <row r="10" customFormat="false" ht="15" hidden="false" customHeight="false" outlineLevel="0" collapsed="false">
      <c r="A10" s="13" t="s">
        <v>423</v>
      </c>
      <c r="B10" s="14" t="n">
        <f aca="false">COUNTIF(Calendar!$D$6:$D$57,A10)</f>
        <v>4</v>
      </c>
      <c r="C10" s="21" t="n">
        <f aca="false">SUMIF('Sales Build'!$B$6:$B$57,A10,'Sales Build'!$V$6:$V$57)</f>
        <v>54318.3409888819</v>
      </c>
      <c r="D10" s="21" t="n">
        <f aca="false">SUMIF('Sales Build'!$B$6:$B$57,A10,'Sales Build'!$Z$6:$Z$57)*(1-Assumptions!$G$24)</f>
        <v>13413.8143196104</v>
      </c>
      <c r="E10" s="55" t="n">
        <f aca="false">C10-D10</f>
        <v>40904.5266692715</v>
      </c>
      <c r="F10" s="55" t="n">
        <f aca="false">J9</f>
        <v>52718.4952360968</v>
      </c>
      <c r="G10" s="85" t="n">
        <v>40000</v>
      </c>
      <c r="H10" s="55" t="n">
        <f aca="false">F10+G10</f>
        <v>92718.4952360968</v>
      </c>
      <c r="I10" s="22" t="n">
        <f aca="false">IFERROR(E10/H10,0)</f>
        <v>0.441169009107761</v>
      </c>
      <c r="J10" s="55" t="n">
        <f aca="false">H10-E10</f>
        <v>51813.9685668253</v>
      </c>
      <c r="K10" s="55" t="n">
        <f aca="false">IFERROR(E11/B11,0)</f>
        <v>12588.5641762862</v>
      </c>
      <c r="L10" s="59" t="n">
        <f aca="false">IFERROR(J10/K10,0)</f>
        <v>4.11595538945022</v>
      </c>
      <c r="M10" s="34" t="str">
        <f aca="false">IF(J10&lt;0,"Short",IF(OR(I10&gt;$E$3,L10&lt;$E$4),"Tight","OK"))</f>
        <v>OK</v>
      </c>
      <c r="N10" s="49" t="n">
        <f aca="false">IF(J10&lt;0,-J10*$E$23,IF(L10&lt;$E$4,MAX(0,$E$4*K10-J10)*$E$23,0))</f>
        <v>0</v>
      </c>
    </row>
    <row r="11" customFormat="false" ht="15" hidden="false" customHeight="false" outlineLevel="0" collapsed="false">
      <c r="A11" s="13" t="s">
        <v>425</v>
      </c>
      <c r="B11" s="14" t="n">
        <f aca="false">COUNTIF(Calendar!$D$6:$D$57,A11)</f>
        <v>4</v>
      </c>
      <c r="C11" s="21" t="n">
        <f aca="false">SUMIF('Sales Build'!$B$6:$B$57,A11,'Sales Build'!$V$6:$V$57)</f>
        <v>65977.9533523261</v>
      </c>
      <c r="D11" s="21" t="n">
        <f aca="false">SUMIF('Sales Build'!$B$6:$B$57,A11,'Sales Build'!$Z$6:$Z$57)*(1-Assumptions!$G$24)</f>
        <v>15623.6966471811</v>
      </c>
      <c r="E11" s="55" t="n">
        <f aca="false">C11-D11</f>
        <v>50354.256705145</v>
      </c>
      <c r="F11" s="55" t="n">
        <f aca="false">J10</f>
        <v>51813.9685668253</v>
      </c>
      <c r="G11" s="85" t="n">
        <v>48000</v>
      </c>
      <c r="H11" s="55" t="n">
        <f aca="false">F11+G11</f>
        <v>99813.9685668253</v>
      </c>
      <c r="I11" s="22" t="n">
        <f aca="false">IFERROR(E11/H11,0)</f>
        <v>0.504481060398203</v>
      </c>
      <c r="J11" s="55" t="n">
        <f aca="false">H11-E11</f>
        <v>49459.7118616804</v>
      </c>
      <c r="K11" s="55" t="n">
        <f aca="false">IFERROR(E12/B12,0)</f>
        <v>11286.5434632601</v>
      </c>
      <c r="L11" s="59" t="n">
        <f aca="false">IFERROR(J11/K11,0)</f>
        <v>4.38218414899843</v>
      </c>
      <c r="M11" s="34" t="str">
        <f aca="false">IF(J11&lt;0,"Short",IF(OR(I11&gt;$E$3,L11&lt;$E$4),"Tight","OK"))</f>
        <v>OK</v>
      </c>
      <c r="N11" s="49" t="n">
        <f aca="false">IF(J11&lt;0,-J11*$E$23,IF(L11&lt;$E$4,MAX(0,$E$4*K11-J11)*$E$23,0))</f>
        <v>0</v>
      </c>
    </row>
    <row r="12" customFormat="false" ht="15" hidden="false" customHeight="false" outlineLevel="0" collapsed="false">
      <c r="A12" s="13" t="s">
        <v>427</v>
      </c>
      <c r="B12" s="14" t="n">
        <f aca="false">COUNTIF(Calendar!$D$6:$D$57,A12)</f>
        <v>5</v>
      </c>
      <c r="C12" s="21" t="n">
        <f aca="false">SUMIF('Sales Build'!$B$6:$B$57,A12,'Sales Build'!$V$6:$V$57)</f>
        <v>74041.7657373711</v>
      </c>
      <c r="D12" s="21" t="n">
        <f aca="false">SUMIF('Sales Build'!$B$6:$B$57,A12,'Sales Build'!$Z$6:$Z$57)*(1-Assumptions!$G$24)</f>
        <v>17609.0484210705</v>
      </c>
      <c r="E12" s="55" t="n">
        <f aca="false">C12-D12</f>
        <v>56432.7173163006</v>
      </c>
      <c r="F12" s="55" t="n">
        <f aca="false">J11</f>
        <v>49459.7118616804</v>
      </c>
      <c r="G12" s="85" t="n">
        <v>70000</v>
      </c>
      <c r="H12" s="55" t="n">
        <f aca="false">F12+G12</f>
        <v>119459.71186168</v>
      </c>
      <c r="I12" s="22" t="n">
        <f aca="false">IFERROR(E12/H12,0)</f>
        <v>0.472399576701162</v>
      </c>
      <c r="J12" s="55" t="n">
        <f aca="false">H12-E12</f>
        <v>63026.9945453798</v>
      </c>
      <c r="K12" s="55" t="n">
        <f aca="false">IFERROR(E13/B13,0)</f>
        <v>8817.34789937748</v>
      </c>
      <c r="L12" s="59" t="n">
        <f aca="false">IFERROR(J12/K12,0)</f>
        <v>7.14806711322228</v>
      </c>
      <c r="M12" s="34" t="str">
        <f aca="false">IF(J12&lt;0,"Short",IF(OR(I12&gt;$E$3,L12&lt;$E$4),"Tight","OK"))</f>
        <v>OK</v>
      </c>
      <c r="N12" s="49" t="n">
        <f aca="false">IF(J12&lt;0,-J12*$E$23,IF(L12&lt;$E$4,MAX(0,$E$4*K12-J12)*$E$23,0))</f>
        <v>0</v>
      </c>
    </row>
    <row r="13" customFormat="false" ht="15" hidden="false" customHeight="false" outlineLevel="0" collapsed="false">
      <c r="A13" s="13" t="s">
        <v>429</v>
      </c>
      <c r="B13" s="14" t="n">
        <f aca="false">COUNTIF(Calendar!$D$6:$D$57,A13)</f>
        <v>4</v>
      </c>
      <c r="C13" s="21" t="n">
        <f aca="false">SUMIF('Sales Build'!$B$6:$B$57,A13,'Sales Build'!$V$6:$V$57)</f>
        <v>46890.4319417081</v>
      </c>
      <c r="D13" s="21" t="n">
        <f aca="false">SUMIF('Sales Build'!$B$6:$B$57,A13,'Sales Build'!$Z$6:$Z$57)*(1-Assumptions!$G$24)</f>
        <v>11621.0403441981</v>
      </c>
      <c r="E13" s="55" t="n">
        <f aca="false">C13-D13</f>
        <v>35269.3915975099</v>
      </c>
      <c r="F13" s="55" t="n">
        <f aca="false">J12</f>
        <v>63026.9945453798</v>
      </c>
      <c r="G13" s="85" t="n">
        <v>36000</v>
      </c>
      <c r="H13" s="55" t="n">
        <f aca="false">F13+G13</f>
        <v>99026.9945453798</v>
      </c>
      <c r="I13" s="22" t="n">
        <f aca="false">IFERROR(E13/H13,0)</f>
        <v>0.356159366033749</v>
      </c>
      <c r="J13" s="55" t="n">
        <f aca="false">H13-E13</f>
        <v>63757.6029478698</v>
      </c>
      <c r="K13" s="55" t="n">
        <f aca="false">IFERROR(E14/B14,0)</f>
        <v>8911.97362547828</v>
      </c>
      <c r="L13" s="59" t="n">
        <f aca="false">IFERROR(J13/K13,0)</f>
        <v>7.15415076696304</v>
      </c>
      <c r="M13" s="34" t="str">
        <f aca="false">IF(J13&lt;0,"Short",IF(OR(I13&gt;$E$3,L13&lt;$E$4),"Tight","OK"))</f>
        <v>OK</v>
      </c>
      <c r="N13" s="49" t="n">
        <f aca="false">IF(J13&lt;0,-J13*$E$23,IF(L13&lt;$E$4,MAX(0,$E$4*K13-J13)*$E$23,0))</f>
        <v>0</v>
      </c>
    </row>
    <row r="14" customFormat="false" ht="15" hidden="false" customHeight="false" outlineLevel="0" collapsed="false">
      <c r="A14" s="13" t="s">
        <v>431</v>
      </c>
      <c r="B14" s="14" t="n">
        <f aca="false">COUNTIF(Calendar!$D$6:$D$57,A14)</f>
        <v>4</v>
      </c>
      <c r="C14" s="21" t="n">
        <f aca="false">SUMIF('Sales Build'!$B$6:$B$57,A14,'Sales Build'!$V$6:$V$57)</f>
        <v>47260.7389160019</v>
      </c>
      <c r="D14" s="21" t="n">
        <f aca="false">SUMIF('Sales Build'!$B$6:$B$57,A14,'Sales Build'!$Z$6:$Z$57)*(1-Assumptions!$G$24)</f>
        <v>11612.8444140888</v>
      </c>
      <c r="E14" s="55" t="n">
        <f aca="false">C14-D14</f>
        <v>35647.8945019131</v>
      </c>
      <c r="F14" s="55" t="n">
        <f aca="false">J13</f>
        <v>63757.6029478698</v>
      </c>
      <c r="G14" s="85" t="n">
        <v>34000</v>
      </c>
      <c r="H14" s="55" t="n">
        <f aca="false">F14+G14</f>
        <v>97757.6029478698</v>
      </c>
      <c r="I14" s="22" t="n">
        <f aca="false">IFERROR(E14/H14,0)</f>
        <v>0.364655979964266</v>
      </c>
      <c r="J14" s="55" t="n">
        <f aca="false">H14-E14</f>
        <v>62109.7084459567</v>
      </c>
      <c r="K14" s="55" t="n">
        <f aca="false">IFERROR(E15/B15,0)</f>
        <v>10511.6510963825</v>
      </c>
      <c r="L14" s="59" t="n">
        <f aca="false">IFERROR(J14/K14,0)</f>
        <v>5.90865391901482</v>
      </c>
      <c r="M14" s="34" t="str">
        <f aca="false">IF(J14&lt;0,"Short",IF(OR(I14&gt;$E$3,L14&lt;$E$4),"Tight","OK"))</f>
        <v>OK</v>
      </c>
      <c r="N14" s="49" t="n">
        <f aca="false">IF(J14&lt;0,-J14*$E$23,IF(L14&lt;$E$4,MAX(0,$E$4*K14-J14)*$E$23,0))</f>
        <v>0</v>
      </c>
    </row>
    <row r="15" customFormat="false" ht="15" hidden="false" customHeight="false" outlineLevel="0" collapsed="false">
      <c r="A15" s="13" t="s">
        <v>432</v>
      </c>
      <c r="B15" s="14" t="n">
        <f aca="false">COUNTIF(Calendar!$D$6:$D$57,A15)</f>
        <v>5</v>
      </c>
      <c r="C15" s="21" t="n">
        <f aca="false">SUMIF('Sales Build'!$B$6:$B$57,A15,'Sales Build'!$V$6:$V$57)</f>
        <v>69854.245784341</v>
      </c>
      <c r="D15" s="21" t="n">
        <f aca="false">SUMIF('Sales Build'!$B$6:$B$57,A15,'Sales Build'!$Z$6:$Z$57)*(1-Assumptions!$G$24)</f>
        <v>17295.9903024287</v>
      </c>
      <c r="E15" s="55" t="n">
        <f aca="false">C15-D15</f>
        <v>52558.2554819124</v>
      </c>
      <c r="F15" s="55" t="n">
        <f aca="false">J14</f>
        <v>62109.7084459567</v>
      </c>
      <c r="G15" s="85" t="n">
        <v>46000</v>
      </c>
      <c r="H15" s="55" t="n">
        <f aca="false">F15+G15</f>
        <v>108109.708445957</v>
      </c>
      <c r="I15" s="22" t="n">
        <f aca="false">IFERROR(E15/H15,0)</f>
        <v>0.486156666569736</v>
      </c>
      <c r="J15" s="55" t="n">
        <f aca="false">H15-E15</f>
        <v>55551.4529640443</v>
      </c>
      <c r="K15" s="55" t="n">
        <f aca="false">IFERROR(E16/B16,0)</f>
        <v>14749.4984255626</v>
      </c>
      <c r="L15" s="59" t="n">
        <f aca="false">IFERROR(J15/K15,0)</f>
        <v>3.76632827512069</v>
      </c>
      <c r="M15" s="34" t="str">
        <f aca="false">IF(J15&lt;0,"Short",IF(OR(I15&gt;$E$3,L15&lt;$E$4),"Tight","OK"))</f>
        <v>Tight</v>
      </c>
      <c r="N15" s="49" t="n">
        <f aca="false">IF(J15&lt;0,-J15*$E$23,IF(L15&lt;$E$4,MAX(0,$E$4*K15-J15)*$E$23,0))</f>
        <v>136312.683086879</v>
      </c>
    </row>
    <row r="16" customFormat="false" ht="15" hidden="false" customHeight="false" outlineLevel="0" collapsed="false">
      <c r="A16" s="13" t="s">
        <v>436</v>
      </c>
      <c r="B16" s="14" t="n">
        <f aca="false">COUNTIF(Calendar!$D$6:$D$57,A16)</f>
        <v>4</v>
      </c>
      <c r="C16" s="21" t="n">
        <f aca="false">SUMIF('Sales Build'!$B$6:$B$57,A16,'Sales Build'!$V$6:$V$57)</f>
        <v>79048.9322441165</v>
      </c>
      <c r="D16" s="21" t="n">
        <f aca="false">SUMIF('Sales Build'!$B$6:$B$57,A16,'Sales Build'!$Z$6:$Z$57)*(1-Assumptions!$G$24)</f>
        <v>20050.9385418662</v>
      </c>
      <c r="E16" s="55" t="n">
        <f aca="false">C16-D16</f>
        <v>58997.9937022503</v>
      </c>
      <c r="F16" s="55" t="n">
        <f aca="false">J15</f>
        <v>55551.4529640443</v>
      </c>
      <c r="G16" s="85" t="n">
        <v>50000</v>
      </c>
      <c r="H16" s="55" t="n">
        <f aca="false">F16+G16</f>
        <v>105551.452964044</v>
      </c>
      <c r="I16" s="22" t="n">
        <f aca="false">IFERROR(E16/H16,0)</f>
        <v>0.558950085910686</v>
      </c>
      <c r="J16" s="55" t="n">
        <f aca="false">H16-E16</f>
        <v>46553.4592617941</v>
      </c>
      <c r="K16" s="55" t="n">
        <f aca="false">IFERROR(E17/B17,0)</f>
        <v>14176.1986803157</v>
      </c>
      <c r="L16" s="59" t="n">
        <f aca="false">IFERROR(J16/K16,0)</f>
        <v>3.28391695909537</v>
      </c>
      <c r="M16" s="34" t="str">
        <f aca="false">IF(J16&lt;0,"Short",IF(OR(I16&gt;$E$3,L16&lt;$E$4),"Tight","OK"))</f>
        <v>Tight</v>
      </c>
      <c r="N16" s="49" t="n">
        <f aca="false">IF(J16&lt;0,-J16*$E$23,IF(L16&lt;$E$4,MAX(0,$E$4*K16-J16)*$E$23,0))</f>
        <v>401491.199003048</v>
      </c>
    </row>
    <row r="17" customFormat="false" ht="15" hidden="false" customHeight="false" outlineLevel="0" collapsed="false">
      <c r="A17" s="13" t="s">
        <v>439</v>
      </c>
      <c r="B17" s="14" t="n">
        <f aca="false">COUNTIF(Calendar!$D$6:$D$57,A17)</f>
        <v>4</v>
      </c>
      <c r="C17" s="21" t="n">
        <f aca="false">SUMIF('Sales Build'!$B$6:$B$57,A17,'Sales Build'!$V$6:$V$57)</f>
        <v>77000.1667734143</v>
      </c>
      <c r="D17" s="21" t="n">
        <f aca="false">SUMIF('Sales Build'!$B$6:$B$57,A17,'Sales Build'!$Z$6:$Z$57)*(1-Assumptions!$G$24)</f>
        <v>20295.3720521515</v>
      </c>
      <c r="E17" s="55" t="n">
        <f aca="false">C17-D17</f>
        <v>56704.7947212628</v>
      </c>
      <c r="F17" s="55" t="n">
        <f aca="false">J16</f>
        <v>46553.4592617941</v>
      </c>
      <c r="G17" s="85" t="n">
        <v>62000</v>
      </c>
      <c r="H17" s="55" t="n">
        <f aca="false">F17+G17</f>
        <v>108553.459261794</v>
      </c>
      <c r="I17" s="22" t="n">
        <f aca="false">IFERROR(E17/H17,0)</f>
        <v>0.522367459377873</v>
      </c>
      <c r="J17" s="55" t="n">
        <f aca="false">H17-E17</f>
        <v>51848.6645405313</v>
      </c>
      <c r="K17" s="55" t="n">
        <f aca="false">IFERROR(E18/B18,0)</f>
        <v>13568.8682302592</v>
      </c>
      <c r="L17" s="59" t="n">
        <f aca="false">IFERROR(J17/K17,0)</f>
        <v>3.82114879890325</v>
      </c>
      <c r="M17" s="34" t="str">
        <f aca="false">IF(J17&lt;0,"Short",IF(OR(I17&gt;$E$3,L17&lt;$E$4),"Tight","OK"))</f>
        <v>Tight</v>
      </c>
      <c r="N17" s="49" t="n">
        <f aca="false">IF(J17&lt;0,-J17*$E$23,IF(L17&lt;$E$4,MAX(0,$E$4*K17-J17)*$E$23,0))</f>
        <v>95981.6775172092</v>
      </c>
    </row>
    <row r="18" customFormat="false" ht="15" hidden="false" customHeight="false" outlineLevel="0" collapsed="false">
      <c r="A18" s="13" t="s">
        <v>441</v>
      </c>
      <c r="B18" s="14" t="n">
        <f aca="false">COUNTIF(Calendar!$D$6:$D$57,A18)</f>
        <v>5</v>
      </c>
      <c r="C18" s="21" t="n">
        <f aca="false">SUMIF('Sales Build'!$B$6:$B$57,A18,'Sales Build'!$V$6:$V$57)</f>
        <v>88510.7393412458</v>
      </c>
      <c r="D18" s="21" t="n">
        <f aca="false">SUMIF('Sales Build'!$B$6:$B$57,A18,'Sales Build'!$Z$6:$Z$57)*(1-Assumptions!$G$24)</f>
        <v>20666.39818995</v>
      </c>
      <c r="E18" s="55" t="n">
        <f aca="false">C18-D18</f>
        <v>67844.3411512958</v>
      </c>
      <c r="F18" s="55" t="n">
        <f aca="false">J17</f>
        <v>51848.6645405313</v>
      </c>
      <c r="G18" s="85" t="n">
        <v>60000</v>
      </c>
      <c r="H18" s="55" t="n">
        <f aca="false">F18+G18</f>
        <v>111848.664540531</v>
      </c>
      <c r="I18" s="22" t="n">
        <f aca="false">IFERROR(E18/H18,0)</f>
        <v>0.60657265269994</v>
      </c>
      <c r="J18" s="55" t="n">
        <f aca="false">H18-E18</f>
        <v>44004.3233892355</v>
      </c>
      <c r="K18" s="55" t="n">
        <f aca="false">IFERROR(E18/B18,0)</f>
        <v>13568.8682302592</v>
      </c>
      <c r="L18" s="59" t="n">
        <f aca="false">IFERROR(J18/K18,0)</f>
        <v>3.24303564914161</v>
      </c>
      <c r="M18" s="34" t="str">
        <f aca="false">IF(J18&lt;0,"Short",IF(OR(I18&gt;$E$3,L18&lt;$E$4),"Tight","OK"))</f>
        <v>Tight</v>
      </c>
      <c r="N18" s="49" t="n">
        <f aca="false">IF(J18&lt;0,-J18*$E$23,IF(L18&lt;$E$4,MAX(0,$E$4*K18-J18)*$E$23,0))</f>
        <v>406229.914982856</v>
      </c>
    </row>
    <row r="19" customFormat="false" ht="15" hidden="false" customHeight="false" outlineLevel="0" collapsed="false">
      <c r="A19" s="60" t="s">
        <v>483</v>
      </c>
      <c r="B19" s="61"/>
      <c r="C19" s="62" t="n">
        <f aca="false">SUM(C7:C18)</f>
        <v>758365.457941886</v>
      </c>
      <c r="D19" s="62" t="n">
        <f aca="false">SUM(D7:D18)</f>
        <v>186369.781331121</v>
      </c>
      <c r="E19" s="62" t="n">
        <f aca="false">SUM(E7:E18)</f>
        <v>571995.676610765</v>
      </c>
      <c r="F19" s="61"/>
      <c r="G19" s="62" t="n">
        <f aca="false">SUM(G7:G18)</f>
        <v>556000</v>
      </c>
      <c r="H19" s="61"/>
      <c r="I19" s="61"/>
      <c r="J19" s="61"/>
      <c r="K19" s="61"/>
      <c r="L19" s="61"/>
      <c r="M19" s="61"/>
      <c r="N19" s="63" t="n">
        <f aca="false">SUM(N7:N18)</f>
        <v>1040015.47458999</v>
      </c>
    </row>
    <row r="21" customFormat="false" ht="15" hidden="false" customHeight="false" outlineLevel="0" collapsed="false">
      <c r="A21" s="13" t="s">
        <v>643</v>
      </c>
      <c r="E21" s="34" t="n">
        <f aca="false">COUNTIF(M7:M18,"&lt;&gt;OK")</f>
        <v>4</v>
      </c>
    </row>
    <row r="22" customFormat="false" ht="15" hidden="false" customHeight="false" outlineLevel="0" collapsed="false">
      <c r="A22" s="13" t="s">
        <v>644</v>
      </c>
      <c r="E22" s="34" t="str">
        <f aca="false">IFERROR(INDEX(A7:A18,MATCH(TRUE(),INDEX(M7:M18&lt;&gt;"OK",0),0)),"None")</f>
        <v>P9</v>
      </c>
    </row>
    <row r="23" customFormat="false" ht="15" hidden="false" customHeight="false" outlineLevel="0" collapsed="false">
      <c r="A23" s="13" t="s">
        <v>645</v>
      </c>
      <c r="E23" s="23" t="n">
        <f aca="false">IFERROR('Sales Build'!U58/('Sales Build'!V58-'Sales Build'!Z58),0)</f>
        <v>39.5505793898826</v>
      </c>
    </row>
    <row r="24" customFormat="false" ht="15" hidden="false" customHeight="false" outlineLevel="0" collapsed="false">
      <c r="A24" s="13" t="s">
        <v>646</v>
      </c>
    </row>
    <row r="25" customFormat="false" ht="15" hidden="false" customHeight="false" outlineLevel="0" collapsed="false">
      <c r="A25" s="13" t="s">
        <v>647</v>
      </c>
    </row>
    <row r="26" customFormat="false" ht="15" hidden="false" customHeight="false" outlineLevel="0" collapsed="false">
      <c r="A26" s="13" t="s">
        <v>648</v>
      </c>
    </row>
    <row r="27" customFormat="false" ht="15" hidden="false" customHeight="false" outlineLevel="0" collapsed="false">
      <c r="A27" s="13" t="s">
        <v>649</v>
      </c>
    </row>
  </sheetData>
  <sheetProtection sheet="true" formatColumns="false" formatRows="false"/>
  <conditionalFormatting sqref="M7:M18">
    <cfRule type="cellIs" priority="2" operator="equal" aboveAverage="0" equalAverage="0" bottom="0" percent="0" rank="0" text="" dxfId="2">
      <formula>"Short"</formula>
    </cfRule>
    <cfRule type="cellIs" priority="3" operator="equal" aboveAverage="0" equalAverage="0" bottom="0" percent="0" rank="0" text="" dxfId="1">
      <formula>"Tight"</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4" min="2" style="0" width="16"/>
    <col collapsed="false" customWidth="true" hidden="false" outlineLevel="0" max="5" min="5" style="0" width="90"/>
  </cols>
  <sheetData>
    <row r="1" customFormat="false" ht="17.35" hidden="false" customHeight="false" outlineLevel="0" collapsed="false">
      <c r="A1" s="1" t="s">
        <v>650</v>
      </c>
    </row>
    <row r="2" customFormat="false" ht="15" hidden="false" customHeight="false" outlineLevel="0" collapsed="false">
      <c r="A2" s="2" t="s">
        <v>651</v>
      </c>
    </row>
    <row r="4" customFormat="false" ht="15" hidden="false" customHeight="false" outlineLevel="0" collapsed="false">
      <c r="A4" s="15" t="s">
        <v>652</v>
      </c>
      <c r="B4" s="15"/>
      <c r="C4" s="15"/>
      <c r="D4" s="15"/>
      <c r="E4" s="15"/>
    </row>
    <row r="5" customFormat="false" ht="15" hidden="false" customHeight="false" outlineLevel="0" collapsed="false">
      <c r="A5" s="13" t="s">
        <v>653</v>
      </c>
      <c r="B5" s="20" t="n">
        <f aca="false">Settings!B16</f>
        <v>23500000</v>
      </c>
    </row>
    <row r="6" customFormat="false" ht="15" hidden="false" customHeight="false" outlineLevel="0" collapsed="false">
      <c r="A6" s="13" t="s">
        <v>406</v>
      </c>
      <c r="B6" s="20" t="n">
        <f aca="false">Market!B13</f>
        <v>23212633.6761846</v>
      </c>
    </row>
    <row r="7" customFormat="false" ht="15" hidden="false" customHeight="false" outlineLevel="0" collapsed="false">
      <c r="A7" s="13" t="s">
        <v>654</v>
      </c>
      <c r="B7" s="20" t="n">
        <f aca="false">'P&amp;L'!N14</f>
        <v>22234811.322021</v>
      </c>
    </row>
    <row r="8" customFormat="false" ht="15" hidden="false" customHeight="false" outlineLevel="0" collapsed="false">
      <c r="A8" s="13" t="s">
        <v>655</v>
      </c>
      <c r="B8" s="49" t="n">
        <f aca="false">B5-B7</f>
        <v>1265188.67797903</v>
      </c>
    </row>
    <row r="9" customFormat="false" ht="15" hidden="false" customHeight="false" outlineLevel="0" collapsed="false">
      <c r="A9" s="13" t="s">
        <v>656</v>
      </c>
      <c r="B9" s="22" t="n">
        <f aca="false">IFERROR(B8/B7,0)</f>
        <v>0.0569012554078214</v>
      </c>
    </row>
    <row r="10" customFormat="false" ht="15" hidden="false" customHeight="false" outlineLevel="0" collapsed="false">
      <c r="A10" s="13" t="s">
        <v>657</v>
      </c>
      <c r="B10" s="49" t="n">
        <f aca="false">B6-B7</f>
        <v>977822.354163598</v>
      </c>
    </row>
    <row r="12" customFormat="false" ht="15" hidden="false" customHeight="false" outlineLevel="0" collapsed="false">
      <c r="A12" s="15" t="s">
        <v>658</v>
      </c>
      <c r="B12" s="15"/>
      <c r="C12" s="15"/>
      <c r="D12" s="15"/>
      <c r="E12" s="15"/>
    </row>
    <row r="13" customFormat="false" ht="15" hidden="false" customHeight="false" outlineLevel="0" collapsed="false">
      <c r="A13" s="13" t="s">
        <v>659</v>
      </c>
    </row>
    <row r="14" customFormat="false" ht="42" hidden="false" customHeight="true" outlineLevel="0" collapsed="false">
      <c r="A14" s="19" t="s">
        <v>114</v>
      </c>
      <c r="B14" s="19" t="s">
        <v>115</v>
      </c>
      <c r="C14" s="19" t="s">
        <v>116</v>
      </c>
      <c r="D14" s="19" t="s">
        <v>117</v>
      </c>
      <c r="E14" s="19" t="s">
        <v>660</v>
      </c>
    </row>
    <row r="15" customFormat="false" ht="15" hidden="false" customHeight="false" outlineLevel="0" collapsed="false">
      <c r="A15" s="13" t="s">
        <v>464</v>
      </c>
      <c r="B15" s="29" t="n">
        <f aca="false">'P&amp;L'!N8</f>
        <v>0.0229329881451549</v>
      </c>
      <c r="C15" s="57" t="n">
        <f aca="false">IF($B$8&lt;=0,B15,B15*$B$5/$B$7)</f>
        <v>0.0242379039608669</v>
      </c>
      <c r="D15" s="77" t="n">
        <f aca="false">IFERROR(C15/B15-1,0)</f>
        <v>0.0569012554078217</v>
      </c>
      <c r="E15" s="13" t="s">
        <v>661</v>
      </c>
    </row>
    <row r="16" customFormat="false" ht="15" hidden="false" customHeight="false" outlineLevel="0" collapsed="false">
      <c r="A16" s="13" t="s">
        <v>465</v>
      </c>
      <c r="B16" s="23" t="n">
        <f aca="false">'P&amp;L'!N9</f>
        <v>75.2344538977391</v>
      </c>
      <c r="C16" s="58" t="n">
        <f aca="false">IF($B$8&lt;=0,B16,B16*$B$5/$B$7)</f>
        <v>79.5153887744423</v>
      </c>
      <c r="D16" s="77" t="n">
        <f aca="false">IFERROR(C16/B16-1,0)</f>
        <v>0.0569012554078214</v>
      </c>
      <c r="E16" s="13" t="s">
        <v>662</v>
      </c>
    </row>
    <row r="17" customFormat="false" ht="15" hidden="false" customHeight="false" outlineLevel="0" collapsed="false">
      <c r="A17" s="13" t="s">
        <v>663</v>
      </c>
      <c r="B17" s="21" t="n">
        <f aca="false">'P&amp;L'!N6</f>
        <v>17393742.8202846</v>
      </c>
      <c r="C17" s="55" t="n">
        <f aca="false">IF($B$8&lt;=0,B17,B17*$B$5/$B$7)</f>
        <v>18383468.6229996</v>
      </c>
      <c r="D17" s="77" t="n">
        <f aca="false">IFERROR(C17/B17-1,0)</f>
        <v>0.0569012554078212</v>
      </c>
      <c r="E17" s="13" t="s">
        <v>664</v>
      </c>
    </row>
    <row r="18" customFormat="false" ht="15" hidden="false" customHeight="false" outlineLevel="0" collapsed="false">
      <c r="A18" s="13" t="s">
        <v>468</v>
      </c>
      <c r="B18" s="31" t="n">
        <f aca="false">'P&amp;L'!N13</f>
        <v>0.259094216949451</v>
      </c>
      <c r="C18" s="31" t="n">
        <f aca="false">IF($B$8&lt;=0,B18,1-$B$5/'P&amp;L'!N10)</f>
        <v>0.21693574775496</v>
      </c>
      <c r="D18" s="77" t="n">
        <f aca="false">C18-B18</f>
        <v>-0.0421584691944912</v>
      </c>
      <c r="E18" s="13" t="s">
        <v>665</v>
      </c>
    </row>
    <row r="19" customFormat="false" ht="15" hidden="false" customHeight="false" outlineLevel="0" collapsed="false">
      <c r="A19" s="13" t="s">
        <v>666</v>
      </c>
      <c r="B19" s="20" t="n">
        <f aca="false">'P&amp;L'!N33</f>
        <v>3050000</v>
      </c>
      <c r="C19" s="20" t="n">
        <f aca="false">IF($B$8&lt;=0,B19,B19+($B$8/IFERROR('P&amp;L'!N14/'P&amp;L'!N6,1))*IFERROR('P&amp;L'!N33/('Sales Build'!D58+'Sales Build'!E58+'Sales Build'!F58),0))</f>
        <v>3457269.68497074</v>
      </c>
      <c r="D19" s="77" t="n">
        <f aca="false">IFERROR(C19/B19-1,0)</f>
        <v>0.1335310442527</v>
      </c>
      <c r="E19" s="13" t="s">
        <v>667</v>
      </c>
    </row>
    <row r="21" customFormat="false" ht="15" hidden="false" customHeight="false" outlineLevel="0" collapsed="false">
      <c r="A21" s="15" t="s">
        <v>668</v>
      </c>
      <c r="B21" s="15"/>
      <c r="C21" s="15"/>
      <c r="D21" s="15"/>
      <c r="E21" s="15"/>
    </row>
    <row r="22" customFormat="false" ht="15" hidden="false" customHeight="false" outlineLevel="0" collapsed="false">
      <c r="A22" s="13" t="s">
        <v>669</v>
      </c>
    </row>
    <row r="23" customFormat="false" ht="15" hidden="false" customHeight="false" outlineLevel="0" collapsed="false">
      <c r="A23" s="13" t="s">
        <v>670</v>
      </c>
    </row>
    <row r="24" customFormat="false" ht="15" hidden="false" customHeight="false" outlineLevel="0" collapsed="false">
      <c r="A24" s="13" t="s">
        <v>671</v>
      </c>
    </row>
  </sheetData>
  <sheetProtection sheet="true" formatColumns="false" formatRows="false"/>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8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2"/>
    <col collapsed="false" customWidth="true" hidden="false" outlineLevel="0" max="2" min="2" style="0" width="18"/>
    <col collapsed="false" customWidth="true" hidden="false" outlineLevel="0" max="3" min="3" style="0" width="22"/>
    <col collapsed="false" customWidth="true" hidden="false" outlineLevel="0" max="4" min="4" style="0" width="34"/>
    <col collapsed="false" customWidth="true" hidden="false" outlineLevel="0" max="5" min="5" style="0" width="70"/>
  </cols>
  <sheetData>
    <row r="1" customFormat="false" ht="17.35" hidden="false" customHeight="false" outlineLevel="0" collapsed="false">
      <c r="A1" s="1" t="s">
        <v>672</v>
      </c>
    </row>
    <row r="2" customFormat="false" ht="15" hidden="false" customHeight="false" outlineLevel="0" collapsed="false">
      <c r="A2" s="2" t="s">
        <v>673</v>
      </c>
    </row>
    <row r="4" customFormat="false" ht="15" hidden="false" customHeight="false" outlineLevel="0" collapsed="false">
      <c r="A4" s="15" t="s">
        <v>674</v>
      </c>
      <c r="B4" s="15"/>
      <c r="C4" s="15"/>
      <c r="D4" s="15"/>
      <c r="E4" s="15"/>
    </row>
    <row r="5" customFormat="false" ht="42" hidden="false" customHeight="true" outlineLevel="0" collapsed="false">
      <c r="A5" s="19" t="s">
        <v>82</v>
      </c>
      <c r="B5" s="19" t="s">
        <v>83</v>
      </c>
      <c r="C5" s="19" t="s">
        <v>84</v>
      </c>
      <c r="D5" s="19" t="s">
        <v>85</v>
      </c>
      <c r="E5" s="19" t="s">
        <v>417</v>
      </c>
    </row>
    <row r="6" customFormat="false" ht="15" hidden="false" customHeight="false" outlineLevel="0" collapsed="false">
      <c r="A6" s="13" t="s">
        <v>87</v>
      </c>
      <c r="B6" s="20" t="n">
        <f aca="false">'Engine Base'!Q58</f>
        <v>22234811.322021</v>
      </c>
      <c r="C6" s="20" t="n">
        <f aca="false">'Engine Upside'!Q58</f>
        <v>25603905.1898172</v>
      </c>
      <c r="D6" s="20" t="n">
        <f aca="false">'Engine Downside'!Q58</f>
        <v>19044430.1824213</v>
      </c>
      <c r="E6" s="13" t="s">
        <v>675</v>
      </c>
    </row>
    <row r="7" customFormat="false" ht="15" hidden="false" customHeight="false" outlineLevel="0" collapsed="false">
      <c r="A7" s="13" t="s">
        <v>88</v>
      </c>
      <c r="B7" s="20" t="n">
        <f aca="false">'Engine Base'!Y58</f>
        <v>3050000</v>
      </c>
      <c r="C7" s="20" t="n">
        <f aca="false">'Engine Upside'!Y58</f>
        <v>3550000</v>
      </c>
      <c r="D7" s="20" t="n">
        <f aca="false">'Engine Downside'!Y58</f>
        <v>2700000</v>
      </c>
    </row>
    <row r="8" customFormat="false" ht="15" hidden="false" customHeight="false" outlineLevel="0" collapsed="false">
      <c r="A8" s="13" t="s">
        <v>596</v>
      </c>
      <c r="B8" s="20" t="n">
        <f aca="false">'Engine Base'!X58</f>
        <v>8516094.62530364</v>
      </c>
      <c r="C8" s="20" t="n">
        <f aca="false">'Engine Upside'!X58</f>
        <v>10362187.0827471</v>
      </c>
      <c r="D8" s="20" t="n">
        <f aca="false">'Engine Downside'!X58</f>
        <v>6617222.46155901</v>
      </c>
    </row>
    <row r="9" customFormat="false" ht="15" hidden="false" customHeight="false" outlineLevel="0" collapsed="false">
      <c r="A9" s="13" t="s">
        <v>89</v>
      </c>
      <c r="B9" s="20" t="n">
        <f aca="false">'Engine Base'!Z58</f>
        <v>5466094.62530364</v>
      </c>
      <c r="C9" s="20" t="n">
        <f aca="false">'Engine Upside'!Z58</f>
        <v>6812187.08274713</v>
      </c>
      <c r="D9" s="20" t="n">
        <f aca="false">'Engine Downside'!Z58</f>
        <v>3917222.46155901</v>
      </c>
    </row>
    <row r="10" customFormat="false" ht="15" hidden="false" customHeight="false" outlineLevel="0" collapsed="false">
      <c r="A10" s="13" t="s">
        <v>90</v>
      </c>
      <c r="B10" s="20" t="n">
        <f aca="false">'Engine Base'!AB58</f>
        <v>4148794.62530364</v>
      </c>
      <c r="C10" s="20" t="n">
        <f aca="false">'Engine Upside'!AB58</f>
        <v>5494887.08274713</v>
      </c>
      <c r="D10" s="20" t="n">
        <f aca="false">'Engine Downside'!AB58</f>
        <v>2599922.461559</v>
      </c>
    </row>
    <row r="11" customFormat="false" ht="15" hidden="false" customHeight="false" outlineLevel="0" collapsed="false">
      <c r="A11" s="13" t="s">
        <v>454</v>
      </c>
      <c r="B11" s="21" t="n">
        <f aca="false">'Engine Base'!L58</f>
        <v>398890.497897461</v>
      </c>
      <c r="C11" s="21" t="n">
        <f aca="false">'Engine Upside'!L58</f>
        <v>444481.160537445</v>
      </c>
      <c r="D11" s="21" t="n">
        <f aca="false">'Engine Downside'!L58</f>
        <v>355697.633554626</v>
      </c>
    </row>
    <row r="12" customFormat="false" ht="15" hidden="false" customHeight="false" outlineLevel="0" collapsed="false">
      <c r="A12" s="13" t="s">
        <v>91</v>
      </c>
      <c r="B12" s="21" t="n">
        <f aca="false">'Engine Base'!AC58</f>
        <v>151175.716573213</v>
      </c>
      <c r="C12" s="21" t="n">
        <f aca="false">'Engine Upside'!AC58</f>
        <v>168436.210230628</v>
      </c>
      <c r="D12" s="21" t="n">
        <f aca="false">'Engine Downside'!AC58</f>
        <v>134809.908687411</v>
      </c>
    </row>
    <row r="13" customFormat="false" ht="15" hidden="false" customHeight="false" outlineLevel="0" collapsed="false">
      <c r="A13" s="13" t="s">
        <v>92</v>
      </c>
      <c r="B13" s="31" t="n">
        <f aca="false">IFERROR(B6/'History Y-1'!$AJ$58-1,0)</f>
        <v>0.0377921678420663</v>
      </c>
      <c r="C13" s="31" t="n">
        <f aca="false">IFERROR(C6/'History Y-1'!$AJ$58-1,0)</f>
        <v>0.195041949640792</v>
      </c>
      <c r="D13" s="31" t="n">
        <f aca="false">IFERROR(D6/'History Y-1'!$AJ$58-1,0)</f>
        <v>-0.111116339235232</v>
      </c>
    </row>
    <row r="14" customFormat="false" ht="15" hidden="false" customHeight="false" outlineLevel="0" collapsed="false">
      <c r="A14" s="13" t="s">
        <v>93</v>
      </c>
      <c r="B14" s="22" t="n">
        <f aca="false">IFERROR(B9/B6,0)</f>
        <v>0.245834990283462</v>
      </c>
      <c r="C14" s="22" t="n">
        <f aca="false">IFERROR(C9/C6,0)</f>
        <v>0.266060471332177</v>
      </c>
      <c r="D14" s="22" t="n">
        <f aca="false">IFERROR(D9/D6,0)</f>
        <v>0.205688614678256</v>
      </c>
    </row>
    <row r="15" customFormat="false" ht="15" hidden="false" customHeight="false" outlineLevel="0" collapsed="false">
      <c r="A15" s="13" t="s">
        <v>94</v>
      </c>
      <c r="B15" s="20" t="n">
        <f aca="false">Settings!$B$16-B6</f>
        <v>1265188.67797903</v>
      </c>
      <c r="C15" s="20" t="n">
        <f aca="false">Settings!$B$16-C6</f>
        <v>-2103905.18981717</v>
      </c>
      <c r="D15" s="20" t="n">
        <f aca="false">Settings!$B$16-D6</f>
        <v>4455569.81757867</v>
      </c>
    </row>
    <row r="17" customFormat="false" ht="15" hidden="false" customHeight="false" outlineLevel="0" collapsed="false">
      <c r="A17" s="15" t="s">
        <v>676</v>
      </c>
      <c r="B17" s="15"/>
      <c r="C17" s="15"/>
      <c r="D17" s="15"/>
      <c r="E17" s="15"/>
    </row>
    <row r="18" customFormat="false" ht="42" hidden="false" customHeight="true" outlineLevel="0" collapsed="false">
      <c r="A18" s="19" t="s">
        <v>228</v>
      </c>
      <c r="B18" s="19" t="s">
        <v>83</v>
      </c>
      <c r="C18" s="19" t="s">
        <v>84</v>
      </c>
      <c r="D18" s="19" t="s">
        <v>85</v>
      </c>
      <c r="E18" s="19" t="s">
        <v>308</v>
      </c>
    </row>
    <row r="19" customFormat="false" ht="15" hidden="false" customHeight="false" outlineLevel="0" collapsed="false">
      <c r="A19" s="14" t="str">
        <f aca="false">Assumptions!B10</f>
        <v>Paid search annual budget</v>
      </c>
      <c r="B19" s="20" t="n">
        <f aca="false">Assumptions!D10</f>
        <v>1900000</v>
      </c>
      <c r="C19" s="20" t="n">
        <f aca="false">Assumptions!E10</f>
        <v>2200000</v>
      </c>
      <c r="D19" s="20" t="n">
        <f aca="false">Assumptions!F10</f>
        <v>1700000</v>
      </c>
      <c r="E19" s="14" t="str">
        <f aca="false">Assumptions!I10</f>
        <v>Management judgement</v>
      </c>
    </row>
    <row r="20" customFormat="false" ht="15" hidden="false" customHeight="false" outlineLevel="0" collapsed="false">
      <c r="A20" s="14" t="str">
        <f aca="false">Assumptions!B11</f>
        <v>Paid social annual budget</v>
      </c>
      <c r="B20" s="20" t="n">
        <f aca="false">Assumptions!D11</f>
        <v>950000</v>
      </c>
      <c r="C20" s="20" t="n">
        <f aca="false">Assumptions!E11</f>
        <v>1100000</v>
      </c>
      <c r="D20" s="20" t="n">
        <f aca="false">Assumptions!F11</f>
        <v>850000</v>
      </c>
      <c r="E20" s="14" t="str">
        <f aca="false">Assumptions!I11</f>
        <v>Management judgement</v>
      </c>
    </row>
    <row r="21" customFormat="false" ht="15" hidden="false" customHeight="false" outlineLevel="0" collapsed="false">
      <c r="A21" s="14" t="str">
        <f aca="false">Assumptions!B12</f>
        <v>Display and video annual budget</v>
      </c>
      <c r="B21" s="20" t="n">
        <f aca="false">Assumptions!D12</f>
        <v>200000</v>
      </c>
      <c r="C21" s="20" t="n">
        <f aca="false">Assumptions!E12</f>
        <v>250000</v>
      </c>
      <c r="D21" s="20" t="n">
        <f aca="false">Assumptions!F12</f>
        <v>150000</v>
      </c>
      <c r="E21" s="14" t="str">
        <f aca="false">Assumptions!I12</f>
        <v>Management judgement</v>
      </c>
    </row>
    <row r="22" customFormat="false" ht="15" hidden="false" customHeight="false" outlineLevel="0" collapsed="false">
      <c r="A22" s="14" t="str">
        <f aca="false">Assumptions!B6</f>
        <v>Organic and direct sessions growth vs Y-1</v>
      </c>
      <c r="B22" s="31" t="n">
        <f aca="false">Assumptions!D6</f>
        <v>0.04</v>
      </c>
      <c r="C22" s="31" t="n">
        <f aca="false">Assumptions!E6</f>
        <v>0.07</v>
      </c>
      <c r="D22" s="31" t="n">
        <f aca="false">Assumptions!F6</f>
        <v>0</v>
      </c>
      <c r="E22" s="14" t="str">
        <f aca="false">Assumptions!I6</f>
        <v>Management judgement</v>
      </c>
    </row>
    <row r="23" customFormat="false" ht="15" hidden="false" customHeight="false" outlineLevel="0" collapsed="false">
      <c r="A23" s="14" t="str">
        <f aca="false">Assumptions!B7</f>
        <v>Email and CRM sessions growth vs Y-1</v>
      </c>
      <c r="B23" s="31" t="n">
        <f aca="false">Assumptions!D7</f>
        <v>0.03</v>
      </c>
      <c r="C23" s="31" t="n">
        <f aca="false">Assumptions!E7</f>
        <v>0.06</v>
      </c>
      <c r="D23" s="31" t="n">
        <f aca="false">Assumptions!F7</f>
        <v>-0.02</v>
      </c>
      <c r="E23" s="14" t="str">
        <f aca="false">Assumptions!I7</f>
        <v>Management judgement</v>
      </c>
    </row>
    <row r="24" customFormat="false" ht="15" hidden="false" customHeight="false" outlineLevel="0" collapsed="false">
      <c r="A24" s="14" t="str">
        <f aca="false">Assumptions!B18</f>
        <v>Conversion rate change vs baseline (relative)</v>
      </c>
      <c r="B24" s="31" t="n">
        <f aca="false">Assumptions!D18</f>
        <v>0</v>
      </c>
      <c r="C24" s="31" t="n">
        <f aca="false">Assumptions!E18</f>
        <v>0.03</v>
      </c>
      <c r="D24" s="31" t="n">
        <f aca="false">Assumptions!F18</f>
        <v>-0.04</v>
      </c>
      <c r="E24" s="14" t="str">
        <f aca="false">Assumptions!I18</f>
        <v>Untested hypothesis</v>
      </c>
    </row>
    <row r="25" customFormat="false" ht="15" hidden="false" customHeight="false" outlineLevel="0" collapsed="false">
      <c r="A25" s="14" t="str">
        <f aca="false">Assumptions!B19</f>
        <v>AOV change vs baseline (relative)</v>
      </c>
      <c r="B25" s="31" t="n">
        <f aca="false">Assumptions!D19</f>
        <v>0.02</v>
      </c>
      <c r="C25" s="31" t="n">
        <f aca="false">Assumptions!E19</f>
        <v>0.04</v>
      </c>
      <c r="D25" s="31" t="n">
        <f aca="false">Assumptions!F19</f>
        <v>0</v>
      </c>
      <c r="E25" s="14" t="str">
        <f aca="false">Assumptions!I19</f>
        <v>Management judgement</v>
      </c>
    </row>
    <row r="26" customFormat="false" ht="15" hidden="false" customHeight="false" outlineLevel="0" collapsed="false">
      <c r="A26" s="14" t="str">
        <f aca="false">Assumptions!B20</f>
        <v>Discount depth change vs baseline (points)</v>
      </c>
      <c r="B26" s="31" t="n">
        <f aca="false">Assumptions!D20</f>
        <v>0</v>
      </c>
      <c r="C26" s="31" t="n">
        <f aca="false">Assumptions!E20</f>
        <v>-0.01</v>
      </c>
      <c r="D26" s="31" t="n">
        <f aca="false">Assumptions!F20</f>
        <v>0.02</v>
      </c>
      <c r="E26" s="14" t="str">
        <f aca="false">Assumptions!I20</f>
        <v>Management judgement</v>
      </c>
    </row>
    <row r="27" customFormat="false" ht="15" hidden="false" customHeight="false" outlineLevel="0" collapsed="false">
      <c r="A27" s="14" t="str">
        <f aca="false">Assumptions!B21</f>
        <v>Returns rate change vs baseline (points)</v>
      </c>
      <c r="B27" s="31" t="n">
        <f aca="false">Assumptions!D21</f>
        <v>0</v>
      </c>
      <c r="C27" s="31" t="n">
        <f aca="false">Assumptions!E21</f>
        <v>-0.01</v>
      </c>
      <c r="D27" s="31" t="n">
        <f aca="false">Assumptions!F21</f>
        <v>0.015</v>
      </c>
      <c r="E27" s="14" t="str">
        <f aca="false">Assumptions!I21</f>
        <v>Management judgement</v>
      </c>
    </row>
    <row r="28" customFormat="false" ht="15" hidden="false" customHeight="false" outlineLevel="0" collapsed="false">
      <c r="A28" s="14" t="str">
        <f aca="false">Assumptions!B13</f>
        <v>Media cost per session inflation vs baseline</v>
      </c>
      <c r="B28" s="31" t="n">
        <f aca="false">Assumptions!D13</f>
        <v>0.05</v>
      </c>
      <c r="C28" s="31" t="n">
        <f aca="false">Assumptions!E13</f>
        <v>0.03</v>
      </c>
      <c r="D28" s="31" t="n">
        <f aca="false">Assumptions!F13</f>
        <v>0.08</v>
      </c>
      <c r="E28" s="14" t="str">
        <f aca="false">Assumptions!I13</f>
        <v>External benchmark</v>
      </c>
    </row>
    <row r="29" customFormat="false" ht="15" hidden="false" customHeight="false" outlineLevel="0" collapsed="false">
      <c r="A29" s="14" t="str">
        <f aca="false">Assumptions!B14</f>
        <v>Diminishing returns exponent: paid search</v>
      </c>
      <c r="B29" s="36" t="n">
        <f aca="false">Assumptions!D14</f>
        <v>0.35</v>
      </c>
      <c r="C29" s="36" t="n">
        <f aca="false">Assumptions!E14</f>
        <v>0.3</v>
      </c>
      <c r="D29" s="36" t="n">
        <f aca="false">Assumptions!F14</f>
        <v>0.45</v>
      </c>
      <c r="E29" s="14" t="str">
        <f aca="false">Assumptions!I14</f>
        <v>Untested hypothesis</v>
      </c>
    </row>
    <row r="30" customFormat="false" ht="15" hidden="false" customHeight="false" outlineLevel="0" collapsed="false">
      <c r="A30" s="14" t="str">
        <f aca="false">Assumptions!B15</f>
        <v>Diminishing returns exponent: paid social</v>
      </c>
      <c r="B30" s="36" t="n">
        <f aca="false">Assumptions!D15</f>
        <v>0.25</v>
      </c>
      <c r="C30" s="36" t="n">
        <f aca="false">Assumptions!E15</f>
        <v>0.2</v>
      </c>
      <c r="D30" s="36" t="n">
        <f aca="false">Assumptions!F15</f>
        <v>0.35</v>
      </c>
      <c r="E30" s="14" t="str">
        <f aca="false">Assumptions!I15</f>
        <v>Untested hypothesis</v>
      </c>
    </row>
    <row r="31" customFormat="false" ht="15" hidden="false" customHeight="false" outlineLevel="0" collapsed="false">
      <c r="A31" s="14" t="str">
        <f aca="false">Assumptions!B16</f>
        <v>Diminishing returns exponent: display and video</v>
      </c>
      <c r="B31" s="36" t="n">
        <f aca="false">Assumptions!D16</f>
        <v>0.2</v>
      </c>
      <c r="C31" s="36" t="n">
        <f aca="false">Assumptions!E16</f>
        <v>0.15</v>
      </c>
      <c r="D31" s="36" t="n">
        <f aca="false">Assumptions!F16</f>
        <v>0.3</v>
      </c>
      <c r="E31" s="14" t="str">
        <f aca="false">Assumptions!I16</f>
        <v>Untested hypothesis</v>
      </c>
    </row>
    <row r="34" customFormat="false" ht="15" hidden="false" customHeight="false" outlineLevel="0" collapsed="false">
      <c r="A34" s="15" t="s">
        <v>677</v>
      </c>
      <c r="B34" s="15"/>
      <c r="C34" s="15"/>
      <c r="D34" s="15"/>
      <c r="E34" s="15"/>
    </row>
    <row r="35" customFormat="false" ht="15" hidden="false" customHeight="false" outlineLevel="0" collapsed="false">
      <c r="A35" s="13" t="s">
        <v>87</v>
      </c>
      <c r="B35" s="20" t="n">
        <f aca="false">'P&amp;L'!N14</f>
        <v>22234811.322021</v>
      </c>
    </row>
    <row r="36" customFormat="false" ht="15" hidden="false" customHeight="false" outlineLevel="0" collapsed="false">
      <c r="A36" s="13" t="s">
        <v>601</v>
      </c>
      <c r="B36" s="20" t="n">
        <f aca="false">'P&amp;L'!N10</f>
        <v>30010308.7743128</v>
      </c>
    </row>
    <row r="37" customFormat="false" ht="15" hidden="false" customHeight="false" outlineLevel="0" collapsed="false">
      <c r="A37" s="13" t="s">
        <v>606</v>
      </c>
      <c r="B37" s="20" t="n">
        <f aca="false">'P&amp;L'!N17</f>
        <v>12197918.0707396</v>
      </c>
    </row>
    <row r="38" customFormat="false" ht="15" hidden="false" customHeight="false" outlineLevel="0" collapsed="false">
      <c r="A38" s="13" t="s">
        <v>596</v>
      </c>
      <c r="B38" s="20" t="n">
        <f aca="false">'P&amp;L'!N32</f>
        <v>8516094.62530364</v>
      </c>
    </row>
    <row r="39" customFormat="false" ht="15" hidden="false" customHeight="false" outlineLevel="0" collapsed="false">
      <c r="A39" s="13" t="s">
        <v>88</v>
      </c>
      <c r="B39" s="20" t="n">
        <f aca="false">'P&amp;L'!N33</f>
        <v>3050000</v>
      </c>
    </row>
    <row r="40" customFormat="false" ht="15" hidden="false" customHeight="false" outlineLevel="0" collapsed="false">
      <c r="A40" s="13" t="s">
        <v>678</v>
      </c>
      <c r="B40" s="23" t="n">
        <f aca="false">'P&amp;L'!N9</f>
        <v>75.2344538977391</v>
      </c>
    </row>
    <row r="41" customFormat="false" ht="15" hidden="false" customHeight="false" outlineLevel="0" collapsed="false">
      <c r="A41" s="13" t="s">
        <v>679</v>
      </c>
      <c r="B41" s="31" t="n">
        <f aca="false">IFERROR('Sales Build'!R58/'Sales Build'!Q58,0)</f>
        <v>0.142717518935789</v>
      </c>
    </row>
    <row r="42" customFormat="false" ht="15" hidden="false" customHeight="false" outlineLevel="0" collapsed="false">
      <c r="A42" s="13" t="s">
        <v>680</v>
      </c>
      <c r="B42" s="31" t="n">
        <f aca="false">1-Assumptions!$G$23</f>
        <v>0.38</v>
      </c>
    </row>
    <row r="43" customFormat="false" ht="15" hidden="false" customHeight="false" outlineLevel="0" collapsed="false">
      <c r="A43" s="13" t="s">
        <v>681</v>
      </c>
      <c r="B43" s="20" t="n">
        <f aca="false">'P&amp;L'!N20+'P&amp;L'!N27+'P&amp;L'!N28+'P&amp;L'!N30</f>
        <v>978952.69571052</v>
      </c>
    </row>
    <row r="44" customFormat="false" ht="15" hidden="false" customHeight="false" outlineLevel="0" collapsed="false">
      <c r="A44" s="13" t="s">
        <v>682</v>
      </c>
      <c r="B44" s="31" t="n">
        <f aca="false">IFERROR(('Sales Build'!G58+'Sales Build'!H58+'Sales Build'!I58)/'Sales Build'!J58,0)</f>
        <v>0.573872459949172</v>
      </c>
    </row>
    <row r="45" customFormat="false" ht="15" hidden="false" customHeight="false" outlineLevel="0" collapsed="false">
      <c r="A45" s="13" t="s">
        <v>683</v>
      </c>
      <c r="B45" s="31" t="n">
        <f aca="false">IFERROR('Sales Build'!D58/'Sales Build'!J58,0)</f>
        <v>0.230638668083809</v>
      </c>
    </row>
    <row r="46" customFormat="false" ht="15" hidden="false" customHeight="false" outlineLevel="0" collapsed="false">
      <c r="A46" s="13" t="s">
        <v>684</v>
      </c>
      <c r="B46" s="31" t="n">
        <f aca="false">IFERROR('Sales Build'!E58/'Sales Build'!J58,0)</f>
        <v>0.14853210132838</v>
      </c>
    </row>
    <row r="47" customFormat="false" ht="15" hidden="false" customHeight="false" outlineLevel="0" collapsed="false">
      <c r="A47" s="13" t="s">
        <v>685</v>
      </c>
      <c r="B47" s="31" t="n">
        <f aca="false">IFERROR('Sales Build'!F58/'Sales Build'!J58,0)</f>
        <v>0.0469567706386393</v>
      </c>
    </row>
    <row r="48" customFormat="false" ht="15" hidden="false" customHeight="false" outlineLevel="0" collapsed="false">
      <c r="A48" s="13" t="s">
        <v>686</v>
      </c>
      <c r="B48" s="29" t="n">
        <f aca="false">B45*(1.1^(1-Assumptions!$G$14)-1)+B46*(1.1^(1-Assumptions!$G$15)-1)+B47*(1.1^(1-Assumptions!$G$16)-1)</f>
        <v>0.0294668728984944</v>
      </c>
    </row>
    <row r="49" customFormat="false" ht="15" hidden="false" customHeight="false" outlineLevel="0" collapsed="false">
      <c r="A49" s="13" t="s">
        <v>687</v>
      </c>
      <c r="B49" s="36" t="n">
        <f aca="false">B42/(1-B41)*(1+Assumptions!$G$25)-B42/(1-B41)*Assumptions!$G$24</f>
        <v>0.434395905930226</v>
      </c>
    </row>
    <row r="50" customFormat="false" ht="15" hidden="false" customHeight="false" outlineLevel="0" collapsed="false">
      <c r="A50" s="13" t="s">
        <v>688</v>
      </c>
      <c r="B50" s="36" t="n">
        <f aca="false">IFERROR((Assumptions!$G$31+Assumptions!$G$32)/B40,0)</f>
        <v>0.0611421996397084</v>
      </c>
    </row>
    <row r="52" customFormat="false" ht="15" hidden="false" customHeight="false" outlineLevel="0" collapsed="false">
      <c r="A52" s="15" t="s">
        <v>689</v>
      </c>
      <c r="B52" s="15"/>
      <c r="C52" s="15"/>
      <c r="D52" s="15"/>
      <c r="E52" s="15"/>
    </row>
    <row r="53" customFormat="false" ht="42" hidden="false" customHeight="true" outlineLevel="0" collapsed="false">
      <c r="A53" s="19" t="s">
        <v>114</v>
      </c>
      <c r="B53" s="19" t="s">
        <v>119</v>
      </c>
      <c r="C53" s="19" t="s">
        <v>690</v>
      </c>
      <c r="D53" s="19" t="s">
        <v>691</v>
      </c>
      <c r="E53" s="19" t="s">
        <v>290</v>
      </c>
    </row>
    <row r="54" customFormat="false" ht="15" hidden="false" customHeight="false" outlineLevel="0" collapsed="false">
      <c r="A54" s="13" t="s">
        <v>464</v>
      </c>
      <c r="B54" s="13" t="s">
        <v>692</v>
      </c>
      <c r="C54" s="49" t="n">
        <f aca="false">0.01*$B$35</f>
        <v>222348.11322021</v>
      </c>
      <c r="D54" s="49" t="n">
        <f aca="false">0.01*$B$38</f>
        <v>85160.9462530364</v>
      </c>
      <c r="E54" s="13" t="s">
        <v>693</v>
      </c>
    </row>
    <row r="55" customFormat="false" ht="15" hidden="false" customHeight="false" outlineLevel="0" collapsed="false">
      <c r="A55" s="13" t="s">
        <v>678</v>
      </c>
      <c r="B55" s="13" t="s">
        <v>692</v>
      </c>
      <c r="C55" s="49" t="n">
        <f aca="false">0.01*$B$35</f>
        <v>222348.11322021</v>
      </c>
      <c r="D55" s="49" t="n">
        <f aca="false">0.01*($B$37-$B$43)</f>
        <v>112189.653750291</v>
      </c>
      <c r="E55" s="13" t="s">
        <v>694</v>
      </c>
    </row>
    <row r="56" customFormat="false" ht="15" hidden="false" customHeight="false" outlineLevel="0" collapsed="false">
      <c r="A56" s="13" t="s">
        <v>695</v>
      </c>
      <c r="B56" s="13" t="s">
        <v>696</v>
      </c>
      <c r="C56" s="49" t="n">
        <f aca="false">0.01*$B$35*$B$44</f>
        <v>127599.458698739</v>
      </c>
      <c r="D56" s="49" t="n">
        <f aca="false">0.01*$B$38*$B$44</f>
        <v>48871.5217178292</v>
      </c>
      <c r="E56" s="13" t="s">
        <v>697</v>
      </c>
    </row>
    <row r="57" customFormat="false" ht="15" hidden="false" customHeight="false" outlineLevel="0" collapsed="false">
      <c r="A57" s="13" t="s">
        <v>468</v>
      </c>
      <c r="B57" s="13" t="s">
        <v>698</v>
      </c>
      <c r="C57" s="49" t="n">
        <f aca="false">-0.01*$B$36</f>
        <v>-300103.087743128</v>
      </c>
      <c r="D57" s="49" t="n">
        <f aca="false">-0.01*$B$36*(1-$B$49+$B$50)</f>
        <v>-188088.497973777</v>
      </c>
      <c r="E57" s="13" t="s">
        <v>699</v>
      </c>
    </row>
    <row r="58" customFormat="false" ht="15" hidden="false" customHeight="false" outlineLevel="0" collapsed="false">
      <c r="A58" s="13" t="s">
        <v>467</v>
      </c>
      <c r="B58" s="13" t="s">
        <v>698</v>
      </c>
      <c r="C58" s="49" t="n">
        <f aca="false">0</f>
        <v>0</v>
      </c>
      <c r="D58" s="20" t="n">
        <f aca="false">-($B$35*$B$42/(1-$B$41-0.01)-$B$35*$B$42/(1-$B$41))*(1+Assumptions!$G$25)</f>
        <v>-119812.490075279</v>
      </c>
      <c r="E58" s="13" t="s">
        <v>700</v>
      </c>
    </row>
    <row r="59" customFormat="false" ht="15" hidden="false" customHeight="false" outlineLevel="0" collapsed="false">
      <c r="A59" s="13" t="s">
        <v>701</v>
      </c>
      <c r="B59" s="13" t="s">
        <v>702</v>
      </c>
      <c r="C59" s="49" t="n">
        <f aca="false">$B$35*$B$48</f>
        <v>655190.359147996</v>
      </c>
      <c r="D59" s="49" t="n">
        <f aca="false">$B$38*$B$48-0.1*$B$39</f>
        <v>-54057.3220846264</v>
      </c>
      <c r="E59" s="13" t="s">
        <v>703</v>
      </c>
    </row>
    <row r="62" customFormat="false" ht="15" hidden="false" customHeight="false" outlineLevel="0" collapsed="false">
      <c r="A62" s="15" t="s">
        <v>704</v>
      </c>
      <c r="B62" s="15"/>
      <c r="C62" s="15"/>
      <c r="D62" s="15"/>
      <c r="E62" s="15"/>
    </row>
    <row r="63" customFormat="false" ht="15" hidden="false" customHeight="false" outlineLevel="0" collapsed="false">
      <c r="A63" s="13" t="s">
        <v>705</v>
      </c>
    </row>
    <row r="64" customFormat="false" ht="42" hidden="false" customHeight="true" outlineLevel="0" collapsed="false">
      <c r="A64" s="19" t="s">
        <v>706</v>
      </c>
      <c r="B64" s="19" t="s">
        <v>82</v>
      </c>
      <c r="C64" s="19" t="s">
        <v>707</v>
      </c>
      <c r="D64" s="19" t="s">
        <v>708</v>
      </c>
      <c r="E64" s="19" t="s">
        <v>137</v>
      </c>
    </row>
    <row r="65" customFormat="false" ht="15" hidden="false" customHeight="false" outlineLevel="0" collapsed="false">
      <c r="A65" s="27" t="s">
        <v>464</v>
      </c>
      <c r="B65" s="27" t="s">
        <v>709</v>
      </c>
      <c r="C65" s="27" t="s">
        <v>710</v>
      </c>
      <c r="D65" s="27" t="s">
        <v>711</v>
      </c>
      <c r="E65" s="27" t="s">
        <v>140</v>
      </c>
    </row>
    <row r="66" customFormat="false" ht="15" hidden="false" customHeight="false" outlineLevel="0" collapsed="false">
      <c r="A66" s="27" t="s">
        <v>468</v>
      </c>
      <c r="B66" s="27" t="s">
        <v>709</v>
      </c>
      <c r="C66" s="27" t="s">
        <v>712</v>
      </c>
      <c r="D66" s="27" t="s">
        <v>713</v>
      </c>
      <c r="E66" s="27" t="s">
        <v>140</v>
      </c>
    </row>
    <row r="67" customFormat="false" ht="15" hidden="false" customHeight="false" outlineLevel="0" collapsed="false">
      <c r="A67" s="27" t="s">
        <v>714</v>
      </c>
      <c r="B67" s="27" t="s">
        <v>715</v>
      </c>
      <c r="C67" s="27" t="s">
        <v>716</v>
      </c>
      <c r="D67" s="27" t="s">
        <v>717</v>
      </c>
      <c r="E67" s="27" t="s">
        <v>146</v>
      </c>
    </row>
    <row r="68" customFormat="false" ht="15" hidden="false" customHeight="false" outlineLevel="0" collapsed="false">
      <c r="A68" s="27" t="s">
        <v>87</v>
      </c>
      <c r="B68" s="27" t="s">
        <v>718</v>
      </c>
      <c r="C68" s="27" t="s">
        <v>719</v>
      </c>
      <c r="D68" s="27" t="s">
        <v>720</v>
      </c>
      <c r="E68" s="27" t="s">
        <v>152</v>
      </c>
    </row>
    <row r="69" customFormat="false" ht="15" hidden="false" customHeight="false" outlineLevel="0" collapsed="false">
      <c r="A69" s="27" t="s">
        <v>467</v>
      </c>
      <c r="B69" s="27" t="s">
        <v>721</v>
      </c>
      <c r="C69" s="27" t="s">
        <v>722</v>
      </c>
      <c r="D69" s="27" t="s">
        <v>723</v>
      </c>
      <c r="E69" s="27" t="s">
        <v>143</v>
      </c>
    </row>
    <row r="72" customFormat="false" ht="15" hidden="false" customHeight="false" outlineLevel="0" collapsed="false">
      <c r="A72" s="15" t="s">
        <v>95</v>
      </c>
      <c r="B72" s="15"/>
      <c r="C72" s="15"/>
      <c r="D72" s="15"/>
      <c r="E72" s="15"/>
    </row>
    <row r="73" customFormat="false" ht="42" hidden="false" customHeight="true" outlineLevel="0" collapsed="false">
      <c r="A73" s="19" t="s">
        <v>96</v>
      </c>
      <c r="B73" s="19" t="s">
        <v>97</v>
      </c>
      <c r="C73" s="19" t="s">
        <v>98</v>
      </c>
      <c r="D73" s="19" t="s">
        <v>99</v>
      </c>
      <c r="E73" s="19" t="s">
        <v>100</v>
      </c>
    </row>
    <row r="74" customFormat="false" ht="15" hidden="false" customHeight="false" outlineLevel="0" collapsed="false">
      <c r="A74" s="13" t="s">
        <v>724</v>
      </c>
      <c r="B74" s="20" t="n">
        <f aca="false">'Engine Upside Trading'!Q58-'Engine Base'!Q58</f>
        <v>2076578.25555537</v>
      </c>
      <c r="C74" s="20" t="n">
        <f aca="false">'Engine Upside Trading'!Z58-'Engine Base'!Z58</f>
        <v>1313705.62875612</v>
      </c>
      <c r="D74" s="20" t="n">
        <f aca="false">'Engine Upside Trading'!Y58-'Engine Base'!Y58</f>
        <v>0</v>
      </c>
    </row>
    <row r="75" customFormat="false" ht="15" hidden="false" customHeight="false" outlineLevel="0" collapsed="false">
      <c r="A75" s="13" t="s">
        <v>725</v>
      </c>
      <c r="B75" s="20" t="n">
        <f aca="false">'Engine Upside'!Q58-'Engine Upside Trading'!Q58</f>
        <v>1292515.61224083</v>
      </c>
      <c r="C75" s="20" t="n">
        <f aca="false">'Engine Upside'!Z58-'Engine Upside Trading'!Z58</f>
        <v>32386.8286873773</v>
      </c>
      <c r="D75" s="20" t="n">
        <f aca="false">'Engine Upside'!Y58-'Engine Upside Trading'!Y58</f>
        <v>500000</v>
      </c>
      <c r="E75" s="58" t="n">
        <f aca="false">IFERROR(C75/D75,0)</f>
        <v>0.0647736573747546</v>
      </c>
    </row>
    <row r="76" customFormat="false" ht="15" hidden="false" customHeight="false" outlineLevel="0" collapsed="false">
      <c r="A76" s="86" t="s">
        <v>726</v>
      </c>
      <c r="B76" s="25" t="n">
        <f aca="false">'Engine Upside'!Q58-'Engine Base'!Q58</f>
        <v>3369093.8677962</v>
      </c>
      <c r="C76" s="25" t="n">
        <f aca="false">'Engine Upside'!Z58-'Engine Base'!Z58</f>
        <v>1346092.4574435</v>
      </c>
      <c r="D76" s="25" t="n">
        <f aca="false">'Engine Upside'!Y58-'Engine Base'!Y58</f>
        <v>500000</v>
      </c>
      <c r="E76" s="87"/>
    </row>
    <row r="77" customFormat="false" ht="15" hidden="false" customHeight="false" outlineLevel="0" collapsed="false">
      <c r="A77" s="13" t="s">
        <v>727</v>
      </c>
      <c r="B77" s="20" t="n">
        <f aca="false">'Engine Downside Trading'!Q58-'Engine Base'!Q58</f>
        <v>-2554205.34559922</v>
      </c>
      <c r="C77" s="20" t="n">
        <f aca="false">'Engine Downside Trading'!Z58-'Engine Base'!Z58</f>
        <v>-1672192.05455827</v>
      </c>
      <c r="D77" s="20" t="n">
        <f aca="false">'Engine Downside Trading'!Y58-'Engine Base'!Y58</f>
        <v>0</v>
      </c>
    </row>
    <row r="78" customFormat="false" ht="15" hidden="false" customHeight="false" outlineLevel="0" collapsed="false">
      <c r="A78" s="13" t="s">
        <v>728</v>
      </c>
      <c r="B78" s="20" t="n">
        <f aca="false">'Engine Downside'!Q58-'Engine Downside Trading'!Q58</f>
        <v>-636175.794000413</v>
      </c>
      <c r="C78" s="20" t="n">
        <f aca="false">'Engine Downside'!Z58-'Engine Downside Trading'!Z58</f>
        <v>123319.890813641</v>
      </c>
      <c r="D78" s="20" t="n">
        <f aca="false">'Engine Downside'!Y58-'Engine Downside Trading'!Y58</f>
        <v>-350000</v>
      </c>
      <c r="E78" s="58" t="n">
        <f aca="false">IFERROR(C78/D78,0)</f>
        <v>-0.352342545181831</v>
      </c>
    </row>
    <row r="79" customFormat="false" ht="15" hidden="false" customHeight="false" outlineLevel="0" collapsed="false">
      <c r="A79" s="86" t="s">
        <v>729</v>
      </c>
      <c r="B79" s="25" t="n">
        <f aca="false">'Engine Downside'!Q58-'Engine Base'!Q58</f>
        <v>-3190381.13959963</v>
      </c>
      <c r="C79" s="25" t="n">
        <f aca="false">'Engine Downside'!Z58-'Engine Base'!Z58</f>
        <v>-1548872.16374463</v>
      </c>
      <c r="D79" s="25" t="n">
        <f aca="false">'Engine Downside'!Y58-'Engine Base'!Y58</f>
        <v>-350000</v>
      </c>
      <c r="E79" s="87"/>
    </row>
    <row r="80" customFormat="false" ht="15" hidden="false" customHeight="false" outlineLevel="0" collapsed="false">
      <c r="A80" s="13" t="s">
        <v>730</v>
      </c>
    </row>
  </sheetData>
  <sheetProtection sheet="true" formatColumns="false" formatRows="false"/>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A7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2" min="1" style="0" width="7"/>
    <col collapsed="false" customWidth="true" hidden="false" outlineLevel="0" max="23" min="3" style="0" width="13"/>
    <col collapsed="false" customWidth="true" hidden="false" outlineLevel="0" max="24" min="24" style="0" width="30"/>
    <col collapsed="false" customWidth="true" hidden="false" outlineLevel="0" max="25" min="25" style="0" width="34"/>
    <col collapsed="false" customWidth="true" hidden="false" outlineLevel="0" max="26" min="26" style="0" width="18"/>
    <col collapsed="false" customWidth="true" hidden="false" outlineLevel="0" max="27" min="27" style="0" width="14"/>
  </cols>
  <sheetData>
    <row r="1" customFormat="false" ht="17.35" hidden="false" customHeight="false" outlineLevel="0" collapsed="false">
      <c r="A1" s="1" t="s">
        <v>731</v>
      </c>
    </row>
    <row r="2" customFormat="false" ht="15" hidden="false" customHeight="false" outlineLevel="0" collapsed="false">
      <c r="A2" s="2" t="s">
        <v>732</v>
      </c>
    </row>
    <row r="5" customFormat="false" ht="42" hidden="false" customHeight="true" outlineLevel="0" collapsed="false">
      <c r="A5" s="19" t="s">
        <v>410</v>
      </c>
      <c r="B5" s="19" t="s">
        <v>413</v>
      </c>
      <c r="C5" s="19" t="s">
        <v>733</v>
      </c>
      <c r="D5" s="19" t="s">
        <v>734</v>
      </c>
      <c r="E5" s="19" t="s">
        <v>735</v>
      </c>
      <c r="F5" s="19" t="s">
        <v>736</v>
      </c>
      <c r="G5" s="19" t="s">
        <v>737</v>
      </c>
      <c r="H5" s="19" t="s">
        <v>738</v>
      </c>
      <c r="I5" s="19" t="s">
        <v>739</v>
      </c>
      <c r="J5" s="19" t="s">
        <v>740</v>
      </c>
      <c r="K5" s="19" t="s">
        <v>741</v>
      </c>
      <c r="L5" s="19" t="s">
        <v>742</v>
      </c>
      <c r="M5" s="19" t="s">
        <v>743</v>
      </c>
      <c r="N5" s="19" t="s">
        <v>744</v>
      </c>
      <c r="O5" s="19" t="s">
        <v>745</v>
      </c>
      <c r="P5" s="19" t="s">
        <v>746</v>
      </c>
      <c r="Q5" s="19" t="s">
        <v>747</v>
      </c>
      <c r="R5" s="19" t="s">
        <v>748</v>
      </c>
      <c r="S5" s="19" t="s">
        <v>749</v>
      </c>
      <c r="T5" s="19" t="s">
        <v>750</v>
      </c>
      <c r="U5" s="19" t="s">
        <v>751</v>
      </c>
      <c r="V5" s="19" t="s">
        <v>752</v>
      </c>
      <c r="W5" s="19" t="s">
        <v>753</v>
      </c>
      <c r="X5" s="19" t="s">
        <v>754</v>
      </c>
      <c r="Y5" s="19" t="s">
        <v>755</v>
      </c>
      <c r="Z5" s="19" t="s">
        <v>137</v>
      </c>
      <c r="AA5" s="19" t="s">
        <v>756</v>
      </c>
    </row>
    <row r="6" customFormat="false" ht="15" hidden="false" customHeight="false" outlineLevel="0" collapsed="false">
      <c r="A6" s="13" t="n">
        <v>1</v>
      </c>
      <c r="B6" s="14" t="str">
        <f aca="false">Calendar!D6</f>
        <v>P1</v>
      </c>
      <c r="C6" s="20" t="n">
        <f aca="false">'Sales Build'!U6</f>
        <v>329596.92500116</v>
      </c>
      <c r="D6" s="69"/>
      <c r="E6" s="49" t="str">
        <f aca="false">IF(D6="","",D6-C6)</f>
        <v/>
      </c>
      <c r="F6" s="22" t="str">
        <f aca="false">IF(D6="","",IFERROR(D6/C6-1,0))</f>
        <v/>
      </c>
      <c r="G6" s="21" t="n">
        <f aca="false">'Sales Build'!J6</f>
        <v>270336.517870481</v>
      </c>
      <c r="H6" s="88"/>
      <c r="I6" s="29" t="n">
        <f aca="false">IFERROR('Sales Build'!M6/'Sales Build'!J6,0)</f>
        <v>0.0212658125863818</v>
      </c>
      <c r="J6" s="89"/>
      <c r="K6" s="23" t="n">
        <f aca="false">'Sales Build'!N6</f>
        <v>76.8682868603814</v>
      </c>
      <c r="L6" s="90"/>
      <c r="M6" s="31" t="n">
        <f aca="false">'Sales Build'!S6</f>
        <v>0.254153851431718</v>
      </c>
      <c r="N6" s="70"/>
      <c r="O6" s="49" t="str">
        <f aca="false">IF(COUNT(D6,H6,J6,L6,N6)=5,(H6-G6)*I6*K6*(1-M6),"")</f>
        <v/>
      </c>
      <c r="P6" s="49" t="str">
        <f aca="false">IF(COUNT(D6,H6,J6,L6,N6)=5,H6*(J6-I6)*K6*(1-M6),"")</f>
        <v/>
      </c>
      <c r="Q6" s="49" t="str">
        <f aca="false">IF(COUNT(D6,H6,J6,L6,N6)=5,H6*J6*(L6-K6)*(1-M6),"")</f>
        <v/>
      </c>
      <c r="R6" s="49" t="str">
        <f aca="false">IF(COUNT(D6,H6,J6,L6,N6)=5,H6*J6*L6*(M6-N6),"")</f>
        <v/>
      </c>
      <c r="S6" s="49" t="str">
        <f aca="false">IF(COUNT(D6,H6,J6,L6,N6)=5,E6-O6-P6-Q6-R6,"")</f>
        <v/>
      </c>
      <c r="T6" s="20" t="n">
        <f aca="false">'Media Plan'!U6</f>
        <v>47263.9694023958</v>
      </c>
      <c r="U6" s="69"/>
      <c r="V6" s="20" t="n">
        <f aca="false">Costs!U6</f>
        <v>91346.516690388</v>
      </c>
      <c r="W6" s="69"/>
      <c r="X6" s="37"/>
      <c r="Y6" s="37"/>
      <c r="Z6" s="37"/>
      <c r="AA6" s="69"/>
    </row>
    <row r="7" customFormat="false" ht="15" hidden="false" customHeight="false" outlineLevel="0" collapsed="false">
      <c r="A7" s="13" t="n">
        <v>2</v>
      </c>
      <c r="B7" s="14" t="str">
        <f aca="false">Calendar!D7</f>
        <v>P1</v>
      </c>
      <c r="C7" s="20" t="n">
        <f aca="false">'Sales Build'!U7</f>
        <v>349065.933343374</v>
      </c>
      <c r="D7" s="69"/>
      <c r="E7" s="49" t="str">
        <f aca="false">IF(D7="","",D7-C7)</f>
        <v/>
      </c>
      <c r="F7" s="22" t="str">
        <f aca="false">IF(D7="","",IFERROR(D7/C7-1,0))</f>
        <v/>
      </c>
      <c r="G7" s="21" t="n">
        <f aca="false">'Sales Build'!J7</f>
        <v>284783.040600358</v>
      </c>
      <c r="H7" s="88"/>
      <c r="I7" s="29" t="n">
        <f aca="false">IFERROR('Sales Build'!M7/'Sales Build'!J7,0)</f>
        <v>0.021601116421813</v>
      </c>
      <c r="J7" s="89"/>
      <c r="K7" s="23" t="n">
        <f aca="false">'Sales Build'!N7</f>
        <v>76.7322785893059</v>
      </c>
      <c r="L7" s="90"/>
      <c r="M7" s="31" t="n">
        <f aca="false">'Sales Build'!S7</f>
        <v>0.260498513514979</v>
      </c>
      <c r="N7" s="70"/>
      <c r="O7" s="49" t="str">
        <f aca="false">IF(COUNT(D7,H7,J7,L7,N7)=5,(H7-G7)*I7*K7*(1-M7),"")</f>
        <v/>
      </c>
      <c r="P7" s="49" t="str">
        <f aca="false">IF(COUNT(D7,H7,J7,L7,N7)=5,H7*(J7-I7)*K7*(1-M7),"")</f>
        <v/>
      </c>
      <c r="Q7" s="49" t="str">
        <f aca="false">IF(COUNT(D7,H7,J7,L7,N7)=5,H7*J7*(L7-K7)*(1-M7),"")</f>
        <v/>
      </c>
      <c r="R7" s="49" t="str">
        <f aca="false">IF(COUNT(D7,H7,J7,L7,N7)=5,H7*J7*L7*(M7-N7),"")</f>
        <v/>
      </c>
      <c r="S7" s="49" t="str">
        <f aca="false">IF(COUNT(D7,H7,J7,L7,N7)=5,E7-O7-P7-Q7-R7,"")</f>
        <v/>
      </c>
      <c r="T7" s="20" t="n">
        <f aca="false">'Media Plan'!U7</f>
        <v>50579.5425129965</v>
      </c>
      <c r="U7" s="69"/>
      <c r="V7" s="20" t="n">
        <f aca="false">Costs!U7</f>
        <v>95364.9615251991</v>
      </c>
      <c r="W7" s="69"/>
      <c r="X7" s="37"/>
      <c r="Y7" s="37"/>
      <c r="Z7" s="37"/>
      <c r="AA7" s="69"/>
    </row>
    <row r="8" customFormat="false" ht="15" hidden="false" customHeight="false" outlineLevel="0" collapsed="false">
      <c r="A8" s="13" t="n">
        <v>3</v>
      </c>
      <c r="B8" s="14" t="str">
        <f aca="false">Calendar!D8</f>
        <v>P1</v>
      </c>
      <c r="C8" s="20" t="n">
        <f aca="false">'Sales Build'!U8</f>
        <v>365362.138538616</v>
      </c>
      <c r="D8" s="69"/>
      <c r="E8" s="49" t="str">
        <f aca="false">IF(D8="","",D8-C8)</f>
        <v/>
      </c>
      <c r="F8" s="22" t="str">
        <f aca="false">IF(D8="","",IFERROR(D8/C8-1,0))</f>
        <v/>
      </c>
      <c r="G8" s="21" t="n">
        <f aca="false">'Sales Build'!J8</f>
        <v>287782.796038232</v>
      </c>
      <c r="H8" s="88"/>
      <c r="I8" s="29" t="n">
        <f aca="false">IFERROR('Sales Build'!M8/'Sales Build'!J8,0)</f>
        <v>0.0218344557386314</v>
      </c>
      <c r="J8" s="89"/>
      <c r="K8" s="23" t="n">
        <f aca="false">'Sales Build'!N8</f>
        <v>77.8797159543039</v>
      </c>
      <c r="L8" s="90"/>
      <c r="M8" s="31" t="n">
        <f aca="false">'Sales Build'!S8</f>
        <v>0.253393127812901</v>
      </c>
      <c r="N8" s="70"/>
      <c r="O8" s="49" t="str">
        <f aca="false">IF(COUNT(D8,H8,J8,L8,N8)=5,(H8-G8)*I8*K8*(1-M8),"")</f>
        <v/>
      </c>
      <c r="P8" s="49" t="str">
        <f aca="false">IF(COUNT(D8,H8,J8,L8,N8)=5,H8*(J8-I8)*K8*(1-M8),"")</f>
        <v/>
      </c>
      <c r="Q8" s="49" t="str">
        <f aca="false">IF(COUNT(D8,H8,J8,L8,N8)=5,H8*J8*(L8-K8)*(1-M8),"")</f>
        <v/>
      </c>
      <c r="R8" s="49" t="str">
        <f aca="false">IF(COUNT(D8,H8,J8,L8,N8)=5,H8*J8*L8*(M8-N8),"")</f>
        <v/>
      </c>
      <c r="S8" s="49" t="str">
        <f aca="false">IF(COUNT(D8,H8,J8,L8,N8)=5,E8-O8-P8-Q8-R8,"")</f>
        <v/>
      </c>
      <c r="T8" s="20" t="n">
        <f aca="false">'Media Plan'!U8</f>
        <v>51468.1471079387</v>
      </c>
      <c r="U8" s="69"/>
      <c r="V8" s="20" t="n">
        <f aca="false">Costs!U8</f>
        <v>101853.223064753</v>
      </c>
      <c r="W8" s="69"/>
      <c r="X8" s="37"/>
      <c r="Y8" s="37"/>
      <c r="Z8" s="37"/>
      <c r="AA8" s="69"/>
    </row>
    <row r="9" customFormat="false" ht="15" hidden="false" customHeight="false" outlineLevel="0" collapsed="false">
      <c r="A9" s="13" t="n">
        <v>4</v>
      </c>
      <c r="B9" s="14" t="str">
        <f aca="false">Calendar!D9</f>
        <v>P1</v>
      </c>
      <c r="C9" s="20" t="n">
        <f aca="false">'Sales Build'!U9</f>
        <v>328548.877625037</v>
      </c>
      <c r="D9" s="69"/>
      <c r="E9" s="49" t="str">
        <f aca="false">IF(D9="","",D9-C9)</f>
        <v/>
      </c>
      <c r="F9" s="22" t="str">
        <f aca="false">IF(D9="","",IFERROR(D9/C9-1,0))</f>
        <v/>
      </c>
      <c r="G9" s="21" t="n">
        <f aca="false">'Sales Build'!J9</f>
        <v>264487.327621461</v>
      </c>
      <c r="H9" s="88"/>
      <c r="I9" s="29" t="n">
        <f aca="false">IFERROR('Sales Build'!M9/'Sales Build'!J9,0)</f>
        <v>0.0212668465341303</v>
      </c>
      <c r="J9" s="89"/>
      <c r="K9" s="23" t="n">
        <f aca="false">'Sales Build'!N9</f>
        <v>78.0236824662813</v>
      </c>
      <c r="L9" s="90"/>
      <c r="M9" s="31" t="n">
        <f aca="false">'Sales Build'!S9</f>
        <v>0.251372841126127</v>
      </c>
      <c r="N9" s="70"/>
      <c r="O9" s="49" t="str">
        <f aca="false">IF(COUNT(D9,H9,J9,L9,N9)=5,(H9-G9)*I9*K9*(1-M9),"")</f>
        <v/>
      </c>
      <c r="P9" s="49" t="str">
        <f aca="false">IF(COUNT(D9,H9,J9,L9,N9)=5,H9*(J9-I9)*K9*(1-M9),"")</f>
        <v/>
      </c>
      <c r="Q9" s="49" t="str">
        <f aca="false">IF(COUNT(D9,H9,J9,L9,N9)=5,H9*J9*(L9-K9)*(1-M9),"")</f>
        <v/>
      </c>
      <c r="R9" s="49" t="str">
        <f aca="false">IF(COUNT(D9,H9,J9,L9,N9)=5,H9*J9*L9*(M9-N9),"")</f>
        <v/>
      </c>
      <c r="S9" s="49" t="str">
        <f aca="false">IF(COUNT(D9,H9,J9,L9,N9)=5,E9-O9-P9-Q9-R9,"")</f>
        <v/>
      </c>
      <c r="T9" s="20" t="n">
        <f aca="false">'Media Plan'!U9</f>
        <v>47282.9864143538</v>
      </c>
      <c r="U9" s="69"/>
      <c r="V9" s="20" t="n">
        <f aca="false">Costs!U9</f>
        <v>90629.8723522284</v>
      </c>
      <c r="W9" s="69"/>
      <c r="X9" s="37"/>
      <c r="Y9" s="37"/>
      <c r="Z9" s="37"/>
      <c r="AA9" s="69"/>
    </row>
    <row r="10" customFormat="false" ht="15" hidden="false" customHeight="false" outlineLevel="0" collapsed="false">
      <c r="A10" s="13" t="n">
        <v>5</v>
      </c>
      <c r="B10" s="14" t="str">
        <f aca="false">Calendar!D10</f>
        <v>P2</v>
      </c>
      <c r="C10" s="20" t="n">
        <f aca="false">'Sales Build'!U10</f>
        <v>327471.560995113</v>
      </c>
      <c r="D10" s="69"/>
      <c r="E10" s="49" t="str">
        <f aca="false">IF(D10="","",D10-C10)</f>
        <v/>
      </c>
      <c r="F10" s="22" t="str">
        <f aca="false">IF(D10="","",IFERROR(D10/C10-1,0))</f>
        <v/>
      </c>
      <c r="G10" s="21" t="n">
        <f aca="false">'Sales Build'!J10</f>
        <v>276114.852125592</v>
      </c>
      <c r="H10" s="88"/>
      <c r="I10" s="29" t="n">
        <f aca="false">IFERROR('Sales Build'!M10/'Sales Build'!J10,0)</f>
        <v>0.0213085080530256</v>
      </c>
      <c r="J10" s="89"/>
      <c r="K10" s="23" t="n">
        <f aca="false">'Sales Build'!N10</f>
        <v>75.4184592536832</v>
      </c>
      <c r="L10" s="90"/>
      <c r="M10" s="31" t="n">
        <f aca="false">'Sales Build'!S10</f>
        <v>0.262005503131197</v>
      </c>
      <c r="N10" s="70"/>
      <c r="O10" s="49" t="str">
        <f aca="false">IF(COUNT(D10,H10,J10,L10,N10)=5,(H10-G10)*I10*K10*(1-M10),"")</f>
        <v/>
      </c>
      <c r="P10" s="49" t="str">
        <f aca="false">IF(COUNT(D10,H10,J10,L10,N10)=5,H10*(J10-I10)*K10*(1-M10),"")</f>
        <v/>
      </c>
      <c r="Q10" s="49" t="str">
        <f aca="false">IF(COUNT(D10,H10,J10,L10,N10)=5,H10*J10*(L10-K10)*(1-M10),"")</f>
        <v/>
      </c>
      <c r="R10" s="49" t="str">
        <f aca="false">IF(COUNT(D10,H10,J10,L10,N10)=5,H10*J10*L10*(M10-N10),"")</f>
        <v/>
      </c>
      <c r="S10" s="49" t="str">
        <f aca="false">IF(COUNT(D10,H10,J10,L10,N10)=5,E10-O10-P10-Q10-R10,"")</f>
        <v/>
      </c>
      <c r="T10" s="20" t="n">
        <f aca="false">'Media Plan'!U10</f>
        <v>49236.6717952601</v>
      </c>
      <c r="U10" s="69"/>
      <c r="V10" s="20" t="n">
        <f aca="false">Costs!U10</f>
        <v>86070.0501634748</v>
      </c>
      <c r="W10" s="69"/>
      <c r="X10" s="37"/>
      <c r="Y10" s="37"/>
      <c r="Z10" s="37"/>
      <c r="AA10" s="69"/>
    </row>
    <row r="11" customFormat="false" ht="15" hidden="false" customHeight="false" outlineLevel="0" collapsed="false">
      <c r="A11" s="13" t="n">
        <v>6</v>
      </c>
      <c r="B11" s="14" t="str">
        <f aca="false">Calendar!D11</f>
        <v>P2</v>
      </c>
      <c r="C11" s="20" t="n">
        <f aca="false">'Sales Build'!U11</f>
        <v>354108.70188196</v>
      </c>
      <c r="D11" s="69"/>
      <c r="E11" s="49" t="str">
        <f aca="false">IF(D11="","",D11-C11)</f>
        <v/>
      </c>
      <c r="F11" s="22" t="str">
        <f aca="false">IF(D11="","",IFERROR(D11/C11-1,0))</f>
        <v/>
      </c>
      <c r="G11" s="21" t="n">
        <f aca="false">'Sales Build'!J11</f>
        <v>277423.150718826</v>
      </c>
      <c r="H11" s="88"/>
      <c r="I11" s="29" t="n">
        <f aca="false">IFERROR('Sales Build'!M11/'Sales Build'!J11,0)</f>
        <v>0.0221930629813017</v>
      </c>
      <c r="J11" s="89"/>
      <c r="K11" s="23" t="n">
        <f aca="false">'Sales Build'!N11</f>
        <v>77.4824049522636</v>
      </c>
      <c r="L11" s="90"/>
      <c r="M11" s="31" t="n">
        <f aca="false">'Sales Build'!S11</f>
        <v>0.257710082310918</v>
      </c>
      <c r="N11" s="70"/>
      <c r="O11" s="49" t="str">
        <f aca="false">IF(COUNT(D11,H11,J11,L11,N11)=5,(H11-G11)*I11*K11*(1-M11),"")</f>
        <v/>
      </c>
      <c r="P11" s="49" t="str">
        <f aca="false">IF(COUNT(D11,H11,J11,L11,N11)=5,H11*(J11-I11)*K11*(1-M11),"")</f>
        <v/>
      </c>
      <c r="Q11" s="49" t="str">
        <f aca="false">IF(COUNT(D11,H11,J11,L11,N11)=5,H11*J11*(L11-K11)*(1-M11),"")</f>
        <v/>
      </c>
      <c r="R11" s="49" t="str">
        <f aca="false">IF(COUNT(D11,H11,J11,L11,N11)=5,H11*J11*L11*(M11-N11),"")</f>
        <v/>
      </c>
      <c r="S11" s="49" t="str">
        <f aca="false">IF(COUNT(D11,H11,J11,L11,N11)=5,E11-O11-P11-Q11-R11,"")</f>
        <v/>
      </c>
      <c r="T11" s="20" t="n">
        <f aca="false">'Media Plan'!U11</f>
        <v>49409.5615490024</v>
      </c>
      <c r="U11" s="69"/>
      <c r="V11" s="20" t="n">
        <f aca="false">Costs!U11</f>
        <v>98973.2389112452</v>
      </c>
      <c r="W11" s="69"/>
      <c r="X11" s="37"/>
      <c r="Y11" s="37"/>
      <c r="Z11" s="37"/>
      <c r="AA11" s="69"/>
    </row>
    <row r="12" customFormat="false" ht="15" hidden="false" customHeight="false" outlineLevel="0" collapsed="false">
      <c r="A12" s="13" t="n">
        <v>7</v>
      </c>
      <c r="B12" s="14" t="str">
        <f aca="false">Calendar!D12</f>
        <v>P2</v>
      </c>
      <c r="C12" s="20" t="n">
        <f aca="false">'Sales Build'!U12</f>
        <v>339832.724832235</v>
      </c>
      <c r="D12" s="69"/>
      <c r="E12" s="49" t="str">
        <f aca="false">IF(D12="","",D12-C12)</f>
        <v/>
      </c>
      <c r="F12" s="22" t="str">
        <f aca="false">IF(D12="","",IFERROR(D12/C12-1,0))</f>
        <v/>
      </c>
      <c r="G12" s="21" t="n">
        <f aca="false">'Sales Build'!J12</f>
        <v>281557.94154782</v>
      </c>
      <c r="H12" s="88"/>
      <c r="I12" s="29" t="n">
        <f aca="false">IFERROR('Sales Build'!M12/'Sales Build'!J12,0)</f>
        <v>0.021431304562167</v>
      </c>
      <c r="J12" s="89"/>
      <c r="K12" s="23" t="n">
        <f aca="false">'Sales Build'!N12</f>
        <v>76.0577998459619</v>
      </c>
      <c r="L12" s="90"/>
      <c r="M12" s="31" t="n">
        <f aca="false">'Sales Build'!S12</f>
        <v>0.259534122550686</v>
      </c>
      <c r="N12" s="70"/>
      <c r="O12" s="49" t="str">
        <f aca="false">IF(COUNT(D12,H12,J12,L12,N12)=5,(H12-G12)*I12*K12*(1-M12),"")</f>
        <v/>
      </c>
      <c r="P12" s="49" t="str">
        <f aca="false">IF(COUNT(D12,H12,J12,L12,N12)=5,H12*(J12-I12)*K12*(1-M12),"")</f>
        <v/>
      </c>
      <c r="Q12" s="49" t="str">
        <f aca="false">IF(COUNT(D12,H12,J12,L12,N12)=5,H12*J12*(L12-K12)*(1-M12),"")</f>
        <v/>
      </c>
      <c r="R12" s="49" t="str">
        <f aca="false">IF(COUNT(D12,H12,J12,L12,N12)=5,H12*J12*L12*(M12-N12),"")</f>
        <v/>
      </c>
      <c r="S12" s="49" t="str">
        <f aca="false">IF(COUNT(D12,H12,J12,L12,N12)=5,E12-O12-P12-Q12-R12,"")</f>
        <v/>
      </c>
      <c r="T12" s="20" t="n">
        <f aca="false">'Media Plan'!U12</f>
        <v>48733.0352095015</v>
      </c>
      <c r="U12" s="69"/>
      <c r="V12" s="20" t="n">
        <f aca="false">Costs!U12</f>
        <v>92694.3298861694</v>
      </c>
      <c r="W12" s="69"/>
      <c r="X12" s="37"/>
      <c r="Y12" s="37"/>
      <c r="Z12" s="37"/>
      <c r="AA12" s="69"/>
    </row>
    <row r="13" customFormat="false" ht="15" hidden="false" customHeight="false" outlineLevel="0" collapsed="false">
      <c r="A13" s="13" t="n">
        <v>8</v>
      </c>
      <c r="B13" s="14" t="str">
        <f aca="false">Calendar!D13</f>
        <v>P2</v>
      </c>
      <c r="C13" s="20" t="n">
        <f aca="false">'Sales Build'!U13</f>
        <v>333917.852441501</v>
      </c>
      <c r="D13" s="69"/>
      <c r="E13" s="49" t="str">
        <f aca="false">IF(D13="","",D13-C13)</f>
        <v/>
      </c>
      <c r="F13" s="22" t="str">
        <f aca="false">IF(D13="","",IFERROR(D13/C13-1,0))</f>
        <v/>
      </c>
      <c r="G13" s="21" t="n">
        <f aca="false">'Sales Build'!J13</f>
        <v>269607.478574869</v>
      </c>
      <c r="H13" s="88"/>
      <c r="I13" s="29" t="n">
        <f aca="false">IFERROR('Sales Build'!M13/'Sales Build'!J13,0)</f>
        <v>0.0215497916626946</v>
      </c>
      <c r="J13" s="89"/>
      <c r="K13" s="23" t="n">
        <f aca="false">'Sales Build'!N13</f>
        <v>77.1428516795667</v>
      </c>
      <c r="L13" s="90"/>
      <c r="M13" s="31" t="n">
        <f aca="false">'Sales Build'!S13</f>
        <v>0.254978271906444</v>
      </c>
      <c r="N13" s="70"/>
      <c r="O13" s="49" t="str">
        <f aca="false">IF(COUNT(D13,H13,J13,L13,N13)=5,(H13-G13)*I13*K13*(1-M13),"")</f>
        <v/>
      </c>
      <c r="P13" s="49" t="str">
        <f aca="false">IF(COUNT(D13,H13,J13,L13,N13)=5,H13*(J13-I13)*K13*(1-M13),"")</f>
        <v/>
      </c>
      <c r="Q13" s="49" t="str">
        <f aca="false">IF(COUNT(D13,H13,J13,L13,N13)=5,H13*J13*(L13-K13)*(1-M13),"")</f>
        <v/>
      </c>
      <c r="R13" s="49" t="str">
        <f aca="false">IF(COUNT(D13,H13,J13,L13,N13)=5,H13*J13*L13*(M13-N13),"")</f>
        <v/>
      </c>
      <c r="S13" s="49" t="str">
        <f aca="false">IF(COUNT(D13,H13,J13,L13,N13)=5,E13-O13-P13-Q13-R13,"")</f>
        <v/>
      </c>
      <c r="T13" s="20" t="n">
        <f aca="false">'Media Plan'!U13</f>
        <v>47494.1252252796</v>
      </c>
      <c r="U13" s="69"/>
      <c r="V13" s="20" t="n">
        <f aca="false">Costs!U13</f>
        <v>92688.9178867452</v>
      </c>
      <c r="W13" s="69"/>
      <c r="X13" s="37"/>
      <c r="Y13" s="37"/>
      <c r="Z13" s="37"/>
      <c r="AA13" s="69"/>
    </row>
    <row r="14" customFormat="false" ht="15" hidden="false" customHeight="false" outlineLevel="0" collapsed="false">
      <c r="A14" s="13" t="n">
        <v>9</v>
      </c>
      <c r="B14" s="14" t="str">
        <f aca="false">Calendar!D14</f>
        <v>P3</v>
      </c>
      <c r="C14" s="20" t="n">
        <f aca="false">'Sales Build'!U14</f>
        <v>392879.687307802</v>
      </c>
      <c r="D14" s="69"/>
      <c r="E14" s="49" t="str">
        <f aca="false">IF(D14="","",D14-C14)</f>
        <v/>
      </c>
      <c r="F14" s="22" t="str">
        <f aca="false">IF(D14="","",IFERROR(D14/C14-1,0))</f>
        <v/>
      </c>
      <c r="G14" s="21" t="n">
        <f aca="false">'Sales Build'!J14</f>
        <v>318542.848670922</v>
      </c>
      <c r="H14" s="88"/>
      <c r="I14" s="29" t="n">
        <f aca="false">IFERROR('Sales Build'!M14/'Sales Build'!J14,0)</f>
        <v>0.0216490887275402</v>
      </c>
      <c r="J14" s="89"/>
      <c r="K14" s="23" t="n">
        <f aca="false">'Sales Build'!N14</f>
        <v>76.2954364899872</v>
      </c>
      <c r="L14" s="90"/>
      <c r="M14" s="31" t="n">
        <f aca="false">'Sales Build'!S14</f>
        <v>0.253287307330355</v>
      </c>
      <c r="N14" s="70"/>
      <c r="O14" s="49" t="str">
        <f aca="false">IF(COUNT(D14,H14,J14,L14,N14)=5,(H14-G14)*I14*K14*(1-M14),"")</f>
        <v/>
      </c>
      <c r="P14" s="49" t="str">
        <f aca="false">IF(COUNT(D14,H14,J14,L14,N14)=5,H14*(J14-I14)*K14*(1-M14),"")</f>
        <v/>
      </c>
      <c r="Q14" s="49" t="str">
        <f aca="false">IF(COUNT(D14,H14,J14,L14,N14)=5,H14*J14*(L14-K14)*(1-M14),"")</f>
        <v/>
      </c>
      <c r="R14" s="49" t="str">
        <f aca="false">IF(COUNT(D14,H14,J14,L14,N14)=5,H14*J14*L14*(M14-N14),"")</f>
        <v/>
      </c>
      <c r="S14" s="49" t="str">
        <f aca="false">IF(COUNT(D14,H14,J14,L14,N14)=5,E14-O14-P14-Q14-R14,"")</f>
        <v/>
      </c>
      <c r="T14" s="20" t="n">
        <f aca="false">'Media Plan'!U14</f>
        <v>56320.8995139399</v>
      </c>
      <c r="U14" s="69"/>
      <c r="V14" s="20" t="n">
        <f aca="false">Costs!U14</f>
        <v>107538.021238154</v>
      </c>
      <c r="W14" s="69"/>
      <c r="X14" s="37"/>
      <c r="Y14" s="37"/>
      <c r="Z14" s="37"/>
      <c r="AA14" s="69"/>
    </row>
    <row r="15" customFormat="false" ht="15" hidden="false" customHeight="false" outlineLevel="0" collapsed="false">
      <c r="A15" s="13" t="n">
        <v>10</v>
      </c>
      <c r="B15" s="14" t="str">
        <f aca="false">Calendar!D15</f>
        <v>P3</v>
      </c>
      <c r="C15" s="20" t="n">
        <f aca="false">'Sales Build'!U15</f>
        <v>381654.585806306</v>
      </c>
      <c r="D15" s="69"/>
      <c r="E15" s="49" t="str">
        <f aca="false">IF(D15="","",D15-C15)</f>
        <v/>
      </c>
      <c r="F15" s="22" t="str">
        <f aca="false">IF(D15="","",IFERROR(D15/C15-1,0))</f>
        <v/>
      </c>
      <c r="G15" s="21" t="n">
        <f aca="false">'Sales Build'!J15</f>
        <v>306231.32538263</v>
      </c>
      <c r="H15" s="88"/>
      <c r="I15" s="29" t="n">
        <f aca="false">IFERROR('Sales Build'!M15/'Sales Build'!J15,0)</f>
        <v>0.0218297813239999</v>
      </c>
      <c r="J15" s="89"/>
      <c r="K15" s="23" t="n">
        <f aca="false">'Sales Build'!N15</f>
        <v>77.1276817775135</v>
      </c>
      <c r="L15" s="90"/>
      <c r="M15" s="31" t="n">
        <f aca="false">'Sales Build'!S15</f>
        <v>0.259779330718454</v>
      </c>
      <c r="N15" s="70"/>
      <c r="O15" s="49" t="str">
        <f aca="false">IF(COUNT(D15,H15,J15,L15,N15)=5,(H15-G15)*I15*K15*(1-M15),"")</f>
        <v/>
      </c>
      <c r="P15" s="49" t="str">
        <f aca="false">IF(COUNT(D15,H15,J15,L15,N15)=5,H15*(J15-I15)*K15*(1-M15),"")</f>
        <v/>
      </c>
      <c r="Q15" s="49" t="str">
        <f aca="false">IF(COUNT(D15,H15,J15,L15,N15)=5,H15*J15*(L15-K15)*(1-M15),"")</f>
        <v/>
      </c>
      <c r="R15" s="49" t="str">
        <f aca="false">IF(COUNT(D15,H15,J15,L15,N15)=5,H15*J15*L15*(M15-N15),"")</f>
        <v/>
      </c>
      <c r="S15" s="49" t="str">
        <f aca="false">IF(COUNT(D15,H15,J15,L15,N15)=5,E15-O15-P15-Q15-R15,"")</f>
        <v/>
      </c>
      <c r="T15" s="20" t="n">
        <f aca="false">'Media Plan'!U15</f>
        <v>54840.6838717939</v>
      </c>
      <c r="U15" s="69"/>
      <c r="V15" s="20" t="n">
        <f aca="false">Costs!U15</f>
        <v>104629.433564855</v>
      </c>
      <c r="W15" s="69"/>
      <c r="X15" s="37"/>
      <c r="Y15" s="37"/>
      <c r="Z15" s="37"/>
      <c r="AA15" s="69"/>
    </row>
    <row r="16" customFormat="false" ht="15" hidden="false" customHeight="false" outlineLevel="0" collapsed="false">
      <c r="A16" s="13" t="n">
        <v>11</v>
      </c>
      <c r="B16" s="14" t="str">
        <f aca="false">Calendar!D16</f>
        <v>P3</v>
      </c>
      <c r="C16" s="20" t="n">
        <f aca="false">'Sales Build'!U16</f>
        <v>389658.325388785</v>
      </c>
      <c r="D16" s="69"/>
      <c r="E16" s="49" t="str">
        <f aca="false">IF(D16="","",D16-C16)</f>
        <v/>
      </c>
      <c r="F16" s="22" t="str">
        <f aca="false">IF(D16="","",IFERROR(D16/C16-1,0))</f>
        <v/>
      </c>
      <c r="G16" s="21" t="n">
        <f aca="false">'Sales Build'!J16</f>
        <v>317974.73294845</v>
      </c>
      <c r="H16" s="88"/>
      <c r="I16" s="29" t="n">
        <f aca="false">IFERROR('Sales Build'!M16/'Sales Build'!J16,0)</f>
        <v>0.0220447056486497</v>
      </c>
      <c r="J16" s="89"/>
      <c r="K16" s="23" t="n">
        <f aca="false">'Sales Build'!N16</f>
        <v>75.872331831368</v>
      </c>
      <c r="L16" s="90"/>
      <c r="M16" s="31" t="n">
        <f aca="false">'Sales Build'!S16</f>
        <v>0.267338092206024</v>
      </c>
      <c r="N16" s="70"/>
      <c r="O16" s="49" t="str">
        <f aca="false">IF(COUNT(D16,H16,J16,L16,N16)=5,(H16-G16)*I16*K16*(1-M16),"")</f>
        <v/>
      </c>
      <c r="P16" s="49" t="str">
        <f aca="false">IF(COUNT(D16,H16,J16,L16,N16)=5,H16*(J16-I16)*K16*(1-M16),"")</f>
        <v/>
      </c>
      <c r="Q16" s="49" t="str">
        <f aca="false">IF(COUNT(D16,H16,J16,L16,N16)=5,H16*J16*(L16-K16)*(1-M16),"")</f>
        <v/>
      </c>
      <c r="R16" s="49" t="str">
        <f aca="false">IF(COUNT(D16,H16,J16,L16,N16)=5,H16*J16*L16*(M16-N16),"")</f>
        <v/>
      </c>
      <c r="S16" s="49" t="str">
        <f aca="false">IF(COUNT(D16,H16,J16,L16,N16)=5,E16-O16-P16-Q16-R16,"")</f>
        <v/>
      </c>
      <c r="T16" s="20" t="n">
        <f aca="false">'Media Plan'!U16</f>
        <v>56115.2650814729</v>
      </c>
      <c r="U16" s="69"/>
      <c r="V16" s="20" t="n">
        <f aca="false">Costs!U16</f>
        <v>105150.655537999</v>
      </c>
      <c r="W16" s="69"/>
      <c r="X16" s="37"/>
      <c r="Y16" s="37"/>
      <c r="Z16" s="37"/>
      <c r="AA16" s="69"/>
    </row>
    <row r="17" customFormat="false" ht="15" hidden="false" customHeight="false" outlineLevel="0" collapsed="false">
      <c r="A17" s="13" t="n">
        <v>12</v>
      </c>
      <c r="B17" s="14" t="str">
        <f aca="false">Calendar!D17</f>
        <v>P3</v>
      </c>
      <c r="C17" s="20" t="n">
        <f aca="false">'Sales Build'!U17</f>
        <v>371498.080878756</v>
      </c>
      <c r="D17" s="69"/>
      <c r="E17" s="49" t="str">
        <f aca="false">IF(D17="","",D17-C17)</f>
        <v/>
      </c>
      <c r="F17" s="22" t="str">
        <f aca="false">IF(D17="","",IFERROR(D17/C17-1,0))</f>
        <v/>
      </c>
      <c r="G17" s="21" t="n">
        <f aca="false">'Sales Build'!J17</f>
        <v>317248.886676508</v>
      </c>
      <c r="H17" s="88"/>
      <c r="I17" s="29" t="n">
        <f aca="false">IFERROR('Sales Build'!M17/'Sales Build'!J17,0)</f>
        <v>0.0215534649625705</v>
      </c>
      <c r="J17" s="89"/>
      <c r="K17" s="23" t="n">
        <f aca="false">'Sales Build'!N17</f>
        <v>74.1854586380475</v>
      </c>
      <c r="L17" s="90"/>
      <c r="M17" s="31" t="n">
        <f aca="false">'Sales Build'!S17</f>
        <v>0.267646799119499</v>
      </c>
      <c r="N17" s="70"/>
      <c r="O17" s="49" t="str">
        <f aca="false">IF(COUNT(D17,H17,J17,L17,N17)=5,(H17-G17)*I17*K17*(1-M17),"")</f>
        <v/>
      </c>
      <c r="P17" s="49" t="str">
        <f aca="false">IF(COUNT(D17,H17,J17,L17,N17)=5,H17*(J17-I17)*K17*(1-M17),"")</f>
        <v/>
      </c>
      <c r="Q17" s="49" t="str">
        <f aca="false">IF(COUNT(D17,H17,J17,L17,N17)=5,H17*J17*(L17-K17)*(1-M17),"")</f>
        <v/>
      </c>
      <c r="R17" s="49" t="str">
        <f aca="false">IF(COUNT(D17,H17,J17,L17,N17)=5,H17*J17*L17*(M17-N17),"")</f>
        <v/>
      </c>
      <c r="S17" s="49" t="str">
        <f aca="false">IF(COUNT(D17,H17,J17,L17,N17)=5,E17-O17-P17-Q17-R17,"")</f>
        <v/>
      </c>
      <c r="T17" s="20" t="n">
        <f aca="false">'Media Plan'!U17</f>
        <v>52715.8510643999</v>
      </c>
      <c r="U17" s="69"/>
      <c r="V17" s="20" t="n">
        <f aca="false">Costs!U17</f>
        <v>99620.4515928374</v>
      </c>
      <c r="W17" s="69"/>
      <c r="X17" s="37"/>
      <c r="Y17" s="37"/>
      <c r="Z17" s="37"/>
      <c r="AA17" s="69"/>
    </row>
    <row r="18" customFormat="false" ht="15" hidden="false" customHeight="false" outlineLevel="0" collapsed="false">
      <c r="A18" s="13" t="n">
        <v>13</v>
      </c>
      <c r="B18" s="14" t="str">
        <f aca="false">Calendar!D18</f>
        <v>P3</v>
      </c>
      <c r="C18" s="20" t="n">
        <f aca="false">'Sales Build'!U18</f>
        <v>379934.982059367</v>
      </c>
      <c r="D18" s="69"/>
      <c r="E18" s="49" t="str">
        <f aca="false">IF(D18="","",D18-C18)</f>
        <v/>
      </c>
      <c r="F18" s="22" t="str">
        <f aca="false">IF(D18="","",IFERROR(D18/C18-1,0))</f>
        <v/>
      </c>
      <c r="G18" s="21" t="n">
        <f aca="false">'Sales Build'!J18</f>
        <v>310163.411069832</v>
      </c>
      <c r="H18" s="88"/>
      <c r="I18" s="29" t="n">
        <f aca="false">IFERROR('Sales Build'!M18/'Sales Build'!J18,0)</f>
        <v>0.0214783479335509</v>
      </c>
      <c r="J18" s="89"/>
      <c r="K18" s="23" t="n">
        <f aca="false">'Sales Build'!N18</f>
        <v>76.7587974953888</v>
      </c>
      <c r="L18" s="90"/>
      <c r="M18" s="31" t="n">
        <f aca="false">'Sales Build'!S18</f>
        <v>0.256998513757347</v>
      </c>
      <c r="N18" s="70"/>
      <c r="O18" s="49" t="str">
        <f aca="false">IF(COUNT(D18,H18,J18,L18,N18)=5,(H18-G18)*I18*K18*(1-M18),"")</f>
        <v/>
      </c>
      <c r="P18" s="49" t="str">
        <f aca="false">IF(COUNT(D18,H18,J18,L18,N18)=5,H18*(J18-I18)*K18*(1-M18),"")</f>
        <v/>
      </c>
      <c r="Q18" s="49" t="str">
        <f aca="false">IF(COUNT(D18,H18,J18,L18,N18)=5,H18*J18*(L18-K18)*(1-M18),"")</f>
        <v/>
      </c>
      <c r="R18" s="49" t="str">
        <f aca="false">IF(COUNT(D18,H18,J18,L18,N18)=5,H18*J18*L18*(M18-N18),"")</f>
        <v/>
      </c>
      <c r="S18" s="49" t="str">
        <f aca="false">IF(COUNT(D18,H18,J18,L18,N18)=5,E18-O18-P18-Q18-R18,"")</f>
        <v/>
      </c>
      <c r="T18" s="20" t="n">
        <f aca="false">'Media Plan'!U18</f>
        <v>55745.0889712194</v>
      </c>
      <c r="U18" s="69"/>
      <c r="V18" s="20" t="n">
        <f aca="false">Costs!U18</f>
        <v>102628.59569233</v>
      </c>
      <c r="W18" s="69"/>
      <c r="X18" s="37"/>
      <c r="Y18" s="37"/>
      <c r="Z18" s="37"/>
      <c r="AA18" s="69"/>
    </row>
    <row r="19" customFormat="false" ht="15" hidden="false" customHeight="false" outlineLevel="0" collapsed="false">
      <c r="A19" s="13" t="n">
        <v>14</v>
      </c>
      <c r="B19" s="14" t="str">
        <f aca="false">Calendar!D19</f>
        <v>P4</v>
      </c>
      <c r="C19" s="20" t="n">
        <f aca="false">'Sales Build'!U19</f>
        <v>414047.343452761</v>
      </c>
      <c r="D19" s="69"/>
      <c r="E19" s="49" t="str">
        <f aca="false">IF(D19="","",D19-C19)</f>
        <v/>
      </c>
      <c r="F19" s="22" t="str">
        <f aca="false">IF(D19="","",IFERROR(D19/C19-1,0))</f>
        <v/>
      </c>
      <c r="G19" s="21" t="n">
        <f aca="false">'Sales Build'!J19</f>
        <v>330511.950369241</v>
      </c>
      <c r="H19" s="88"/>
      <c r="I19" s="29" t="n">
        <f aca="false">IFERROR('Sales Build'!M19/'Sales Build'!J19,0)</f>
        <v>0.0219569698270599</v>
      </c>
      <c r="J19" s="89"/>
      <c r="K19" s="23" t="n">
        <f aca="false">'Sales Build'!N19</f>
        <v>76.9345577764959</v>
      </c>
      <c r="L19" s="90"/>
      <c r="M19" s="31" t="n">
        <f aca="false">'Sales Build'!S19</f>
        <v>0.258401284826854</v>
      </c>
      <c r="N19" s="70"/>
      <c r="O19" s="49" t="str">
        <f aca="false">IF(COUNT(D19,H19,J19,L19,N19)=5,(H19-G19)*I19*K19*(1-M19),"")</f>
        <v/>
      </c>
      <c r="P19" s="49" t="str">
        <f aca="false">IF(COUNT(D19,H19,J19,L19,N19)=5,H19*(J19-I19)*K19*(1-M19),"")</f>
        <v/>
      </c>
      <c r="Q19" s="49" t="str">
        <f aca="false">IF(COUNT(D19,H19,J19,L19,N19)=5,H19*J19*(L19-K19)*(1-M19),"")</f>
        <v/>
      </c>
      <c r="R19" s="49" t="str">
        <f aca="false">IF(COUNT(D19,H19,J19,L19,N19)=5,H19*J19*L19*(M19-N19),"")</f>
        <v/>
      </c>
      <c r="S19" s="49" t="str">
        <f aca="false">IF(COUNT(D19,H19,J19,L19,N19)=5,E19-O19-P19-Q19-R19,"")</f>
        <v/>
      </c>
      <c r="T19" s="20" t="n">
        <f aca="false">'Media Plan'!U19</f>
        <v>59021.7526185556</v>
      </c>
      <c r="U19" s="69"/>
      <c r="V19" s="20" t="n">
        <f aca="false">Costs!U19</f>
        <v>114504.927418752</v>
      </c>
      <c r="W19" s="69"/>
      <c r="X19" s="37"/>
      <c r="Y19" s="37"/>
      <c r="Z19" s="37"/>
      <c r="AA19" s="69"/>
    </row>
    <row r="20" customFormat="false" ht="15" hidden="false" customHeight="false" outlineLevel="0" collapsed="false">
      <c r="A20" s="13" t="n">
        <v>15</v>
      </c>
      <c r="B20" s="14" t="str">
        <f aca="false">Calendar!D20</f>
        <v>P4</v>
      </c>
      <c r="C20" s="20" t="n">
        <f aca="false">'Sales Build'!U20</f>
        <v>405647.809726693</v>
      </c>
      <c r="D20" s="69"/>
      <c r="E20" s="49" t="str">
        <f aca="false">IF(D20="","",D20-C20)</f>
        <v/>
      </c>
      <c r="F20" s="22" t="str">
        <f aca="false">IF(D20="","",IFERROR(D20/C20-1,0))</f>
        <v/>
      </c>
      <c r="G20" s="21" t="n">
        <f aca="false">'Sales Build'!J20</f>
        <v>325097.746764333</v>
      </c>
      <c r="H20" s="88"/>
      <c r="I20" s="29" t="n">
        <f aca="false">IFERROR('Sales Build'!M20/'Sales Build'!J20,0)</f>
        <v>0.0216161794988217</v>
      </c>
      <c r="J20" s="89"/>
      <c r="K20" s="23" t="n">
        <f aca="false">'Sales Build'!N20</f>
        <v>77.7163154592077</v>
      </c>
      <c r="L20" s="90"/>
      <c r="M20" s="31" t="n">
        <f aca="false">'Sales Build'!S20</f>
        <v>0.257247648462997</v>
      </c>
      <c r="N20" s="70"/>
      <c r="O20" s="49" t="str">
        <f aca="false">IF(COUNT(D20,H20,J20,L20,N20)=5,(H20-G20)*I20*K20*(1-M20),"")</f>
        <v/>
      </c>
      <c r="P20" s="49" t="str">
        <f aca="false">IF(COUNT(D20,H20,J20,L20,N20)=5,H20*(J20-I20)*K20*(1-M20),"")</f>
        <v/>
      </c>
      <c r="Q20" s="49" t="str">
        <f aca="false">IF(COUNT(D20,H20,J20,L20,N20)=5,H20*J20*(L20-K20)*(1-M20),"")</f>
        <v/>
      </c>
      <c r="R20" s="49" t="str">
        <f aca="false">IF(COUNT(D20,H20,J20,L20,N20)=5,H20*J20*L20*(M20-N20),"")</f>
        <v/>
      </c>
      <c r="S20" s="49" t="str">
        <f aca="false">IF(COUNT(D20,H20,J20,L20,N20)=5,E20-O20-P20-Q20-R20,"")</f>
        <v/>
      </c>
      <c r="T20" s="20" t="n">
        <f aca="false">'Media Plan'!U20</f>
        <v>58224.5274776279</v>
      </c>
      <c r="U20" s="69"/>
      <c r="V20" s="20" t="n">
        <f aca="false">Costs!U20</f>
        <v>112368.469684892</v>
      </c>
      <c r="W20" s="69"/>
      <c r="X20" s="37"/>
      <c r="Y20" s="37"/>
      <c r="Z20" s="37"/>
      <c r="AA20" s="69"/>
    </row>
    <row r="21" customFormat="false" ht="15" hidden="false" customHeight="false" outlineLevel="0" collapsed="false">
      <c r="A21" s="13" t="n">
        <v>16</v>
      </c>
      <c r="B21" s="14" t="str">
        <f aca="false">Calendar!D21</f>
        <v>P4</v>
      </c>
      <c r="C21" s="20" t="n">
        <f aca="false">'Sales Build'!U21</f>
        <v>416495.570395061</v>
      </c>
      <c r="D21" s="69"/>
      <c r="E21" s="49" t="str">
        <f aca="false">IF(D21="","",D21-C21)</f>
        <v/>
      </c>
      <c r="F21" s="22" t="str">
        <f aca="false">IF(D21="","",IFERROR(D21/C21-1,0))</f>
        <v/>
      </c>
      <c r="G21" s="21" t="n">
        <f aca="false">'Sales Build'!J21</f>
        <v>331732.821525619</v>
      </c>
      <c r="H21" s="88"/>
      <c r="I21" s="29" t="n">
        <f aca="false">IFERROR('Sales Build'!M21/'Sales Build'!J21,0)</f>
        <v>0.0217565755937496</v>
      </c>
      <c r="J21" s="89"/>
      <c r="K21" s="23" t="n">
        <f aca="false">'Sales Build'!N21</f>
        <v>77.7591318402696</v>
      </c>
      <c r="L21" s="90"/>
      <c r="M21" s="31" t="n">
        <f aca="false">'Sales Build'!S21</f>
        <v>0.257869977537873</v>
      </c>
      <c r="N21" s="70"/>
      <c r="O21" s="49" t="str">
        <f aca="false">IF(COUNT(D21,H21,J21,L21,N21)=5,(H21-G21)*I21*K21*(1-M21),"")</f>
        <v/>
      </c>
      <c r="P21" s="49" t="str">
        <f aca="false">IF(COUNT(D21,H21,J21,L21,N21)=5,H21*(J21-I21)*K21*(1-M21),"")</f>
        <v/>
      </c>
      <c r="Q21" s="49" t="str">
        <f aca="false">IF(COUNT(D21,H21,J21,L21,N21)=5,H21*J21*(L21-K21)*(1-M21),"")</f>
        <v/>
      </c>
      <c r="R21" s="49" t="str">
        <f aca="false">IF(COUNT(D21,H21,J21,L21,N21)=5,H21*J21*L21*(M21-N21),"")</f>
        <v/>
      </c>
      <c r="S21" s="49" t="str">
        <f aca="false">IF(COUNT(D21,H21,J21,L21,N21)=5,E21-O21-P21-Q21-R21,"")</f>
        <v/>
      </c>
      <c r="T21" s="20" t="n">
        <f aca="false">'Media Plan'!U21</f>
        <v>57802.5047826361</v>
      </c>
      <c r="U21" s="69"/>
      <c r="V21" s="20" t="n">
        <f aca="false">Costs!U21</f>
        <v>116142.465521432</v>
      </c>
      <c r="W21" s="69"/>
      <c r="X21" s="37"/>
      <c r="Y21" s="37"/>
      <c r="Z21" s="37"/>
      <c r="AA21" s="69"/>
    </row>
    <row r="22" customFormat="false" ht="15" hidden="false" customHeight="false" outlineLevel="0" collapsed="false">
      <c r="A22" s="13" t="n">
        <v>17</v>
      </c>
      <c r="B22" s="14" t="str">
        <f aca="false">Calendar!D22</f>
        <v>P4</v>
      </c>
      <c r="C22" s="20" t="n">
        <f aca="false">'Sales Build'!U22</f>
        <v>392516.007721573</v>
      </c>
      <c r="D22" s="69"/>
      <c r="E22" s="49" t="str">
        <f aca="false">IF(D22="","",D22-C22)</f>
        <v/>
      </c>
      <c r="F22" s="22" t="str">
        <f aca="false">IF(D22="","",IFERROR(D22/C22-1,0))</f>
        <v/>
      </c>
      <c r="G22" s="21" t="n">
        <f aca="false">'Sales Build'!J22</f>
        <v>334116.846914466</v>
      </c>
      <c r="H22" s="88"/>
      <c r="I22" s="29" t="n">
        <f aca="false">IFERROR('Sales Build'!M22/'Sales Build'!J22,0)</f>
        <v>0.0210877320741037</v>
      </c>
      <c r="J22" s="89"/>
      <c r="K22" s="23" t="n">
        <f aca="false">'Sales Build'!N22</f>
        <v>75.9261560410311</v>
      </c>
      <c r="L22" s="90"/>
      <c r="M22" s="31" t="n">
        <f aca="false">'Sales Build'!S22</f>
        <v>0.26626757724974</v>
      </c>
      <c r="N22" s="70"/>
      <c r="O22" s="49" t="str">
        <f aca="false">IF(COUNT(D22,H22,J22,L22,N22)=5,(H22-G22)*I22*K22*(1-M22),"")</f>
        <v/>
      </c>
      <c r="P22" s="49" t="str">
        <f aca="false">IF(COUNT(D22,H22,J22,L22,N22)=5,H22*(J22-I22)*K22*(1-M22),"")</f>
        <v/>
      </c>
      <c r="Q22" s="49" t="str">
        <f aca="false">IF(COUNT(D22,H22,J22,L22,N22)=5,H22*J22*(L22-K22)*(1-M22),"")</f>
        <v/>
      </c>
      <c r="R22" s="49" t="str">
        <f aca="false">IF(COUNT(D22,H22,J22,L22,N22)=5,H22*J22*L22*(M22-N22),"")</f>
        <v/>
      </c>
      <c r="S22" s="49" t="str">
        <f aca="false">IF(COUNT(D22,H22,J22,L22,N22)=5,E22-O22-P22-Q22-R22,"")</f>
        <v/>
      </c>
      <c r="T22" s="20" t="n">
        <f aca="false">'Media Plan'!U22</f>
        <v>59099.3293729161</v>
      </c>
      <c r="U22" s="69"/>
      <c r="V22" s="20" t="n">
        <f aca="false">Costs!U22</f>
        <v>103290.512563929</v>
      </c>
      <c r="W22" s="69"/>
      <c r="X22" s="37"/>
      <c r="Y22" s="37"/>
      <c r="Z22" s="37"/>
      <c r="AA22" s="69"/>
    </row>
    <row r="23" customFormat="false" ht="15" hidden="false" customHeight="false" outlineLevel="0" collapsed="false">
      <c r="A23" s="13" t="n">
        <v>18</v>
      </c>
      <c r="B23" s="14" t="str">
        <f aca="false">Calendar!D23</f>
        <v>P5</v>
      </c>
      <c r="C23" s="20" t="n">
        <f aca="false">'Sales Build'!U23</f>
        <v>394415.309388665</v>
      </c>
      <c r="D23" s="69"/>
      <c r="E23" s="49" t="str">
        <f aca="false">IF(D23="","",D23-C23)</f>
        <v/>
      </c>
      <c r="F23" s="22" t="str">
        <f aca="false">IF(D23="","",IFERROR(D23/C23-1,0))</f>
        <v/>
      </c>
      <c r="G23" s="21" t="n">
        <f aca="false">'Sales Build'!J23</f>
        <v>322205.954449697</v>
      </c>
      <c r="H23" s="88"/>
      <c r="I23" s="29" t="n">
        <f aca="false">IFERROR('Sales Build'!M23/'Sales Build'!J23,0)</f>
        <v>0.0211353807729893</v>
      </c>
      <c r="J23" s="89"/>
      <c r="K23" s="23" t="n">
        <f aca="false">'Sales Build'!N23</f>
        <v>77.7841662962972</v>
      </c>
      <c r="L23" s="90"/>
      <c r="M23" s="31" t="n">
        <f aca="false">'Sales Build'!S23</f>
        <v>0.255407042600766</v>
      </c>
      <c r="N23" s="70"/>
      <c r="O23" s="49" t="str">
        <f aca="false">IF(COUNT(D23,H23,J23,L23,N23)=5,(H23-G23)*I23*K23*(1-M23),"")</f>
        <v/>
      </c>
      <c r="P23" s="49" t="str">
        <f aca="false">IF(COUNT(D23,H23,J23,L23,N23)=5,H23*(J23-I23)*K23*(1-M23),"")</f>
        <v/>
      </c>
      <c r="Q23" s="49" t="str">
        <f aca="false">IF(COUNT(D23,H23,J23,L23,N23)=5,H23*J23*(L23-K23)*(1-M23),"")</f>
        <v/>
      </c>
      <c r="R23" s="49" t="str">
        <f aca="false">IF(COUNT(D23,H23,J23,L23,N23)=5,H23*J23*L23*(M23-N23),"")</f>
        <v/>
      </c>
      <c r="S23" s="49" t="str">
        <f aca="false">IF(COUNT(D23,H23,J23,L23,N23)=5,E23-O23-P23-Q23-R23,"")</f>
        <v/>
      </c>
      <c r="T23" s="20" t="n">
        <f aca="false">'Media Plan'!U23</f>
        <v>57105.4153128622</v>
      </c>
      <c r="U23" s="69"/>
      <c r="V23" s="20" t="n">
        <f aca="false">Costs!U23</f>
        <v>108689.622448665</v>
      </c>
      <c r="W23" s="69"/>
      <c r="X23" s="37"/>
      <c r="Y23" s="37"/>
      <c r="Z23" s="37"/>
      <c r="AA23" s="69"/>
    </row>
    <row r="24" customFormat="false" ht="15" hidden="false" customHeight="false" outlineLevel="0" collapsed="false">
      <c r="A24" s="13" t="n">
        <v>19</v>
      </c>
      <c r="B24" s="14" t="str">
        <f aca="false">Calendar!D24</f>
        <v>P5</v>
      </c>
      <c r="C24" s="20" t="n">
        <f aca="false">'Sales Build'!U24</f>
        <v>422519.330966593</v>
      </c>
      <c r="D24" s="69"/>
      <c r="E24" s="49" t="str">
        <f aca="false">IF(D24="","",D24-C24)</f>
        <v/>
      </c>
      <c r="F24" s="22" t="str">
        <f aca="false">IF(D24="","",IFERROR(D24/C24-1,0))</f>
        <v/>
      </c>
      <c r="G24" s="21" t="n">
        <f aca="false">'Sales Build'!J24</f>
        <v>335965.695728479</v>
      </c>
      <c r="H24" s="88"/>
      <c r="I24" s="29" t="n">
        <f aca="false">IFERROR('Sales Build'!M24/'Sales Build'!J24,0)</f>
        <v>0.0221146920423941</v>
      </c>
      <c r="J24" s="89"/>
      <c r="K24" s="23" t="n">
        <f aca="false">'Sales Build'!N24</f>
        <v>77.3175876855651</v>
      </c>
      <c r="L24" s="90"/>
      <c r="M24" s="31" t="n">
        <f aca="false">'Sales Build'!S24</f>
        <v>0.264483437794478</v>
      </c>
      <c r="N24" s="70"/>
      <c r="O24" s="49" t="str">
        <f aca="false">IF(COUNT(D24,H24,J24,L24,N24)=5,(H24-G24)*I24*K24*(1-M24),"")</f>
        <v/>
      </c>
      <c r="P24" s="49" t="str">
        <f aca="false">IF(COUNT(D24,H24,J24,L24,N24)=5,H24*(J24-I24)*K24*(1-M24),"")</f>
        <v/>
      </c>
      <c r="Q24" s="49" t="str">
        <f aca="false">IF(COUNT(D24,H24,J24,L24,N24)=5,H24*J24*(L24-K24)*(1-M24),"")</f>
        <v/>
      </c>
      <c r="R24" s="49" t="str">
        <f aca="false">IF(COUNT(D24,H24,J24,L24,N24)=5,H24*J24*L24*(M24-N24),"")</f>
        <v/>
      </c>
      <c r="S24" s="49" t="str">
        <f aca="false">IF(COUNT(D24,H24,J24,L24,N24)=5,E24-O24-P24-Q24-R24,"")</f>
        <v/>
      </c>
      <c r="T24" s="20" t="n">
        <f aca="false">'Media Plan'!U24</f>
        <v>60175.3809664637</v>
      </c>
      <c r="U24" s="69"/>
      <c r="V24" s="20" t="n">
        <f aca="false">Costs!U24</f>
        <v>115619.542087686</v>
      </c>
      <c r="W24" s="69"/>
      <c r="X24" s="37"/>
      <c r="Y24" s="37"/>
      <c r="Z24" s="37"/>
      <c r="AA24" s="69"/>
    </row>
    <row r="25" customFormat="false" ht="15" hidden="false" customHeight="false" outlineLevel="0" collapsed="false">
      <c r="A25" s="13" t="n">
        <v>20</v>
      </c>
      <c r="B25" s="14" t="str">
        <f aca="false">Calendar!D25</f>
        <v>P5</v>
      </c>
      <c r="C25" s="20" t="n">
        <f aca="false">'Sales Build'!U25</f>
        <v>410467.113157819</v>
      </c>
      <c r="D25" s="69"/>
      <c r="E25" s="49" t="str">
        <f aca="false">IF(D25="","",D25-C25)</f>
        <v/>
      </c>
      <c r="F25" s="22" t="str">
        <f aca="false">IF(D25="","",IFERROR(D25/C25-1,0))</f>
        <v/>
      </c>
      <c r="G25" s="21" t="n">
        <f aca="false">'Sales Build'!J25</f>
        <v>336330.705988787</v>
      </c>
      <c r="H25" s="88"/>
      <c r="I25" s="29" t="n">
        <f aca="false">IFERROR('Sales Build'!M25/'Sales Build'!J25,0)</f>
        <v>0.0217390246674276</v>
      </c>
      <c r="J25" s="89"/>
      <c r="K25" s="23" t="n">
        <f aca="false">'Sales Build'!N25</f>
        <v>76.1151775579747</v>
      </c>
      <c r="L25" s="90"/>
      <c r="M25" s="31" t="n">
        <f aca="false">'Sales Build'!S25</f>
        <v>0.262434612603968</v>
      </c>
      <c r="N25" s="70"/>
      <c r="O25" s="49" t="str">
        <f aca="false">IF(COUNT(D25,H25,J25,L25,N25)=5,(H25-G25)*I25*K25*(1-M25),"")</f>
        <v/>
      </c>
      <c r="P25" s="49" t="str">
        <f aca="false">IF(COUNT(D25,H25,J25,L25,N25)=5,H25*(J25-I25)*K25*(1-M25),"")</f>
        <v/>
      </c>
      <c r="Q25" s="49" t="str">
        <f aca="false">IF(COUNT(D25,H25,J25,L25,N25)=5,H25*J25*(L25-K25)*(1-M25),"")</f>
        <v/>
      </c>
      <c r="R25" s="49" t="str">
        <f aca="false">IF(COUNT(D25,H25,J25,L25,N25)=5,H25*J25*L25*(M25-N25),"")</f>
        <v/>
      </c>
      <c r="S25" s="49" t="str">
        <f aca="false">IF(COUNT(D25,H25,J25,L25,N25)=5,E25-O25-P25-Q25-R25,"")</f>
        <v/>
      </c>
      <c r="T25" s="20" t="n">
        <f aca="false">'Media Plan'!U25</f>
        <v>59370.8538787582</v>
      </c>
      <c r="U25" s="69"/>
      <c r="V25" s="20" t="n">
        <f aca="false">Costs!U25</f>
        <v>110721.677263074</v>
      </c>
      <c r="W25" s="69"/>
      <c r="X25" s="37"/>
      <c r="Y25" s="37"/>
      <c r="Z25" s="37"/>
      <c r="AA25" s="69"/>
    </row>
    <row r="26" customFormat="false" ht="15" hidden="false" customHeight="false" outlineLevel="0" collapsed="false">
      <c r="A26" s="13" t="n">
        <v>21</v>
      </c>
      <c r="B26" s="14" t="str">
        <f aca="false">Calendar!D26</f>
        <v>P5</v>
      </c>
      <c r="C26" s="20" t="n">
        <f aca="false">'Sales Build'!U26</f>
        <v>672450.692102451</v>
      </c>
      <c r="D26" s="69"/>
      <c r="E26" s="49" t="str">
        <f aca="false">IF(D26="","",D26-C26)</f>
        <v/>
      </c>
      <c r="F26" s="22" t="str">
        <f aca="false">IF(D26="","",IFERROR(D26/C26-1,0))</f>
        <v/>
      </c>
      <c r="G26" s="21" t="n">
        <f aca="false">'Sales Build'!J26</f>
        <v>482709.182336775</v>
      </c>
      <c r="H26" s="88"/>
      <c r="I26" s="29" t="n">
        <f aca="false">IFERROR('Sales Build'!M26/'Sales Build'!J26,0)</f>
        <v>0.0262528358969746</v>
      </c>
      <c r="J26" s="89"/>
      <c r="K26" s="23" t="n">
        <f aca="false">'Sales Build'!N26</f>
        <v>68.8334349947254</v>
      </c>
      <c r="L26" s="90"/>
      <c r="M26" s="31" t="n">
        <f aca="false">'Sales Build'!S26</f>
        <v>0.229097918862144</v>
      </c>
      <c r="N26" s="70"/>
      <c r="O26" s="49" t="str">
        <f aca="false">IF(COUNT(D26,H26,J26,L26,N26)=5,(H26-G26)*I26*K26*(1-M26),"")</f>
        <v/>
      </c>
      <c r="P26" s="49" t="str">
        <f aca="false">IF(COUNT(D26,H26,J26,L26,N26)=5,H26*(J26-I26)*K26*(1-M26),"")</f>
        <v/>
      </c>
      <c r="Q26" s="49" t="str">
        <f aca="false">IF(COUNT(D26,H26,J26,L26,N26)=5,H26*J26*(L26-K26)*(1-M26),"")</f>
        <v/>
      </c>
      <c r="R26" s="49" t="str">
        <f aca="false">IF(COUNT(D26,H26,J26,L26,N26)=5,H26*J26*L26*(M26-N26),"")</f>
        <v/>
      </c>
      <c r="S26" s="49" t="str">
        <f aca="false">IF(COUNT(D26,H26,J26,L26,N26)=5,E26-O26-P26-Q26-R26,"")</f>
        <v/>
      </c>
      <c r="T26" s="20" t="n">
        <f aca="false">'Media Plan'!U26</f>
        <v>79588.7374604282</v>
      </c>
      <c r="U26" s="69"/>
      <c r="V26" s="20" t="n">
        <f aca="false">Costs!U26</f>
        <v>99234.8956332174</v>
      </c>
      <c r="W26" s="69"/>
      <c r="X26" s="37"/>
      <c r="Y26" s="37"/>
      <c r="Z26" s="37"/>
      <c r="AA26" s="69"/>
    </row>
    <row r="27" customFormat="false" ht="15" hidden="false" customHeight="false" outlineLevel="0" collapsed="false">
      <c r="A27" s="13" t="n">
        <v>22</v>
      </c>
      <c r="B27" s="14" t="str">
        <f aca="false">Calendar!D27</f>
        <v>P6</v>
      </c>
      <c r="C27" s="20" t="n">
        <f aca="false">'Sales Build'!U27</f>
        <v>564941.951776965</v>
      </c>
      <c r="D27" s="69"/>
      <c r="E27" s="49" t="str">
        <f aca="false">IF(D27="","",D27-C27)</f>
        <v/>
      </c>
      <c r="F27" s="22" t="str">
        <f aca="false">IF(D27="","",IFERROR(D27/C27-1,0))</f>
        <v/>
      </c>
      <c r="G27" s="21" t="n">
        <f aca="false">'Sales Build'!J27</f>
        <v>415037.688812943</v>
      </c>
      <c r="H27" s="88"/>
      <c r="I27" s="29" t="n">
        <f aca="false">IFERROR('Sales Build'!M27/'Sales Build'!J27,0)</f>
        <v>0.0262252543196702</v>
      </c>
      <c r="J27" s="89"/>
      <c r="K27" s="23" t="n">
        <f aca="false">'Sales Build'!N27</f>
        <v>67.8211875254599</v>
      </c>
      <c r="L27" s="90"/>
      <c r="M27" s="31" t="n">
        <f aca="false">'Sales Build'!S27</f>
        <v>0.234700919176987</v>
      </c>
      <c r="N27" s="70"/>
      <c r="O27" s="49" t="str">
        <f aca="false">IF(COUNT(D27,H27,J27,L27,N27)=5,(H27-G27)*I27*K27*(1-M27),"")</f>
        <v/>
      </c>
      <c r="P27" s="49" t="str">
        <f aca="false">IF(COUNT(D27,H27,J27,L27,N27)=5,H27*(J27-I27)*K27*(1-M27),"")</f>
        <v/>
      </c>
      <c r="Q27" s="49" t="str">
        <f aca="false">IF(COUNT(D27,H27,J27,L27,N27)=5,H27*J27*(L27-K27)*(1-M27),"")</f>
        <v/>
      </c>
      <c r="R27" s="49" t="str">
        <f aca="false">IF(COUNT(D27,H27,J27,L27,N27)=5,H27*J27*L27*(M27-N27),"")</f>
        <v/>
      </c>
      <c r="S27" s="49" t="str">
        <f aca="false">IF(COUNT(D27,H27,J27,L27,N27)=5,E27-O27-P27-Q27-R27,"")</f>
        <v/>
      </c>
      <c r="T27" s="20" t="n">
        <f aca="false">'Media Plan'!U27</f>
        <v>73001.6956068636</v>
      </c>
      <c r="U27" s="69"/>
      <c r="V27" s="20" t="n">
        <f aca="false">Costs!U27</f>
        <v>79406.5393246704</v>
      </c>
      <c r="W27" s="69"/>
      <c r="X27" s="37"/>
      <c r="Y27" s="37"/>
      <c r="Z27" s="37"/>
      <c r="AA27" s="69"/>
    </row>
    <row r="28" customFormat="false" ht="15" hidden="false" customHeight="false" outlineLevel="0" collapsed="false">
      <c r="A28" s="13" t="n">
        <v>23</v>
      </c>
      <c r="B28" s="14" t="str">
        <f aca="false">Calendar!D28</f>
        <v>P6</v>
      </c>
      <c r="C28" s="20" t="n">
        <f aca="false">'Sales Build'!U28</f>
        <v>481403.867750042</v>
      </c>
      <c r="D28" s="69"/>
      <c r="E28" s="49" t="str">
        <f aca="false">IF(D28="","",D28-C28)</f>
        <v/>
      </c>
      <c r="F28" s="22" t="str">
        <f aca="false">IF(D28="","",IFERROR(D28/C28-1,0))</f>
        <v/>
      </c>
      <c r="G28" s="21" t="n">
        <f aca="false">'Sales Build'!J28</f>
        <v>381674.334218421</v>
      </c>
      <c r="H28" s="88"/>
      <c r="I28" s="29" t="n">
        <f aca="false">IFERROR('Sales Build'!M28/'Sales Build'!J28,0)</f>
        <v>0.0240250635582569</v>
      </c>
      <c r="J28" s="89"/>
      <c r="K28" s="23" t="n">
        <f aca="false">'Sales Build'!N28</f>
        <v>69.1997349034538</v>
      </c>
      <c r="L28" s="90"/>
      <c r="M28" s="31" t="n">
        <f aca="false">'Sales Build'!S28</f>
        <v>0.241339203714735</v>
      </c>
      <c r="N28" s="70"/>
      <c r="O28" s="49" t="str">
        <f aca="false">IF(COUNT(D28,H28,J28,L28,N28)=5,(H28-G28)*I28*K28*(1-M28),"")</f>
        <v/>
      </c>
      <c r="P28" s="49" t="str">
        <f aca="false">IF(COUNT(D28,H28,J28,L28,N28)=5,H28*(J28-I28)*K28*(1-M28),"")</f>
        <v/>
      </c>
      <c r="Q28" s="49" t="str">
        <f aca="false">IF(COUNT(D28,H28,J28,L28,N28)=5,H28*J28*(L28-K28)*(1-M28),"")</f>
        <v/>
      </c>
      <c r="R28" s="49" t="str">
        <f aca="false">IF(COUNT(D28,H28,J28,L28,N28)=5,H28*J28*L28*(M28-N28),"")</f>
        <v/>
      </c>
      <c r="S28" s="49" t="str">
        <f aca="false">IF(COUNT(D28,H28,J28,L28,N28)=5,E28-O28-P28-Q28-R28,"")</f>
        <v/>
      </c>
      <c r="T28" s="20" t="n">
        <f aca="false">'Media Plan'!U28</f>
        <v>69140.5695498138</v>
      </c>
      <c r="U28" s="69"/>
      <c r="V28" s="20" t="n">
        <f aca="false">Costs!U28</f>
        <v>70849.9817109685</v>
      </c>
      <c r="W28" s="69"/>
      <c r="X28" s="37"/>
      <c r="Y28" s="37"/>
      <c r="Z28" s="37"/>
      <c r="AA28" s="69"/>
    </row>
    <row r="29" customFormat="false" ht="15" hidden="false" customHeight="false" outlineLevel="0" collapsed="false">
      <c r="A29" s="13" t="n">
        <v>24</v>
      </c>
      <c r="B29" s="14" t="str">
        <f aca="false">Calendar!D29</f>
        <v>P6</v>
      </c>
      <c r="C29" s="20" t="n">
        <f aca="false">'Sales Build'!U29</f>
        <v>373154.872136979</v>
      </c>
      <c r="D29" s="69"/>
      <c r="E29" s="49" t="str">
        <f aca="false">IF(D29="","",D29-C29)</f>
        <v/>
      </c>
      <c r="F29" s="22" t="str">
        <f aca="false">IF(D29="","",IFERROR(D29/C29-1,0))</f>
        <v/>
      </c>
      <c r="G29" s="21" t="n">
        <f aca="false">'Sales Build'!J29</f>
        <v>307948.428664437</v>
      </c>
      <c r="H29" s="88"/>
      <c r="I29" s="29" t="n">
        <f aca="false">IFERROR('Sales Build'!M29/'Sales Build'!J29,0)</f>
        <v>0.0215201642007762</v>
      </c>
      <c r="J29" s="89"/>
      <c r="K29" s="23" t="n">
        <f aca="false">'Sales Build'!N29</f>
        <v>76.6405691623625</v>
      </c>
      <c r="L29" s="90"/>
      <c r="M29" s="31" t="n">
        <f aca="false">'Sales Build'!S29</f>
        <v>0.265305443688819</v>
      </c>
      <c r="N29" s="70"/>
      <c r="O29" s="49" t="str">
        <f aca="false">IF(COUNT(D29,H29,J29,L29,N29)=5,(H29-G29)*I29*K29*(1-M29),"")</f>
        <v/>
      </c>
      <c r="P29" s="49" t="str">
        <f aca="false">IF(COUNT(D29,H29,J29,L29,N29)=5,H29*(J29-I29)*K29*(1-M29),"")</f>
        <v/>
      </c>
      <c r="Q29" s="49" t="str">
        <f aca="false">IF(COUNT(D29,H29,J29,L29,N29)=5,H29*J29*(L29-K29)*(1-M29),"")</f>
        <v/>
      </c>
      <c r="R29" s="49" t="str">
        <f aca="false">IF(COUNT(D29,H29,J29,L29,N29)=5,H29*J29*L29*(M29-N29),"")</f>
        <v/>
      </c>
      <c r="S29" s="49" t="str">
        <f aca="false">IF(COUNT(D29,H29,J29,L29,N29)=5,E29-O29-P29-Q29-R29,"")</f>
        <v/>
      </c>
      <c r="T29" s="20" t="n">
        <f aca="false">'Media Plan'!U29</f>
        <v>55001.353439915</v>
      </c>
      <c r="U29" s="69"/>
      <c r="V29" s="20" t="n">
        <f aca="false">Costs!U29</f>
        <v>99946.3083598286</v>
      </c>
      <c r="W29" s="69"/>
      <c r="X29" s="37"/>
      <c r="Y29" s="37"/>
      <c r="Z29" s="37"/>
      <c r="AA29" s="69"/>
    </row>
    <row r="30" customFormat="false" ht="15" hidden="false" customHeight="false" outlineLevel="0" collapsed="false">
      <c r="A30" s="13" t="n">
        <v>25</v>
      </c>
      <c r="B30" s="14" t="str">
        <f aca="false">Calendar!D30</f>
        <v>P6</v>
      </c>
      <c r="C30" s="20" t="n">
        <f aca="false">'Sales Build'!U30</f>
        <v>345653.910245867</v>
      </c>
      <c r="D30" s="69"/>
      <c r="E30" s="49" t="str">
        <f aca="false">IF(D30="","",D30-C30)</f>
        <v/>
      </c>
      <c r="F30" s="22" t="str">
        <f aca="false">IF(D30="","",IFERROR(D30/C30-1,0))</f>
        <v/>
      </c>
      <c r="G30" s="21" t="n">
        <f aca="false">'Sales Build'!J30</f>
        <v>288437.983375975</v>
      </c>
      <c r="H30" s="88"/>
      <c r="I30" s="29" t="n">
        <f aca="false">IFERROR('Sales Build'!M30/'Sales Build'!J30,0)</f>
        <v>0.0214172328822706</v>
      </c>
      <c r="J30" s="89"/>
      <c r="K30" s="23" t="n">
        <f aca="false">'Sales Build'!N30</f>
        <v>75.9043940656477</v>
      </c>
      <c r="L30" s="90"/>
      <c r="M30" s="31" t="n">
        <f aca="false">'Sales Build'!S30</f>
        <v>0.262845116516355</v>
      </c>
      <c r="N30" s="70"/>
      <c r="O30" s="49" t="str">
        <f aca="false">IF(COUNT(D30,H30,J30,L30,N30)=5,(H30-G30)*I30*K30*(1-M30),"")</f>
        <v/>
      </c>
      <c r="P30" s="49" t="str">
        <f aca="false">IF(COUNT(D30,H30,J30,L30,N30)=5,H30*(J30-I30)*K30*(1-M30),"")</f>
        <v/>
      </c>
      <c r="Q30" s="49" t="str">
        <f aca="false">IF(COUNT(D30,H30,J30,L30,N30)=5,H30*J30*(L30-K30)*(1-M30),"")</f>
        <v/>
      </c>
      <c r="R30" s="49" t="str">
        <f aca="false">IF(COUNT(D30,H30,J30,L30,N30)=5,H30*J30*L30*(M30-N30),"")</f>
        <v/>
      </c>
      <c r="S30" s="49" t="str">
        <f aca="false">IF(COUNT(D30,H30,J30,L30,N30)=5,E30-O30-P30-Q30-R30,"")</f>
        <v/>
      </c>
      <c r="T30" s="20" t="n">
        <f aca="false">'Media Plan'!U30</f>
        <v>53501.5357955463</v>
      </c>
      <c r="U30" s="69"/>
      <c r="V30" s="20" t="n">
        <f aca="false">Costs!U30</f>
        <v>89996.4286716864</v>
      </c>
      <c r="W30" s="69"/>
      <c r="X30" s="37"/>
      <c r="Y30" s="37"/>
      <c r="Z30" s="37"/>
      <c r="AA30" s="69"/>
    </row>
    <row r="31" customFormat="false" ht="15" hidden="false" customHeight="false" outlineLevel="0" collapsed="false">
      <c r="A31" s="13" t="n">
        <v>26</v>
      </c>
      <c r="B31" s="14" t="str">
        <f aca="false">Calendar!D31</f>
        <v>P6</v>
      </c>
      <c r="C31" s="20" t="n">
        <f aca="false">'Sales Build'!U31</f>
        <v>359016.130920913</v>
      </c>
      <c r="D31" s="69"/>
      <c r="E31" s="49" t="str">
        <f aca="false">IF(D31="","",D31-C31)</f>
        <v/>
      </c>
      <c r="F31" s="22" t="str">
        <f aca="false">IF(D31="","",IFERROR(D31/C31-1,0))</f>
        <v/>
      </c>
      <c r="G31" s="21" t="n">
        <f aca="false">'Sales Build'!J31</f>
        <v>305758.355806253</v>
      </c>
      <c r="H31" s="88"/>
      <c r="I31" s="29" t="n">
        <f aca="false">IFERROR('Sales Build'!M31/'Sales Build'!J31,0)</f>
        <v>0.021313884429146</v>
      </c>
      <c r="J31" s="89"/>
      <c r="K31" s="23" t="n">
        <f aca="false">'Sales Build'!N31</f>
        <v>74.6219180516385</v>
      </c>
      <c r="L31" s="90"/>
      <c r="M31" s="31" t="n">
        <f aca="false">'Sales Build'!S31</f>
        <v>0.26174463182299</v>
      </c>
      <c r="N31" s="70"/>
      <c r="O31" s="49" t="str">
        <f aca="false">IF(COUNT(D31,H31,J31,L31,N31)=5,(H31-G31)*I31*K31*(1-M31),"")</f>
        <v/>
      </c>
      <c r="P31" s="49" t="str">
        <f aca="false">IF(COUNT(D31,H31,J31,L31,N31)=5,H31*(J31-I31)*K31*(1-M31),"")</f>
        <v/>
      </c>
      <c r="Q31" s="49" t="str">
        <f aca="false">IF(COUNT(D31,H31,J31,L31,N31)=5,H31*J31*(L31-K31)*(1-M31),"")</f>
        <v/>
      </c>
      <c r="R31" s="49" t="str">
        <f aca="false">IF(COUNT(D31,H31,J31,L31,N31)=5,H31*J31*L31*(M31-N31),"")</f>
        <v/>
      </c>
      <c r="S31" s="49" t="str">
        <f aca="false">IF(COUNT(D31,H31,J31,L31,N31)=5,E31-O31-P31-Q31-R31,"")</f>
        <v/>
      </c>
      <c r="T31" s="20" t="n">
        <f aca="false">'Media Plan'!U31</f>
        <v>50640.5937787372</v>
      </c>
      <c r="U31" s="69"/>
      <c r="V31" s="20" t="n">
        <f aca="false">Costs!U31</f>
        <v>97605.809972763</v>
      </c>
      <c r="W31" s="69"/>
      <c r="X31" s="37"/>
      <c r="Y31" s="37"/>
      <c r="Z31" s="37"/>
      <c r="AA31" s="69"/>
    </row>
    <row r="32" customFormat="false" ht="15" hidden="false" customHeight="false" outlineLevel="0" collapsed="false">
      <c r="A32" s="13" t="n">
        <v>27</v>
      </c>
      <c r="B32" s="14" t="str">
        <f aca="false">Calendar!D32</f>
        <v>P7</v>
      </c>
      <c r="C32" s="20" t="n">
        <f aca="false">'Sales Build'!U32</f>
        <v>327170.773894656</v>
      </c>
      <c r="D32" s="69"/>
      <c r="E32" s="49" t="str">
        <f aca="false">IF(D32="","",D32-C32)</f>
        <v/>
      </c>
      <c r="F32" s="22" t="str">
        <f aca="false">IF(D32="","",IFERROR(D32/C32-1,0))</f>
        <v/>
      </c>
      <c r="G32" s="21" t="n">
        <f aca="false">'Sales Build'!J32</f>
        <v>282645.266169794</v>
      </c>
      <c r="H32" s="88"/>
      <c r="I32" s="29" t="n">
        <f aca="false">IFERROR('Sales Build'!M32/'Sales Build'!J32,0)</f>
        <v>0.0208813653835751</v>
      </c>
      <c r="J32" s="89"/>
      <c r="K32" s="23" t="n">
        <f aca="false">'Sales Build'!N32</f>
        <v>75.9382268850023</v>
      </c>
      <c r="L32" s="90"/>
      <c r="M32" s="31" t="n">
        <f aca="false">'Sales Build'!S32</f>
        <v>0.270015834022456</v>
      </c>
      <c r="N32" s="70"/>
      <c r="O32" s="49" t="str">
        <f aca="false">IF(COUNT(D32,H32,J32,L32,N32)=5,(H32-G32)*I32*K32*(1-M32),"")</f>
        <v/>
      </c>
      <c r="P32" s="49" t="str">
        <f aca="false">IF(COUNT(D32,H32,J32,L32,N32)=5,H32*(J32-I32)*K32*(1-M32),"")</f>
        <v/>
      </c>
      <c r="Q32" s="49" t="str">
        <f aca="false">IF(COUNT(D32,H32,J32,L32,N32)=5,H32*J32*(L32-K32)*(1-M32),"")</f>
        <v/>
      </c>
      <c r="R32" s="49" t="str">
        <f aca="false">IF(COUNT(D32,H32,J32,L32,N32)=5,H32*J32*L32*(M32-N32),"")</f>
        <v/>
      </c>
      <c r="S32" s="49" t="str">
        <f aca="false">IF(COUNT(D32,H32,J32,L32,N32)=5,E32-O32-P32-Q32-R32,"")</f>
        <v/>
      </c>
      <c r="T32" s="20" t="n">
        <f aca="false">'Media Plan'!U32</f>
        <v>49676.7773907301</v>
      </c>
      <c r="U32" s="69"/>
      <c r="V32" s="20" t="n">
        <f aca="false">Costs!U32</f>
        <v>85500.2643945074</v>
      </c>
      <c r="W32" s="69"/>
      <c r="X32" s="37"/>
      <c r="Y32" s="37"/>
      <c r="Z32" s="37"/>
      <c r="AA32" s="69"/>
    </row>
    <row r="33" customFormat="false" ht="15" hidden="false" customHeight="false" outlineLevel="0" collapsed="false">
      <c r="A33" s="13" t="n">
        <v>28</v>
      </c>
      <c r="B33" s="14" t="str">
        <f aca="false">Calendar!D33</f>
        <v>P7</v>
      </c>
      <c r="C33" s="20" t="n">
        <f aca="false">'Sales Build'!U33</f>
        <v>365865.043440929</v>
      </c>
      <c r="D33" s="69"/>
      <c r="E33" s="49" t="str">
        <f aca="false">IF(D33="","",D33-C33)</f>
        <v/>
      </c>
      <c r="F33" s="22" t="str">
        <f aca="false">IF(D33="","",IFERROR(D33/C33-1,0))</f>
        <v/>
      </c>
      <c r="G33" s="21" t="n">
        <f aca="false">'Sales Build'!J33</f>
        <v>290728.480649638</v>
      </c>
      <c r="H33" s="88"/>
      <c r="I33" s="29" t="n">
        <f aca="false">IFERROR('Sales Build'!M33/'Sales Build'!J33,0)</f>
        <v>0.0217107000686506</v>
      </c>
      <c r="J33" s="89"/>
      <c r="K33" s="23" t="n">
        <f aca="false">'Sales Build'!N33</f>
        <v>77.4379821367196</v>
      </c>
      <c r="L33" s="90"/>
      <c r="M33" s="31" t="n">
        <f aca="false">'Sales Build'!S33</f>
        <v>0.251476425566013</v>
      </c>
      <c r="N33" s="70"/>
      <c r="O33" s="49" t="str">
        <f aca="false">IF(COUNT(D33,H33,J33,L33,N33)=5,(H33-G33)*I33*K33*(1-M33),"")</f>
        <v/>
      </c>
      <c r="P33" s="49" t="str">
        <f aca="false">IF(COUNT(D33,H33,J33,L33,N33)=5,H33*(J33-I33)*K33*(1-M33),"")</f>
        <v/>
      </c>
      <c r="Q33" s="49" t="str">
        <f aca="false">IF(COUNT(D33,H33,J33,L33,N33)=5,H33*J33*(L33-K33)*(1-M33),"")</f>
        <v/>
      </c>
      <c r="R33" s="49" t="str">
        <f aca="false">IF(COUNT(D33,H33,J33,L33,N33)=5,H33*J33*L33*(M33-N33),"")</f>
        <v/>
      </c>
      <c r="S33" s="49" t="str">
        <f aca="false">IF(COUNT(D33,H33,J33,L33,N33)=5,E33-O33-P33-Q33-R33,"")</f>
        <v/>
      </c>
      <c r="T33" s="20" t="n">
        <f aca="false">'Media Plan'!U33</f>
        <v>52861.6863533232</v>
      </c>
      <c r="U33" s="69"/>
      <c r="V33" s="20" t="n">
        <f aca="false">Costs!U33</f>
        <v>101520.948845621</v>
      </c>
      <c r="W33" s="69"/>
      <c r="X33" s="37"/>
      <c r="Y33" s="37"/>
      <c r="Z33" s="37"/>
      <c r="AA33" s="69"/>
    </row>
    <row r="34" customFormat="false" ht="15" hidden="false" customHeight="false" outlineLevel="0" collapsed="false">
      <c r="A34" s="13" t="n">
        <v>29</v>
      </c>
      <c r="B34" s="14" t="str">
        <f aca="false">Calendar!D34</f>
        <v>P7</v>
      </c>
      <c r="C34" s="20" t="n">
        <f aca="false">'Sales Build'!U34</f>
        <v>346095.611895172</v>
      </c>
      <c r="D34" s="69"/>
      <c r="E34" s="49" t="str">
        <f aca="false">IF(D34="","",D34-C34)</f>
        <v/>
      </c>
      <c r="F34" s="22" t="str">
        <f aca="false">IF(D34="","",IFERROR(D34/C34-1,0))</f>
        <v/>
      </c>
      <c r="G34" s="21" t="n">
        <f aca="false">'Sales Build'!J34</f>
        <v>288650.802808998</v>
      </c>
      <c r="H34" s="88"/>
      <c r="I34" s="29" t="n">
        <f aca="false">IFERROR('Sales Build'!M34/'Sales Build'!J34,0)</f>
        <v>0.0214950878043228</v>
      </c>
      <c r="J34" s="89"/>
      <c r="K34" s="23" t="n">
        <f aca="false">'Sales Build'!N34</f>
        <v>75.7319934661897</v>
      </c>
      <c r="L34" s="90"/>
      <c r="M34" s="31" t="n">
        <f aca="false">'Sales Build'!S34</f>
        <v>0.263445798809196</v>
      </c>
      <c r="N34" s="70"/>
      <c r="O34" s="49" t="str">
        <f aca="false">IF(COUNT(D34,H34,J34,L34,N34)=5,(H34-G34)*I34*K34*(1-M34),"")</f>
        <v/>
      </c>
      <c r="P34" s="49" t="str">
        <f aca="false">IF(COUNT(D34,H34,J34,L34,N34)=5,H34*(J34-I34)*K34*(1-M34),"")</f>
        <v/>
      </c>
      <c r="Q34" s="49" t="str">
        <f aca="false">IF(COUNT(D34,H34,J34,L34,N34)=5,H34*J34*(L34-K34)*(1-M34),"")</f>
        <v/>
      </c>
      <c r="R34" s="49" t="str">
        <f aca="false">IF(COUNT(D34,H34,J34,L34,N34)=5,H34*J34*L34*(M34-N34),"")</f>
        <v/>
      </c>
      <c r="S34" s="49" t="str">
        <f aca="false">IF(COUNT(D34,H34,J34,L34,N34)=5,E34-O34-P34-Q34-R34,"")</f>
        <v/>
      </c>
      <c r="T34" s="20" t="n">
        <f aca="false">'Media Plan'!U34</f>
        <v>51183.6224613881</v>
      </c>
      <c r="U34" s="69"/>
      <c r="V34" s="20" t="n">
        <f aca="false">Costs!U34</f>
        <v>91669.3765818127</v>
      </c>
      <c r="W34" s="69"/>
      <c r="X34" s="37"/>
      <c r="Y34" s="37"/>
      <c r="Z34" s="37"/>
      <c r="AA34" s="69"/>
    </row>
    <row r="35" customFormat="false" ht="15" hidden="false" customHeight="false" outlineLevel="0" collapsed="false">
      <c r="A35" s="13" t="n">
        <v>30</v>
      </c>
      <c r="B35" s="14" t="str">
        <f aca="false">Calendar!D35</f>
        <v>P7</v>
      </c>
      <c r="C35" s="20" t="n">
        <f aca="false">'Sales Build'!U35</f>
        <v>337648.362737388</v>
      </c>
      <c r="D35" s="69"/>
      <c r="E35" s="49" t="str">
        <f aca="false">IF(D35="","",D35-C35)</f>
        <v/>
      </c>
      <c r="F35" s="22" t="str">
        <f aca="false">IF(D35="","",IFERROR(D35/C35-1,0))</f>
        <v/>
      </c>
      <c r="G35" s="21" t="n">
        <f aca="false">'Sales Build'!J35</f>
        <v>278666.247132917</v>
      </c>
      <c r="H35" s="88"/>
      <c r="I35" s="29" t="n">
        <f aca="false">IFERROR('Sales Build'!M35/'Sales Build'!J35,0)</f>
        <v>0.0215338348890598</v>
      </c>
      <c r="J35" s="89"/>
      <c r="K35" s="23" t="n">
        <f aca="false">'Sales Build'!N35</f>
        <v>75.913353007822</v>
      </c>
      <c r="L35" s="90"/>
      <c r="M35" s="31" t="n">
        <f aca="false">'Sales Build'!S35</f>
        <v>0.258790927758975</v>
      </c>
      <c r="N35" s="70"/>
      <c r="O35" s="49" t="str">
        <f aca="false">IF(COUNT(D35,H35,J35,L35,N35)=5,(H35-G35)*I35*K35*(1-M35),"")</f>
        <v/>
      </c>
      <c r="P35" s="49" t="str">
        <f aca="false">IF(COUNT(D35,H35,J35,L35,N35)=5,H35*(J35-I35)*K35*(1-M35),"")</f>
        <v/>
      </c>
      <c r="Q35" s="49" t="str">
        <f aca="false">IF(COUNT(D35,H35,J35,L35,N35)=5,H35*J35*(L35-K35)*(1-M35),"")</f>
        <v/>
      </c>
      <c r="R35" s="49" t="str">
        <f aca="false">IF(COUNT(D35,H35,J35,L35,N35)=5,H35*J35*L35*(M35-N35),"")</f>
        <v/>
      </c>
      <c r="S35" s="49" t="str">
        <f aca="false">IF(COUNT(D35,H35,J35,L35,N35)=5,E35-O35-P35-Q35-R35,"")</f>
        <v/>
      </c>
      <c r="T35" s="20" t="n">
        <f aca="false">'Media Plan'!U35</f>
        <v>49200.5127390396</v>
      </c>
      <c r="U35" s="69"/>
      <c r="V35" s="20" t="n">
        <f aca="false">Costs!U35</f>
        <v>91882.7489726579</v>
      </c>
      <c r="W35" s="69"/>
      <c r="X35" s="37"/>
      <c r="Y35" s="37"/>
      <c r="Z35" s="37"/>
      <c r="AA35" s="69"/>
    </row>
    <row r="36" customFormat="false" ht="15" hidden="false" customHeight="false" outlineLevel="0" collapsed="false">
      <c r="A36" s="13" t="n">
        <v>31</v>
      </c>
      <c r="B36" s="14" t="str">
        <f aca="false">Calendar!D36</f>
        <v>P8</v>
      </c>
      <c r="C36" s="20" t="n">
        <f aca="false">'Sales Build'!U36</f>
        <v>361678.97391511</v>
      </c>
      <c r="D36" s="69"/>
      <c r="E36" s="49" t="str">
        <f aca="false">IF(D36="","",D36-C36)</f>
        <v/>
      </c>
      <c r="F36" s="22" t="str">
        <f aca="false">IF(D36="","",IFERROR(D36/C36-1,0))</f>
        <v/>
      </c>
      <c r="G36" s="21" t="n">
        <f aca="false">'Sales Build'!J36</f>
        <v>292267.566705238</v>
      </c>
      <c r="H36" s="88"/>
      <c r="I36" s="29" t="n">
        <f aca="false">IFERROR('Sales Build'!M36/'Sales Build'!J36,0)</f>
        <v>0.0216443170619504</v>
      </c>
      <c r="J36" s="89"/>
      <c r="K36" s="23" t="n">
        <f aca="false">'Sales Build'!N36</f>
        <v>76.9931697285409</v>
      </c>
      <c r="L36" s="90"/>
      <c r="M36" s="31" t="n">
        <f aca="false">'Sales Build'!S36</f>
        <v>0.257414351755172</v>
      </c>
      <c r="N36" s="70"/>
      <c r="O36" s="49" t="str">
        <f aca="false">IF(COUNT(D36,H36,J36,L36,N36)=5,(H36-G36)*I36*K36*(1-M36),"")</f>
        <v/>
      </c>
      <c r="P36" s="49" t="str">
        <f aca="false">IF(COUNT(D36,H36,J36,L36,N36)=5,H36*(J36-I36)*K36*(1-M36),"")</f>
        <v/>
      </c>
      <c r="Q36" s="49" t="str">
        <f aca="false">IF(COUNT(D36,H36,J36,L36,N36)=5,H36*J36*(L36-K36)*(1-M36),"")</f>
        <v/>
      </c>
      <c r="R36" s="49" t="str">
        <f aca="false">IF(COUNT(D36,H36,J36,L36,N36)=5,H36*J36*L36*(M36-N36),"")</f>
        <v/>
      </c>
      <c r="S36" s="49" t="str">
        <f aca="false">IF(COUNT(D36,H36,J36,L36,N36)=5,E36-O36-P36-Q36-R36,"")</f>
        <v/>
      </c>
      <c r="T36" s="20" t="n">
        <f aca="false">'Media Plan'!U36</f>
        <v>50664.1592599725</v>
      </c>
      <c r="U36" s="69"/>
      <c r="V36" s="20" t="n">
        <f aca="false">Costs!U36</f>
        <v>100605.415159847</v>
      </c>
      <c r="W36" s="69"/>
      <c r="X36" s="37"/>
      <c r="Y36" s="37"/>
      <c r="Z36" s="37"/>
      <c r="AA36" s="69"/>
    </row>
    <row r="37" customFormat="false" ht="15" hidden="false" customHeight="false" outlineLevel="0" collapsed="false">
      <c r="A37" s="13" t="n">
        <v>32</v>
      </c>
      <c r="B37" s="14" t="str">
        <f aca="false">Calendar!D37</f>
        <v>P8</v>
      </c>
      <c r="C37" s="20" t="n">
        <f aca="false">'Sales Build'!U37</f>
        <v>350525.1757126</v>
      </c>
      <c r="D37" s="69"/>
      <c r="E37" s="49" t="str">
        <f aca="false">IF(D37="","",D37-C37)</f>
        <v/>
      </c>
      <c r="F37" s="22" t="str">
        <f aca="false">IF(D37="","",IFERROR(D37/C37-1,0))</f>
        <v/>
      </c>
      <c r="G37" s="21" t="n">
        <f aca="false">'Sales Build'!J37</f>
        <v>289138.888047726</v>
      </c>
      <c r="H37" s="88"/>
      <c r="I37" s="29" t="n">
        <f aca="false">IFERROR('Sales Build'!M37/'Sales Build'!J37,0)</f>
        <v>0.0217063484929189</v>
      </c>
      <c r="J37" s="89"/>
      <c r="K37" s="23" t="n">
        <f aca="false">'Sales Build'!N37</f>
        <v>75.6527557580445</v>
      </c>
      <c r="L37" s="90"/>
      <c r="M37" s="31" t="n">
        <f aca="false">'Sales Build'!S37</f>
        <v>0.261753859014964</v>
      </c>
      <c r="N37" s="70"/>
      <c r="O37" s="49" t="str">
        <f aca="false">IF(COUNT(D37,H37,J37,L37,N37)=5,(H37-G37)*I37*K37*(1-M37),"")</f>
        <v/>
      </c>
      <c r="P37" s="49" t="str">
        <f aca="false">IF(COUNT(D37,H37,J37,L37,N37)=5,H37*(J37-I37)*K37*(1-M37),"")</f>
        <v/>
      </c>
      <c r="Q37" s="49" t="str">
        <f aca="false">IF(COUNT(D37,H37,J37,L37,N37)=5,H37*J37*(L37-K37)*(1-M37),"")</f>
        <v/>
      </c>
      <c r="R37" s="49" t="str">
        <f aca="false">IF(COUNT(D37,H37,J37,L37,N37)=5,H37*J37*L37*(M37-N37),"")</f>
        <v/>
      </c>
      <c r="S37" s="49" t="str">
        <f aca="false">IF(COUNT(D37,H37,J37,L37,N37)=5,E37-O37-P37-Q37-R37,"")</f>
        <v/>
      </c>
      <c r="T37" s="20" t="n">
        <f aca="false">'Media Plan'!U37</f>
        <v>51323.5404200715</v>
      </c>
      <c r="U37" s="69"/>
      <c r="V37" s="20" t="n">
        <f aca="false">Costs!U37</f>
        <v>94037.7931935969</v>
      </c>
      <c r="W37" s="69"/>
      <c r="X37" s="37"/>
      <c r="Y37" s="37"/>
      <c r="Z37" s="37"/>
      <c r="AA37" s="69"/>
    </row>
    <row r="38" customFormat="false" ht="15" hidden="false" customHeight="false" outlineLevel="0" collapsed="false">
      <c r="A38" s="13" t="n">
        <v>33</v>
      </c>
      <c r="B38" s="14" t="str">
        <f aca="false">Calendar!D38</f>
        <v>P8</v>
      </c>
      <c r="C38" s="20" t="n">
        <f aca="false">'Sales Build'!U38</f>
        <v>355006.708226671</v>
      </c>
      <c r="D38" s="69"/>
      <c r="E38" s="49" t="str">
        <f aca="false">IF(D38="","",D38-C38)</f>
        <v/>
      </c>
      <c r="F38" s="22" t="str">
        <f aca="false">IF(D38="","",IFERROR(D38/C38-1,0))</f>
        <v/>
      </c>
      <c r="G38" s="21" t="n">
        <f aca="false">'Sales Build'!J38</f>
        <v>285597.124739612</v>
      </c>
      <c r="H38" s="88"/>
      <c r="I38" s="29" t="n">
        <f aca="false">IFERROR('Sales Build'!M38/'Sales Build'!J38,0)</f>
        <v>0.0218732569489102</v>
      </c>
      <c r="J38" s="89"/>
      <c r="K38" s="23" t="n">
        <f aca="false">'Sales Build'!N38</f>
        <v>77.1515623423755</v>
      </c>
      <c r="L38" s="90"/>
      <c r="M38" s="31" t="n">
        <f aca="false">'Sales Build'!S38</f>
        <v>0.263412153329654</v>
      </c>
      <c r="N38" s="70"/>
      <c r="O38" s="49" t="str">
        <f aca="false">IF(COUNT(D38,H38,J38,L38,N38)=5,(H38-G38)*I38*K38*(1-M38),"")</f>
        <v/>
      </c>
      <c r="P38" s="49" t="str">
        <f aca="false">IF(COUNT(D38,H38,J38,L38,N38)=5,H38*(J38-I38)*K38*(1-M38),"")</f>
        <v/>
      </c>
      <c r="Q38" s="49" t="str">
        <f aca="false">IF(COUNT(D38,H38,J38,L38,N38)=5,H38*J38*(L38-K38)*(1-M38),"")</f>
        <v/>
      </c>
      <c r="R38" s="49" t="str">
        <f aca="false">IF(COUNT(D38,H38,J38,L38,N38)=5,H38*J38*L38*(M38-N38),"")</f>
        <v/>
      </c>
      <c r="S38" s="49" t="str">
        <f aca="false">IF(COUNT(D38,H38,J38,L38,N38)=5,E38-O38-P38-Q38-R38,"")</f>
        <v/>
      </c>
      <c r="T38" s="20" t="n">
        <f aca="false">'Media Plan'!U38</f>
        <v>50051.0108381058</v>
      </c>
      <c r="U38" s="69"/>
      <c r="V38" s="20" t="n">
        <f aca="false">Costs!U38</f>
        <v>97198.5676580038</v>
      </c>
      <c r="W38" s="69"/>
      <c r="X38" s="37"/>
      <c r="Y38" s="37"/>
      <c r="Z38" s="37"/>
      <c r="AA38" s="69"/>
    </row>
    <row r="39" customFormat="false" ht="15" hidden="false" customHeight="false" outlineLevel="0" collapsed="false">
      <c r="A39" s="13" t="n">
        <v>34</v>
      </c>
      <c r="B39" s="14" t="str">
        <f aca="false">Calendar!D39</f>
        <v>P8</v>
      </c>
      <c r="C39" s="20" t="n">
        <f aca="false">'Sales Build'!U39</f>
        <v>346878.106123569</v>
      </c>
      <c r="D39" s="69"/>
      <c r="E39" s="49" t="str">
        <f aca="false">IF(D39="","",D39-C39)</f>
        <v/>
      </c>
      <c r="F39" s="22" t="str">
        <f aca="false">IF(D39="","",IFERROR(D39/C39-1,0))</f>
        <v/>
      </c>
      <c r="G39" s="21" t="n">
        <f aca="false">'Sales Build'!J39</f>
        <v>285462.009677817</v>
      </c>
      <c r="H39" s="88"/>
      <c r="I39" s="29" t="n">
        <f aca="false">IFERROR('Sales Build'!M39/'Sales Build'!J39,0)</f>
        <v>0.0211940724888339</v>
      </c>
      <c r="J39" s="89"/>
      <c r="K39" s="23" t="n">
        <f aca="false">'Sales Build'!N39</f>
        <v>76.6376428506274</v>
      </c>
      <c r="L39" s="90"/>
      <c r="M39" s="31" t="n">
        <f aca="false">'Sales Build'!S39</f>
        <v>0.251878705960027</v>
      </c>
      <c r="N39" s="70"/>
      <c r="O39" s="49" t="str">
        <f aca="false">IF(COUNT(D39,H39,J39,L39,N39)=5,(H39-G39)*I39*K39*(1-M39),"")</f>
        <v/>
      </c>
      <c r="P39" s="49" t="str">
        <f aca="false">IF(COUNT(D39,H39,J39,L39,N39)=5,H39*(J39-I39)*K39*(1-M39),"")</f>
        <v/>
      </c>
      <c r="Q39" s="49" t="str">
        <f aca="false">IF(COUNT(D39,H39,J39,L39,N39)=5,H39*J39*(L39-K39)*(1-M39),"")</f>
        <v/>
      </c>
      <c r="R39" s="49" t="str">
        <f aca="false">IF(COUNT(D39,H39,J39,L39,N39)=5,H39*J39*L39*(M39-N39),"")</f>
        <v/>
      </c>
      <c r="S39" s="49" t="str">
        <f aca="false">IF(COUNT(D39,H39,J39,L39,N39)=5,E39-O39-P39-Q39-R39,"")</f>
        <v/>
      </c>
      <c r="T39" s="20" t="n">
        <f aca="false">'Media Plan'!U39</f>
        <v>51359.6777556983</v>
      </c>
      <c r="U39" s="69"/>
      <c r="V39" s="20" t="n">
        <f aca="false">Costs!U39</f>
        <v>94427.192164544</v>
      </c>
      <c r="W39" s="69"/>
      <c r="X39" s="37"/>
      <c r="Y39" s="37"/>
      <c r="Z39" s="37"/>
      <c r="AA39" s="69"/>
    </row>
    <row r="40" customFormat="false" ht="15" hidden="false" customHeight="false" outlineLevel="0" collapsed="false">
      <c r="A40" s="13" t="n">
        <v>35</v>
      </c>
      <c r="B40" s="14" t="str">
        <f aca="false">Calendar!D40</f>
        <v>P9</v>
      </c>
      <c r="C40" s="20" t="n">
        <f aca="false">'Sales Build'!U40</f>
        <v>343410.93423563</v>
      </c>
      <c r="D40" s="69"/>
      <c r="E40" s="49" t="str">
        <f aca="false">IF(D40="","",D40-C40)</f>
        <v/>
      </c>
      <c r="F40" s="22" t="str">
        <f aca="false">IF(D40="","",IFERROR(D40/C40-1,0))</f>
        <v/>
      </c>
      <c r="G40" s="21" t="n">
        <f aca="false">'Sales Build'!J40</f>
        <v>278940.891938771</v>
      </c>
      <c r="H40" s="88"/>
      <c r="I40" s="29" t="n">
        <f aca="false">IFERROR('Sales Build'!M40/'Sales Build'!J40,0)</f>
        <v>0.0219171141220423</v>
      </c>
      <c r="J40" s="89"/>
      <c r="K40" s="23" t="n">
        <f aca="false">'Sales Build'!N40</f>
        <v>75.9083270496134</v>
      </c>
      <c r="L40" s="90"/>
      <c r="M40" s="31" t="n">
        <f aca="false">'Sales Build'!S40</f>
        <v>0.260004387651849</v>
      </c>
      <c r="N40" s="70"/>
      <c r="O40" s="49" t="str">
        <f aca="false">IF(COUNT(D40,H40,J40,L40,N40)=5,(H40-G40)*I40*K40*(1-M40),"")</f>
        <v/>
      </c>
      <c r="P40" s="49" t="str">
        <f aca="false">IF(COUNT(D40,H40,J40,L40,N40)=5,H40*(J40-I40)*K40*(1-M40),"")</f>
        <v/>
      </c>
      <c r="Q40" s="49" t="str">
        <f aca="false">IF(COUNT(D40,H40,J40,L40,N40)=5,H40*J40*(L40-K40)*(1-M40),"")</f>
        <v/>
      </c>
      <c r="R40" s="49" t="str">
        <f aca="false">IF(COUNT(D40,H40,J40,L40,N40)=5,H40*J40*L40*(M40-N40),"")</f>
        <v/>
      </c>
      <c r="S40" s="49" t="str">
        <f aca="false">IF(COUNT(D40,H40,J40,L40,N40)=5,E40-O40-P40-Q40-R40,"")</f>
        <v/>
      </c>
      <c r="T40" s="20" t="n">
        <f aca="false">'Media Plan'!U40</f>
        <v>49215.2011779803</v>
      </c>
      <c r="U40" s="69"/>
      <c r="V40" s="20" t="n">
        <f aca="false">Costs!U40</f>
        <v>93417.2965859797</v>
      </c>
      <c r="W40" s="69"/>
      <c r="X40" s="37"/>
      <c r="Y40" s="37"/>
      <c r="Z40" s="37"/>
      <c r="AA40" s="69"/>
    </row>
    <row r="41" customFormat="false" ht="15" hidden="false" customHeight="false" outlineLevel="0" collapsed="false">
      <c r="A41" s="13" t="n">
        <v>36</v>
      </c>
      <c r="B41" s="14" t="str">
        <f aca="false">Calendar!D41</f>
        <v>P9</v>
      </c>
      <c r="C41" s="20" t="n">
        <f aca="false">'Sales Build'!U41</f>
        <v>475399.336393442</v>
      </c>
      <c r="D41" s="69"/>
      <c r="E41" s="49" t="str">
        <f aca="false">IF(D41="","",D41-C41)</f>
        <v/>
      </c>
      <c r="F41" s="22" t="str">
        <f aca="false">IF(D41="","",IFERROR(D41/C41-1,0))</f>
        <v/>
      </c>
      <c r="G41" s="21" t="n">
        <f aca="false">'Sales Build'!J41</f>
        <v>371251.533975731</v>
      </c>
      <c r="H41" s="88"/>
      <c r="I41" s="29" t="n">
        <f aca="false">IFERROR('Sales Build'!M41/'Sales Build'!J41,0)</f>
        <v>0.0242261806741422</v>
      </c>
      <c r="J41" s="89"/>
      <c r="K41" s="23" t="n">
        <f aca="false">'Sales Build'!N41</f>
        <v>71.031236362177</v>
      </c>
      <c r="L41" s="90"/>
      <c r="M41" s="31" t="n">
        <f aca="false">'Sales Build'!S41</f>
        <v>0.255857706324971</v>
      </c>
      <c r="N41" s="70"/>
      <c r="O41" s="49" t="str">
        <f aca="false">IF(COUNT(D41,H41,J41,L41,N41)=5,(H41-G41)*I41*K41*(1-M41),"")</f>
        <v/>
      </c>
      <c r="P41" s="49" t="str">
        <f aca="false">IF(COUNT(D41,H41,J41,L41,N41)=5,H41*(J41-I41)*K41*(1-M41),"")</f>
        <v/>
      </c>
      <c r="Q41" s="49" t="str">
        <f aca="false">IF(COUNT(D41,H41,J41,L41,N41)=5,H41*J41*(L41-K41)*(1-M41),"")</f>
        <v/>
      </c>
      <c r="R41" s="49" t="str">
        <f aca="false">IF(COUNT(D41,H41,J41,L41,N41)=5,H41*J41*L41*(M41-N41),"")</f>
        <v/>
      </c>
      <c r="S41" s="49" t="str">
        <f aca="false">IF(COUNT(D41,H41,J41,L41,N41)=5,E41-O41-P41-Q41-R41,"")</f>
        <v/>
      </c>
      <c r="T41" s="20" t="n">
        <f aca="false">'Media Plan'!U41</f>
        <v>61039.9323886628</v>
      </c>
      <c r="U41" s="69"/>
      <c r="V41" s="20" t="n">
        <f aca="false">Costs!U41</f>
        <v>95378.3196083605</v>
      </c>
      <c r="W41" s="69"/>
      <c r="X41" s="37"/>
      <c r="Y41" s="37"/>
      <c r="Z41" s="37"/>
      <c r="AA41" s="69"/>
    </row>
    <row r="42" customFormat="false" ht="15" hidden="false" customHeight="false" outlineLevel="0" collapsed="false">
      <c r="A42" s="13" t="n">
        <v>37</v>
      </c>
      <c r="B42" s="14" t="str">
        <f aca="false">Calendar!D42</f>
        <v>P9</v>
      </c>
      <c r="C42" s="20" t="n">
        <f aca="false">'Sales Build'!U42</f>
        <v>392913.501696317</v>
      </c>
      <c r="D42" s="69"/>
      <c r="E42" s="49" t="str">
        <f aca="false">IF(D42="","",D42-C42)</f>
        <v/>
      </c>
      <c r="F42" s="22" t="str">
        <f aca="false">IF(D42="","",IFERROR(D42/C42-1,0))</f>
        <v/>
      </c>
      <c r="G42" s="21" t="n">
        <f aca="false">'Sales Build'!J42</f>
        <v>311221.976122701</v>
      </c>
      <c r="H42" s="88"/>
      <c r="I42" s="29" t="n">
        <f aca="false">IFERROR('Sales Build'!M42/'Sales Build'!J42,0)</f>
        <v>0.0220257146690153</v>
      </c>
      <c r="J42" s="89"/>
      <c r="K42" s="23" t="n">
        <f aca="false">'Sales Build'!N42</f>
        <v>77.0999843872292</v>
      </c>
      <c r="L42" s="90"/>
      <c r="M42" s="31" t="n">
        <f aca="false">'Sales Build'!S42</f>
        <v>0.256566036503427</v>
      </c>
      <c r="N42" s="70"/>
      <c r="O42" s="49" t="str">
        <f aca="false">IF(COUNT(D42,H42,J42,L42,N42)=5,(H42-G42)*I42*K42*(1-M42),"")</f>
        <v/>
      </c>
      <c r="P42" s="49" t="str">
        <f aca="false">IF(COUNT(D42,H42,J42,L42,N42)=5,H42*(J42-I42)*K42*(1-M42),"")</f>
        <v/>
      </c>
      <c r="Q42" s="49" t="str">
        <f aca="false">IF(COUNT(D42,H42,J42,L42,N42)=5,H42*J42*(L42-K42)*(1-M42),"")</f>
        <v/>
      </c>
      <c r="R42" s="49" t="str">
        <f aca="false">IF(COUNT(D42,H42,J42,L42,N42)=5,H42*J42*L42*(M42-N42),"")</f>
        <v/>
      </c>
      <c r="S42" s="49" t="str">
        <f aca="false">IF(COUNT(D42,H42,J42,L42,N42)=5,E42-O42-P42-Q42-R42,"")</f>
        <v/>
      </c>
      <c r="T42" s="20" t="n">
        <f aca="false">'Media Plan'!U42</f>
        <v>53498.2447894293</v>
      </c>
      <c r="U42" s="69"/>
      <c r="V42" s="20" t="n">
        <f aca="false">Costs!U42</f>
        <v>110688.612443452</v>
      </c>
      <c r="W42" s="69"/>
      <c r="X42" s="37"/>
      <c r="Y42" s="37"/>
      <c r="Z42" s="37"/>
      <c r="AA42" s="69"/>
    </row>
    <row r="43" customFormat="false" ht="15" hidden="false" customHeight="false" outlineLevel="0" collapsed="false">
      <c r="A43" s="13" t="n">
        <v>38</v>
      </c>
      <c r="B43" s="14" t="str">
        <f aca="false">Calendar!D43</f>
        <v>P9</v>
      </c>
      <c r="C43" s="20" t="n">
        <f aca="false">'Sales Build'!U43</f>
        <v>429450.671496573</v>
      </c>
      <c r="D43" s="69"/>
      <c r="E43" s="49" t="str">
        <f aca="false">IF(D43="","",D43-C43)</f>
        <v/>
      </c>
      <c r="F43" s="22" t="str">
        <f aca="false">IF(D43="","",IFERROR(D43/C43-1,0))</f>
        <v/>
      </c>
      <c r="G43" s="21" t="n">
        <f aca="false">'Sales Build'!J43</f>
        <v>338043.453241876</v>
      </c>
      <c r="H43" s="88"/>
      <c r="I43" s="29" t="n">
        <f aca="false">IFERROR('Sales Build'!M43/'Sales Build'!J43,0)</f>
        <v>0.0227177065022507</v>
      </c>
      <c r="J43" s="89"/>
      <c r="K43" s="23" t="n">
        <f aca="false">'Sales Build'!N43</f>
        <v>75.9437733294047</v>
      </c>
      <c r="L43" s="90"/>
      <c r="M43" s="31" t="n">
        <f aca="false">'Sales Build'!S43</f>
        <v>0.263650323188229</v>
      </c>
      <c r="N43" s="70"/>
      <c r="O43" s="49" t="str">
        <f aca="false">IF(COUNT(D43,H43,J43,L43,N43)=5,(H43-G43)*I43*K43*(1-M43),"")</f>
        <v/>
      </c>
      <c r="P43" s="49" t="str">
        <f aca="false">IF(COUNT(D43,H43,J43,L43,N43)=5,H43*(J43-I43)*K43*(1-M43),"")</f>
        <v/>
      </c>
      <c r="Q43" s="49" t="str">
        <f aca="false">IF(COUNT(D43,H43,J43,L43,N43)=5,H43*J43*(L43-K43)*(1-M43),"")</f>
        <v/>
      </c>
      <c r="R43" s="49" t="str">
        <f aca="false">IF(COUNT(D43,H43,J43,L43,N43)=5,H43*J43*L43*(M43-N43),"")</f>
        <v/>
      </c>
      <c r="S43" s="49" t="str">
        <f aca="false">IF(COUNT(D43,H43,J43,L43,N43)=5,E43-O43-P43-Q43-R43,"")</f>
        <v/>
      </c>
      <c r="T43" s="20" t="n">
        <f aca="false">'Media Plan'!U43</f>
        <v>58964.8748152866</v>
      </c>
      <c r="U43" s="69"/>
      <c r="V43" s="20" t="n">
        <f aca="false">Costs!U43</f>
        <v>119215.47360237</v>
      </c>
      <c r="W43" s="69"/>
      <c r="X43" s="37"/>
      <c r="Y43" s="37"/>
      <c r="Z43" s="37"/>
      <c r="AA43" s="69"/>
    </row>
    <row r="44" customFormat="false" ht="15" hidden="false" customHeight="false" outlineLevel="0" collapsed="false">
      <c r="A44" s="13" t="n">
        <v>39</v>
      </c>
      <c r="B44" s="14" t="str">
        <f aca="false">Calendar!D44</f>
        <v>P9</v>
      </c>
      <c r="C44" s="20" t="n">
        <f aca="false">'Sales Build'!U44</f>
        <v>399315.659134029</v>
      </c>
      <c r="D44" s="69"/>
      <c r="E44" s="49" t="str">
        <f aca="false">IF(D44="","",D44-C44)</f>
        <v/>
      </c>
      <c r="F44" s="22" t="str">
        <f aca="false">IF(D44="","",IFERROR(D44/C44-1,0))</f>
        <v/>
      </c>
      <c r="G44" s="21" t="n">
        <f aca="false">'Sales Build'!J44</f>
        <v>327875.67589411</v>
      </c>
      <c r="H44" s="88"/>
      <c r="I44" s="29" t="n">
        <f aca="false">IFERROR('Sales Build'!M44/'Sales Build'!J44,0)</f>
        <v>0.0214843722339286</v>
      </c>
      <c r="J44" s="89"/>
      <c r="K44" s="23" t="n">
        <f aca="false">'Sales Build'!N44</f>
        <v>77.4450726040622</v>
      </c>
      <c r="L44" s="90"/>
      <c r="M44" s="31" t="n">
        <f aca="false">'Sales Build'!S44</f>
        <v>0.268034380017755</v>
      </c>
      <c r="N44" s="70"/>
      <c r="O44" s="49" t="str">
        <f aca="false">IF(COUNT(D44,H44,J44,L44,N44)=5,(H44-G44)*I44*K44*(1-M44),"")</f>
        <v/>
      </c>
      <c r="P44" s="49" t="str">
        <f aca="false">IF(COUNT(D44,H44,J44,L44,N44)=5,H44*(J44-I44)*K44*(1-M44),"")</f>
        <v/>
      </c>
      <c r="Q44" s="49" t="str">
        <f aca="false">IF(COUNT(D44,H44,J44,L44,N44)=5,H44*J44*(L44-K44)*(1-M44),"")</f>
        <v/>
      </c>
      <c r="R44" s="49" t="str">
        <f aca="false">IF(COUNT(D44,H44,J44,L44,N44)=5,H44*J44*L44*(M44-N44),"")</f>
        <v/>
      </c>
      <c r="S44" s="49" t="str">
        <f aca="false">IF(COUNT(D44,H44,J44,L44,N44)=5,E44-O44-P44-Q44-R44,"")</f>
        <v/>
      </c>
      <c r="T44" s="20" t="n">
        <f aca="false">'Media Plan'!U44</f>
        <v>58950.8362133231</v>
      </c>
      <c r="U44" s="69"/>
      <c r="V44" s="20" t="n">
        <f aca="false">Costs!U44</f>
        <v>106487.865267745</v>
      </c>
      <c r="W44" s="69"/>
      <c r="X44" s="37"/>
      <c r="Y44" s="37"/>
      <c r="Z44" s="37"/>
      <c r="AA44" s="69"/>
    </row>
    <row r="45" customFormat="false" ht="15" hidden="false" customHeight="false" outlineLevel="0" collapsed="false">
      <c r="A45" s="13" t="n">
        <v>40</v>
      </c>
      <c r="B45" s="14" t="str">
        <f aca="false">Calendar!D45</f>
        <v>P10</v>
      </c>
      <c r="C45" s="20" t="n">
        <f aca="false">'Sales Build'!U45</f>
        <v>392458.96429052</v>
      </c>
      <c r="D45" s="69"/>
      <c r="E45" s="49" t="str">
        <f aca="false">IF(D45="","",D45-C45)</f>
        <v/>
      </c>
      <c r="F45" s="22" t="str">
        <f aca="false">IF(D45="","",IFERROR(D45/C45-1,0))</f>
        <v/>
      </c>
      <c r="G45" s="21" t="n">
        <f aca="false">'Sales Build'!J45</f>
        <v>322931.092793415</v>
      </c>
      <c r="H45" s="88"/>
      <c r="I45" s="29" t="n">
        <f aca="false">IFERROR('Sales Build'!M45/'Sales Build'!J45,0)</f>
        <v>0.0216371943386716</v>
      </c>
      <c r="J45" s="89"/>
      <c r="K45" s="23" t="n">
        <f aca="false">'Sales Build'!N45</f>
        <v>75.9220555600717</v>
      </c>
      <c r="L45" s="90"/>
      <c r="M45" s="31" t="n">
        <f aca="false">'Sales Build'!S45</f>
        <v>0.260198023202177</v>
      </c>
      <c r="N45" s="70"/>
      <c r="O45" s="49" t="str">
        <f aca="false">IF(COUNT(D45,H45,J45,L45,N45)=5,(H45-G45)*I45*K45*(1-M45),"")</f>
        <v/>
      </c>
      <c r="P45" s="49" t="str">
        <f aca="false">IF(COUNT(D45,H45,J45,L45,N45)=5,H45*(J45-I45)*K45*(1-M45),"")</f>
        <v/>
      </c>
      <c r="Q45" s="49" t="str">
        <f aca="false">IF(COUNT(D45,H45,J45,L45,N45)=5,H45*J45*(L45-K45)*(1-M45),"")</f>
        <v/>
      </c>
      <c r="R45" s="49" t="str">
        <f aca="false">IF(COUNT(D45,H45,J45,L45,N45)=5,H45*J45*L45*(M45-N45),"")</f>
        <v/>
      </c>
      <c r="S45" s="49" t="str">
        <f aca="false">IF(COUNT(D45,H45,J45,L45,N45)=5,E45-O45-P45-Q45-R45,"")</f>
        <v/>
      </c>
      <c r="T45" s="20" t="n">
        <f aca="false">'Media Plan'!U45</f>
        <v>56220.9049661854</v>
      </c>
      <c r="U45" s="69"/>
      <c r="V45" s="20" t="n">
        <f aca="false">Costs!U45</f>
        <v>105862.036561015</v>
      </c>
      <c r="W45" s="69"/>
      <c r="X45" s="37"/>
      <c r="Y45" s="37"/>
      <c r="Z45" s="37"/>
      <c r="AA45" s="69"/>
    </row>
    <row r="46" customFormat="false" ht="15" hidden="false" customHeight="false" outlineLevel="0" collapsed="false">
      <c r="A46" s="13" t="n">
        <v>41</v>
      </c>
      <c r="B46" s="14" t="str">
        <f aca="false">Calendar!D46</f>
        <v>P10</v>
      </c>
      <c r="C46" s="20" t="n">
        <f aca="false">'Sales Build'!U46</f>
        <v>405789.549289314</v>
      </c>
      <c r="D46" s="69"/>
      <c r="E46" s="49" t="str">
        <f aca="false">IF(D46="","",D46-C46)</f>
        <v/>
      </c>
      <c r="F46" s="22" t="str">
        <f aca="false">IF(D46="","",IFERROR(D46/C46-1,0))</f>
        <v/>
      </c>
      <c r="G46" s="21" t="n">
        <f aca="false">'Sales Build'!J46</f>
        <v>329263.783609701</v>
      </c>
      <c r="H46" s="88"/>
      <c r="I46" s="29" t="n">
        <f aca="false">IFERROR('Sales Build'!M46/'Sales Build'!J46,0)</f>
        <v>0.0217529790730842</v>
      </c>
      <c r="J46" s="89"/>
      <c r="K46" s="23" t="n">
        <f aca="false">'Sales Build'!N46</f>
        <v>76.2081311509607</v>
      </c>
      <c r="L46" s="90"/>
      <c r="M46" s="31" t="n">
        <f aca="false">'Sales Build'!S46</f>
        <v>0.256575550397254</v>
      </c>
      <c r="N46" s="70"/>
      <c r="O46" s="49" t="str">
        <f aca="false">IF(COUNT(D46,H46,J46,L46,N46)=5,(H46-G46)*I46*K46*(1-M46),"")</f>
        <v/>
      </c>
      <c r="P46" s="49" t="str">
        <f aca="false">IF(COUNT(D46,H46,J46,L46,N46)=5,H46*(J46-I46)*K46*(1-M46),"")</f>
        <v/>
      </c>
      <c r="Q46" s="49" t="str">
        <f aca="false">IF(COUNT(D46,H46,J46,L46,N46)=5,H46*J46*(L46-K46)*(1-M46),"")</f>
        <v/>
      </c>
      <c r="R46" s="49" t="str">
        <f aca="false">IF(COUNT(D46,H46,J46,L46,N46)=5,H46*J46*L46*(M46-N46),"")</f>
        <v/>
      </c>
      <c r="S46" s="49" t="str">
        <f aca="false">IF(COUNT(D46,H46,J46,L46,N46)=5,E46-O46-P46-Q46-R46,"")</f>
        <v/>
      </c>
      <c r="T46" s="20" t="n">
        <f aca="false">'Media Plan'!U46</f>
        <v>57839.8046977596</v>
      </c>
      <c r="U46" s="69"/>
      <c r="V46" s="20" t="n">
        <f aca="false">Costs!U46</f>
        <v>111971.653591337</v>
      </c>
      <c r="W46" s="69"/>
      <c r="X46" s="37"/>
      <c r="Y46" s="37"/>
      <c r="Z46" s="37"/>
      <c r="AA46" s="69"/>
    </row>
    <row r="47" customFormat="false" ht="15" hidden="false" customHeight="false" outlineLevel="0" collapsed="false">
      <c r="A47" s="13" t="n">
        <v>42</v>
      </c>
      <c r="B47" s="14" t="str">
        <f aca="false">Calendar!D47</f>
        <v>P10</v>
      </c>
      <c r="C47" s="20" t="n">
        <f aca="false">'Sales Build'!U47</f>
        <v>396684.555145468</v>
      </c>
      <c r="D47" s="69"/>
      <c r="E47" s="49" t="str">
        <f aca="false">IF(D47="","",D47-C47)</f>
        <v/>
      </c>
      <c r="F47" s="22" t="str">
        <f aca="false">IF(D47="","",IFERROR(D47/C47-1,0))</f>
        <v/>
      </c>
      <c r="G47" s="21" t="n">
        <f aca="false">'Sales Build'!J47</f>
        <v>320271.835239286</v>
      </c>
      <c r="H47" s="88"/>
      <c r="I47" s="29" t="n">
        <f aca="false">IFERROR('Sales Build'!M47/'Sales Build'!J47,0)</f>
        <v>0.0216345662944982</v>
      </c>
      <c r="J47" s="89"/>
      <c r="K47" s="23" t="n">
        <f aca="false">'Sales Build'!N47</f>
        <v>77.3861528529687</v>
      </c>
      <c r="L47" s="90"/>
      <c r="M47" s="31" t="n">
        <f aca="false">'Sales Build'!S47</f>
        <v>0.260198695138602</v>
      </c>
      <c r="N47" s="70"/>
      <c r="O47" s="49" t="str">
        <f aca="false">IF(COUNT(D47,H47,J47,L47,N47)=5,(H47-G47)*I47*K47*(1-M47),"")</f>
        <v/>
      </c>
      <c r="P47" s="49" t="str">
        <f aca="false">IF(COUNT(D47,H47,J47,L47,N47)=5,H47*(J47-I47)*K47*(1-M47),"")</f>
        <v/>
      </c>
      <c r="Q47" s="49" t="str">
        <f aca="false">IF(COUNT(D47,H47,J47,L47,N47)=5,H47*J47*(L47-K47)*(1-M47),"")</f>
        <v/>
      </c>
      <c r="R47" s="49" t="str">
        <f aca="false">IF(COUNT(D47,H47,J47,L47,N47)=5,H47*J47*L47*(M47-N47),"")</f>
        <v/>
      </c>
      <c r="S47" s="49" t="str">
        <f aca="false">IF(COUNT(D47,H47,J47,L47,N47)=5,E47-O47-P47-Q47-R47,"")</f>
        <v/>
      </c>
      <c r="T47" s="20" t="n">
        <f aca="false">'Media Plan'!U47</f>
        <v>57173.7031753931</v>
      </c>
      <c r="U47" s="69"/>
      <c r="V47" s="20" t="n">
        <f aca="false">Costs!U47</f>
        <v>108520.819616941</v>
      </c>
      <c r="W47" s="69"/>
      <c r="X47" s="37"/>
      <c r="Y47" s="37"/>
      <c r="Z47" s="37"/>
      <c r="AA47" s="69"/>
    </row>
    <row r="48" customFormat="false" ht="15" hidden="false" customHeight="false" outlineLevel="0" collapsed="false">
      <c r="A48" s="13" t="n">
        <v>43</v>
      </c>
      <c r="B48" s="14" t="str">
        <f aca="false">Calendar!D48</f>
        <v>P10</v>
      </c>
      <c r="C48" s="20" t="n">
        <f aca="false">'Sales Build'!U48</f>
        <v>1070800.2459478</v>
      </c>
      <c r="D48" s="69"/>
      <c r="E48" s="49" t="str">
        <f aca="false">IF(D48="","",D48-C48)</f>
        <v/>
      </c>
      <c r="F48" s="22" t="str">
        <f aca="false">IF(D48="","",IFERROR(D48/C48-1,0))</f>
        <v/>
      </c>
      <c r="G48" s="21" t="n">
        <f aca="false">'Sales Build'!J48</f>
        <v>675199.834450516</v>
      </c>
      <c r="H48" s="88"/>
      <c r="I48" s="29" t="n">
        <f aca="false">IFERROR('Sales Build'!M48/'Sales Build'!J48,0)</f>
        <v>0.0302576250964833</v>
      </c>
      <c r="J48" s="89"/>
      <c r="K48" s="23" t="n">
        <f aca="false">'Sales Build'!N48</f>
        <v>72.3463084322966</v>
      </c>
      <c r="L48" s="90"/>
      <c r="M48" s="31" t="n">
        <f aca="false">'Sales Build'!S48</f>
        <v>0.275522466840211</v>
      </c>
      <c r="N48" s="70"/>
      <c r="O48" s="49" t="str">
        <f aca="false">IF(COUNT(D48,H48,J48,L48,N48)=5,(H48-G48)*I48*K48*(1-M48),"")</f>
        <v/>
      </c>
      <c r="P48" s="49" t="str">
        <f aca="false">IF(COUNT(D48,H48,J48,L48,N48)=5,H48*(J48-I48)*K48*(1-M48),"")</f>
        <v/>
      </c>
      <c r="Q48" s="49" t="str">
        <f aca="false">IF(COUNT(D48,H48,J48,L48,N48)=5,H48*J48*(L48-K48)*(1-M48),"")</f>
        <v/>
      </c>
      <c r="R48" s="49" t="str">
        <f aca="false">IF(COUNT(D48,H48,J48,L48,N48)=5,H48*J48*L48*(M48-N48),"")</f>
        <v/>
      </c>
      <c r="S48" s="49" t="str">
        <f aca="false">IF(COUNT(D48,H48,J48,L48,N48)=5,E48-O48-P48-Q48-R48,"")</f>
        <v/>
      </c>
      <c r="T48" s="20" t="n">
        <f aca="false">'Media Plan'!U48</f>
        <v>112988.037558716</v>
      </c>
      <c r="U48" s="69"/>
      <c r="V48" s="20" t="n">
        <f aca="false">Costs!U48</f>
        <v>216932.291297323</v>
      </c>
      <c r="W48" s="69"/>
      <c r="X48" s="37"/>
      <c r="Y48" s="37"/>
      <c r="Z48" s="37"/>
      <c r="AA48" s="69"/>
    </row>
    <row r="49" customFormat="false" ht="15" hidden="false" customHeight="false" outlineLevel="0" collapsed="false">
      <c r="A49" s="13" t="n">
        <v>44</v>
      </c>
      <c r="B49" s="14" t="str">
        <f aca="false">Calendar!D49</f>
        <v>P11</v>
      </c>
      <c r="C49" s="20" t="n">
        <f aca="false">'Sales Build'!U49</f>
        <v>766642.044238299</v>
      </c>
      <c r="D49" s="69"/>
      <c r="E49" s="49" t="str">
        <f aca="false">IF(D49="","",D49-C49)</f>
        <v/>
      </c>
      <c r="F49" s="22" t="str">
        <f aca="false">IF(D49="","",IFERROR(D49/C49-1,0))</f>
        <v/>
      </c>
      <c r="G49" s="21" t="n">
        <f aca="false">'Sales Build'!J49</f>
        <v>532630.368365139</v>
      </c>
      <c r="H49" s="88"/>
      <c r="I49" s="29" t="n">
        <f aca="false">IFERROR('Sales Build'!M49/'Sales Build'!J49,0)</f>
        <v>0.0267440330584746</v>
      </c>
      <c r="J49" s="89"/>
      <c r="K49" s="23" t="n">
        <f aca="false">'Sales Build'!N49</f>
        <v>75.4383086333756</v>
      </c>
      <c r="L49" s="90"/>
      <c r="M49" s="31" t="n">
        <f aca="false">'Sales Build'!S49</f>
        <v>0.286575752943282</v>
      </c>
      <c r="N49" s="70"/>
      <c r="O49" s="49" t="str">
        <f aca="false">IF(COUNT(D49,H49,J49,L49,N49)=5,(H49-G49)*I49*K49*(1-M49),"")</f>
        <v/>
      </c>
      <c r="P49" s="49" t="str">
        <f aca="false">IF(COUNT(D49,H49,J49,L49,N49)=5,H49*(J49-I49)*K49*(1-M49),"")</f>
        <v/>
      </c>
      <c r="Q49" s="49" t="str">
        <f aca="false">IF(COUNT(D49,H49,J49,L49,N49)=5,H49*J49*(L49-K49)*(1-M49),"")</f>
        <v/>
      </c>
      <c r="R49" s="49" t="str">
        <f aca="false">IF(COUNT(D49,H49,J49,L49,N49)=5,H49*J49*L49*(M49-N49),"")</f>
        <v/>
      </c>
      <c r="S49" s="49" t="str">
        <f aca="false">IF(COUNT(D49,H49,J49,L49,N49)=5,E49-O49-P49-Q49-R49,"")</f>
        <v/>
      </c>
      <c r="T49" s="20" t="n">
        <f aca="false">'Media Plan'!U49</f>
        <v>89114.1709317762</v>
      </c>
      <c r="U49" s="69"/>
      <c r="V49" s="20" t="n">
        <f aca="false">Costs!U49</f>
        <v>161672.347102749</v>
      </c>
      <c r="W49" s="69"/>
      <c r="X49" s="37"/>
      <c r="Y49" s="37"/>
      <c r="Z49" s="37"/>
      <c r="AA49" s="69"/>
    </row>
    <row r="50" customFormat="false" ht="15" hidden="false" customHeight="false" outlineLevel="0" collapsed="false">
      <c r="A50" s="13" t="n">
        <v>45</v>
      </c>
      <c r="B50" s="14" t="str">
        <f aca="false">Calendar!D50</f>
        <v>P11</v>
      </c>
      <c r="C50" s="20" t="n">
        <f aca="false">'Sales Build'!U50</f>
        <v>648296.404412179</v>
      </c>
      <c r="D50" s="69"/>
      <c r="E50" s="49" t="str">
        <f aca="false">IF(D50="","",D50-C50)</f>
        <v/>
      </c>
      <c r="F50" s="22" t="str">
        <f aca="false">IF(D50="","",IFERROR(D50/C50-1,0))</f>
        <v/>
      </c>
      <c r="G50" s="21" t="n">
        <f aca="false">'Sales Build'!J50</f>
        <v>439199.426038895</v>
      </c>
      <c r="H50" s="88"/>
      <c r="I50" s="29" t="n">
        <f aca="false">IFERROR('Sales Build'!M50/'Sales Build'!J50,0)</f>
        <v>0.0240287219450672</v>
      </c>
      <c r="J50" s="89"/>
      <c r="K50" s="23" t="n">
        <f aca="false">'Sales Build'!N50</f>
        <v>84.4614696535499</v>
      </c>
      <c r="L50" s="90"/>
      <c r="M50" s="31" t="n">
        <f aca="false">'Sales Build'!S50</f>
        <v>0.272685002220714</v>
      </c>
      <c r="N50" s="70"/>
      <c r="O50" s="49" t="str">
        <f aca="false">IF(COUNT(D50,H50,J50,L50,N50)=5,(H50-G50)*I50*K50*(1-M50),"")</f>
        <v/>
      </c>
      <c r="P50" s="49" t="str">
        <f aca="false">IF(COUNT(D50,H50,J50,L50,N50)=5,H50*(J50-I50)*K50*(1-M50),"")</f>
        <v/>
      </c>
      <c r="Q50" s="49" t="str">
        <f aca="false">IF(COUNT(D50,H50,J50,L50,N50)=5,H50*J50*(L50-K50)*(1-M50),"")</f>
        <v/>
      </c>
      <c r="R50" s="49" t="str">
        <f aca="false">IF(COUNT(D50,H50,J50,L50,N50)=5,H50*J50*L50*(M50-N50),"")</f>
        <v/>
      </c>
      <c r="S50" s="49" t="str">
        <f aca="false">IF(COUNT(D50,H50,J50,L50,N50)=5,E50-O50-P50-Q50-R50,"")</f>
        <v/>
      </c>
      <c r="T50" s="20" t="n">
        <f aca="false">'Media Plan'!U50</f>
        <v>80415.0999216261</v>
      </c>
      <c r="U50" s="69"/>
      <c r="V50" s="20" t="n">
        <f aca="false">Costs!U50</f>
        <v>195128.347550381</v>
      </c>
      <c r="W50" s="69"/>
      <c r="X50" s="37"/>
      <c r="Y50" s="37"/>
      <c r="Z50" s="37"/>
      <c r="AA50" s="69"/>
    </row>
    <row r="51" customFormat="false" ht="15" hidden="false" customHeight="false" outlineLevel="0" collapsed="false">
      <c r="A51" s="13" t="n">
        <v>46</v>
      </c>
      <c r="B51" s="14" t="str">
        <f aca="false">Calendar!D51</f>
        <v>P11</v>
      </c>
      <c r="C51" s="20" t="n">
        <f aca="false">'Sales Build'!U51</f>
        <v>578360.359695955</v>
      </c>
      <c r="D51" s="69"/>
      <c r="E51" s="49" t="str">
        <f aca="false">IF(D51="","",D51-C51)</f>
        <v/>
      </c>
      <c r="F51" s="22" t="str">
        <f aca="false">IF(D51="","",IFERROR(D51/C51-1,0))</f>
        <v/>
      </c>
      <c r="G51" s="21" t="n">
        <f aca="false">'Sales Build'!J51</f>
        <v>403257.572727955</v>
      </c>
      <c r="H51" s="88"/>
      <c r="I51" s="29" t="n">
        <f aca="false">IFERROR('Sales Build'!M51/'Sales Build'!J51,0)</f>
        <v>0.0234169531436125</v>
      </c>
      <c r="J51" s="89"/>
      <c r="K51" s="23" t="n">
        <f aca="false">'Sales Build'!N51</f>
        <v>85.0211227789173</v>
      </c>
      <c r="L51" s="90"/>
      <c r="M51" s="31" t="n">
        <f aca="false">'Sales Build'!S51</f>
        <v>0.279624781033422</v>
      </c>
      <c r="N51" s="70"/>
      <c r="O51" s="49" t="str">
        <f aca="false">IF(COUNT(D51,H51,J51,L51,N51)=5,(H51-G51)*I51*K51*(1-M51),"")</f>
        <v/>
      </c>
      <c r="P51" s="49" t="str">
        <f aca="false">IF(COUNT(D51,H51,J51,L51,N51)=5,H51*(J51-I51)*K51*(1-M51),"")</f>
        <v/>
      </c>
      <c r="Q51" s="49" t="str">
        <f aca="false">IF(COUNT(D51,H51,J51,L51,N51)=5,H51*J51*(L51-K51)*(1-M51),"")</f>
        <v/>
      </c>
      <c r="R51" s="49" t="str">
        <f aca="false">IF(COUNT(D51,H51,J51,L51,N51)=5,H51*J51*L51*(M51-N51),"")</f>
        <v/>
      </c>
      <c r="S51" s="49" t="str">
        <f aca="false">IF(COUNT(D51,H51,J51,L51,N51)=5,E51-O51-P51-Q51-R51,"")</f>
        <v/>
      </c>
      <c r="T51" s="20" t="n">
        <f aca="false">'Media Plan'!U51</f>
        <v>72596.6004483055</v>
      </c>
      <c r="U51" s="69"/>
      <c r="V51" s="20" t="n">
        <f aca="false">Costs!U51</f>
        <v>172789.658530409</v>
      </c>
      <c r="W51" s="69"/>
      <c r="X51" s="37"/>
      <c r="Y51" s="37"/>
      <c r="Z51" s="37"/>
      <c r="AA51" s="69"/>
    </row>
    <row r="52" customFormat="false" ht="15" hidden="false" customHeight="false" outlineLevel="0" collapsed="false">
      <c r="A52" s="13" t="n">
        <v>47</v>
      </c>
      <c r="B52" s="14" t="str">
        <f aca="false">Calendar!D52</f>
        <v>P11</v>
      </c>
      <c r="C52" s="20" t="n">
        <f aca="false">'Sales Build'!U52</f>
        <v>370654.463276675</v>
      </c>
      <c r="D52" s="69"/>
      <c r="E52" s="49" t="str">
        <f aca="false">IF(D52="","",D52-C52)</f>
        <v/>
      </c>
      <c r="F52" s="22" t="str">
        <f aca="false">IF(D52="","",IFERROR(D52/C52-1,0))</f>
        <v/>
      </c>
      <c r="G52" s="21" t="n">
        <f aca="false">'Sales Build'!J52</f>
        <v>296322.912131976</v>
      </c>
      <c r="H52" s="88"/>
      <c r="I52" s="29" t="n">
        <f aca="false">IFERROR('Sales Build'!M52/'Sales Build'!J52,0)</f>
        <v>0.0218037691293392</v>
      </c>
      <c r="J52" s="89"/>
      <c r="K52" s="23" t="n">
        <f aca="false">'Sales Build'!N52</f>
        <v>77.7855105124883</v>
      </c>
      <c r="L52" s="90"/>
      <c r="M52" s="31" t="n">
        <f aca="false">'Sales Build'!S52</f>
        <v>0.262480139495037</v>
      </c>
      <c r="N52" s="70"/>
      <c r="O52" s="49" t="str">
        <f aca="false">IF(COUNT(D52,H52,J52,L52,N52)=5,(H52-G52)*I52*K52*(1-M52),"")</f>
        <v/>
      </c>
      <c r="P52" s="49" t="str">
        <f aca="false">IF(COUNT(D52,H52,J52,L52,N52)=5,H52*(J52-I52)*K52*(1-M52),"")</f>
        <v/>
      </c>
      <c r="Q52" s="49" t="str">
        <f aca="false">IF(COUNT(D52,H52,J52,L52,N52)=5,H52*J52*(L52-K52)*(1-M52),"")</f>
        <v/>
      </c>
      <c r="R52" s="49" t="str">
        <f aca="false">IF(COUNT(D52,H52,J52,L52,N52)=5,H52*J52*L52*(M52-N52),"")</f>
        <v/>
      </c>
      <c r="S52" s="49" t="str">
        <f aca="false">IF(COUNT(D52,H52,J52,L52,N52)=5,E52-O52-P52-Q52-R52,"")</f>
        <v/>
      </c>
      <c r="T52" s="20" t="n">
        <f aca="false">'Media Plan'!U52</f>
        <v>54887.1512349433</v>
      </c>
      <c r="U52" s="69"/>
      <c r="V52" s="20" t="n">
        <f aca="false">Costs!U52</f>
        <v>99587.2625640136</v>
      </c>
      <c r="W52" s="69"/>
      <c r="X52" s="37"/>
      <c r="Y52" s="37"/>
      <c r="Z52" s="37"/>
      <c r="AA52" s="69"/>
    </row>
    <row r="53" customFormat="false" ht="15" hidden="false" customHeight="false" outlineLevel="0" collapsed="false">
      <c r="A53" s="13" t="n">
        <v>48</v>
      </c>
      <c r="B53" s="14" t="str">
        <f aca="false">Calendar!D53</f>
        <v>P12</v>
      </c>
      <c r="C53" s="20" t="n">
        <f aca="false">'Sales Build'!U53</f>
        <v>768796.857038796</v>
      </c>
      <c r="D53" s="69"/>
      <c r="E53" s="49" t="str">
        <f aca="false">IF(D53="","",D53-C53)</f>
        <v/>
      </c>
      <c r="F53" s="22" t="str">
        <f aca="false">IF(D53="","",IFERROR(D53/C53-1,0))</f>
        <v/>
      </c>
      <c r="G53" s="21" t="n">
        <f aca="false">'Sales Build'!J53</f>
        <v>531963.400356126</v>
      </c>
      <c r="H53" s="88"/>
      <c r="I53" s="29" t="n">
        <f aca="false">IFERROR('Sales Build'!M53/'Sales Build'!J53,0)</f>
        <v>0.027996719232067</v>
      </c>
      <c r="J53" s="89"/>
      <c r="K53" s="23" t="n">
        <f aca="false">'Sales Build'!N53</f>
        <v>68.157655177534</v>
      </c>
      <c r="L53" s="90"/>
      <c r="M53" s="31" t="n">
        <f aca="false">'Sales Build'!S53</f>
        <v>0.242630062021765</v>
      </c>
      <c r="N53" s="70"/>
      <c r="O53" s="49" t="str">
        <f aca="false">IF(COUNT(D53,H53,J53,L53,N53)=5,(H53-G53)*I53*K53*(1-M53),"")</f>
        <v/>
      </c>
      <c r="P53" s="49" t="str">
        <f aca="false">IF(COUNT(D53,H53,J53,L53,N53)=5,H53*(J53-I53)*K53*(1-M53),"")</f>
        <v/>
      </c>
      <c r="Q53" s="49" t="str">
        <f aca="false">IF(COUNT(D53,H53,J53,L53,N53)=5,H53*J53*(L53-K53)*(1-M53),"")</f>
        <v/>
      </c>
      <c r="R53" s="49" t="str">
        <f aca="false">IF(COUNT(D53,H53,J53,L53,N53)=5,H53*J53*L53*(M53-N53),"")</f>
        <v/>
      </c>
      <c r="S53" s="49" t="str">
        <f aca="false">IF(COUNT(D53,H53,J53,L53,N53)=5,E53-O53-P53-Q53-R53,"")</f>
        <v/>
      </c>
      <c r="T53" s="20" t="n">
        <f aca="false">'Media Plan'!U53</f>
        <v>89741.5165584526</v>
      </c>
      <c r="U53" s="69"/>
      <c r="V53" s="20" t="n">
        <f aca="false">Costs!U53</f>
        <v>101080.724019924</v>
      </c>
      <c r="W53" s="69"/>
      <c r="X53" s="37"/>
      <c r="Y53" s="37"/>
      <c r="Z53" s="37"/>
      <c r="AA53" s="69"/>
    </row>
    <row r="54" customFormat="false" ht="15" hidden="false" customHeight="false" outlineLevel="0" collapsed="false">
      <c r="A54" s="13" t="n">
        <v>49</v>
      </c>
      <c r="B54" s="14" t="str">
        <f aca="false">Calendar!D54</f>
        <v>P12</v>
      </c>
      <c r="C54" s="20" t="n">
        <f aca="false">'Sales Build'!U54</f>
        <v>595740.98192698</v>
      </c>
      <c r="D54" s="69"/>
      <c r="E54" s="49" t="str">
        <f aca="false">IF(D54="","",D54-C54)</f>
        <v/>
      </c>
      <c r="F54" s="22" t="str">
        <f aca="false">IF(D54="","",IFERROR(D54/C54-1,0))</f>
        <v/>
      </c>
      <c r="G54" s="21" t="n">
        <f aca="false">'Sales Build'!J54</f>
        <v>447470.781728264</v>
      </c>
      <c r="H54" s="88"/>
      <c r="I54" s="29" t="n">
        <f aca="false">IFERROR('Sales Build'!M54/'Sales Build'!J54,0)</f>
        <v>0.0257916906481537</v>
      </c>
      <c r="J54" s="89"/>
      <c r="K54" s="23" t="n">
        <f aca="false">'Sales Build'!N54</f>
        <v>67.5451439507533</v>
      </c>
      <c r="L54" s="90"/>
      <c r="M54" s="31" t="n">
        <f aca="false">'Sales Build'!S54</f>
        <v>0.235779204030486</v>
      </c>
      <c r="N54" s="70"/>
      <c r="O54" s="49" t="str">
        <f aca="false">IF(COUNT(D54,H54,J54,L54,N54)=5,(H54-G54)*I54*K54*(1-M54),"")</f>
        <v/>
      </c>
      <c r="P54" s="49" t="str">
        <f aca="false">IF(COUNT(D54,H54,J54,L54,N54)=5,H54*(J54-I54)*K54*(1-M54),"")</f>
        <v/>
      </c>
      <c r="Q54" s="49" t="str">
        <f aca="false">IF(COUNT(D54,H54,J54,L54,N54)=5,H54*J54*(L54-K54)*(1-M54),"")</f>
        <v/>
      </c>
      <c r="R54" s="49" t="str">
        <f aca="false">IF(COUNT(D54,H54,J54,L54,N54)=5,H54*J54*L54*(M54-N54),"")</f>
        <v/>
      </c>
      <c r="S54" s="49" t="str">
        <f aca="false">IF(COUNT(D54,H54,J54,L54,N54)=5,E54-O54-P54-Q54-R54,"")</f>
        <v/>
      </c>
      <c r="T54" s="20" t="n">
        <f aca="false">'Media Plan'!U54</f>
        <v>73412.3426662056</v>
      </c>
      <c r="U54" s="69"/>
      <c r="V54" s="20" t="n">
        <f aca="false">Costs!U54</f>
        <v>82219.7221085695</v>
      </c>
      <c r="W54" s="69"/>
      <c r="X54" s="37"/>
      <c r="Y54" s="37"/>
      <c r="Z54" s="37"/>
      <c r="AA54" s="69"/>
    </row>
    <row r="55" customFormat="false" ht="15" hidden="false" customHeight="false" outlineLevel="0" collapsed="false">
      <c r="A55" s="13" t="n">
        <v>50</v>
      </c>
      <c r="B55" s="14" t="str">
        <f aca="false">Calendar!D55</f>
        <v>P12</v>
      </c>
      <c r="C55" s="20" t="n">
        <f aca="false">'Sales Build'!U55</f>
        <v>437260.939212246</v>
      </c>
      <c r="D55" s="69"/>
      <c r="E55" s="49" t="str">
        <f aca="false">IF(D55="","",D55-C55)</f>
        <v/>
      </c>
      <c r="F55" s="22" t="str">
        <f aca="false">IF(D55="","",IFERROR(D55/C55-1,0))</f>
        <v/>
      </c>
      <c r="G55" s="21" t="n">
        <f aca="false">'Sales Build'!J55</f>
        <v>355979.787518302</v>
      </c>
      <c r="H55" s="88"/>
      <c r="I55" s="29" t="n">
        <f aca="false">IFERROR('Sales Build'!M55/'Sales Build'!J55,0)</f>
        <v>0.0235969276413105</v>
      </c>
      <c r="J55" s="89"/>
      <c r="K55" s="23" t="n">
        <f aca="false">'Sales Build'!N55</f>
        <v>68.9541050044368</v>
      </c>
      <c r="L55" s="90"/>
      <c r="M55" s="31" t="n">
        <f aca="false">'Sales Build'!S55</f>
        <v>0.245082040930921</v>
      </c>
      <c r="N55" s="70"/>
      <c r="O55" s="49" t="str">
        <f aca="false">IF(COUNT(D55,H55,J55,L55,N55)=5,(H55-G55)*I55*K55*(1-M55),"")</f>
        <v/>
      </c>
      <c r="P55" s="49" t="str">
        <f aca="false">IF(COUNT(D55,H55,J55,L55,N55)=5,H55*(J55-I55)*K55*(1-M55),"")</f>
        <v/>
      </c>
      <c r="Q55" s="49" t="str">
        <f aca="false">IF(COUNT(D55,H55,J55,L55,N55)=5,H55*J55*(L55-K55)*(1-M55),"")</f>
        <v/>
      </c>
      <c r="R55" s="49" t="str">
        <f aca="false">IF(COUNT(D55,H55,J55,L55,N55)=5,H55*J55*L55*(M55-N55),"")</f>
        <v/>
      </c>
      <c r="S55" s="49" t="str">
        <f aca="false">IF(COUNT(D55,H55,J55,L55,N55)=5,E55-O55-P55-Q55-R55,"")</f>
        <v/>
      </c>
      <c r="T55" s="20" t="n">
        <f aca="false">'Media Plan'!U55</f>
        <v>62474.4149573144</v>
      </c>
      <c r="U55" s="69"/>
      <c r="V55" s="20" t="n">
        <f aca="false">Costs!U55</f>
        <v>62995.6190359836</v>
      </c>
      <c r="W55" s="69"/>
      <c r="X55" s="37"/>
      <c r="Y55" s="37"/>
      <c r="Z55" s="37"/>
      <c r="AA55" s="69"/>
    </row>
    <row r="56" customFormat="false" ht="15" hidden="false" customHeight="false" outlineLevel="0" collapsed="false">
      <c r="A56" s="13" t="n">
        <v>51</v>
      </c>
      <c r="B56" s="14" t="str">
        <f aca="false">Calendar!D56</f>
        <v>P12</v>
      </c>
      <c r="C56" s="20" t="n">
        <f aca="false">'Sales Build'!U56</f>
        <v>351555.910031001</v>
      </c>
      <c r="D56" s="69"/>
      <c r="E56" s="49" t="str">
        <f aca="false">IF(D56="","",D56-C56)</f>
        <v/>
      </c>
      <c r="F56" s="22" t="str">
        <f aca="false">IF(D56="","",IFERROR(D56/C56-1,0))</f>
        <v/>
      </c>
      <c r="G56" s="21" t="n">
        <f aca="false">'Sales Build'!J56</f>
        <v>280981.396613349</v>
      </c>
      <c r="H56" s="88"/>
      <c r="I56" s="29" t="n">
        <f aca="false">IFERROR('Sales Build'!M56/'Sales Build'!J56,0)</f>
        <v>0.0220551257110827</v>
      </c>
      <c r="J56" s="89"/>
      <c r="K56" s="23" t="n">
        <f aca="false">'Sales Build'!N56</f>
        <v>76.692483526274</v>
      </c>
      <c r="L56" s="90"/>
      <c r="M56" s="31" t="n">
        <f aca="false">'Sales Build'!S56</f>
        <v>0.260301910154981</v>
      </c>
      <c r="N56" s="70"/>
      <c r="O56" s="49" t="str">
        <f aca="false">IF(COUNT(D56,H56,J56,L56,N56)=5,(H56-G56)*I56*K56*(1-M56),"")</f>
        <v/>
      </c>
      <c r="P56" s="49" t="str">
        <f aca="false">IF(COUNT(D56,H56,J56,L56,N56)=5,H56*(J56-I56)*K56*(1-M56),"")</f>
        <v/>
      </c>
      <c r="Q56" s="49" t="str">
        <f aca="false">IF(COUNT(D56,H56,J56,L56,N56)=5,H56*J56*(L56-K56)*(1-M56),"")</f>
        <v/>
      </c>
      <c r="R56" s="49" t="str">
        <f aca="false">IF(COUNT(D56,H56,J56,L56,N56)=5,H56*J56*L56*(M56-N56),"")</f>
        <v/>
      </c>
      <c r="S56" s="49" t="str">
        <f aca="false">IF(COUNT(D56,H56,J56,L56,N56)=5,E56-O56-P56-Q56-R56,"")</f>
        <v/>
      </c>
      <c r="T56" s="20" t="n">
        <f aca="false">'Media Plan'!U56</f>
        <v>50943.6968577416</v>
      </c>
      <c r="U56" s="69"/>
      <c r="V56" s="20" t="n">
        <f aca="false">Costs!U56</f>
        <v>87405.4902559409</v>
      </c>
      <c r="W56" s="69"/>
      <c r="X56" s="37"/>
      <c r="Y56" s="37"/>
      <c r="Z56" s="37"/>
      <c r="AA56" s="69"/>
    </row>
    <row r="57" customFormat="false" ht="15" hidden="false" customHeight="false" outlineLevel="0" collapsed="false">
      <c r="A57" s="13" t="n">
        <v>52</v>
      </c>
      <c r="B57" s="14" t="str">
        <f aca="false">Calendar!D57</f>
        <v>P12</v>
      </c>
      <c r="C57" s="20" t="n">
        <f aca="false">'Sales Build'!U57</f>
        <v>324150.90277125</v>
      </c>
      <c r="D57" s="69"/>
      <c r="E57" s="49" t="str">
        <f aca="false">IF(D57="","",D57-C57)</f>
        <v/>
      </c>
      <c r="F57" s="22" t="str">
        <f aca="false">IF(D57="","",IFERROR(D57/C57-1,0))</f>
        <v/>
      </c>
      <c r="G57" s="21" t="n">
        <f aca="false">'Sales Build'!J57</f>
        <v>257998.706805382</v>
      </c>
      <c r="H57" s="88"/>
      <c r="I57" s="29" t="n">
        <f aca="false">IFERROR('Sales Build'!M57/'Sales Build'!J57,0)</f>
        <v>0.0221425293483138</v>
      </c>
      <c r="J57" s="89"/>
      <c r="K57" s="23" t="n">
        <f aca="false">'Sales Build'!N57</f>
        <v>76.5710899936775</v>
      </c>
      <c r="L57" s="90"/>
      <c r="M57" s="31" t="n">
        <f aca="false">'Sales Build'!S57</f>
        <v>0.258966830327399</v>
      </c>
      <c r="N57" s="70"/>
      <c r="O57" s="49" t="str">
        <f aca="false">IF(COUNT(D57,H57,J57,L57,N57)=5,(H57-G57)*I57*K57*(1-M57),"")</f>
        <v/>
      </c>
      <c r="P57" s="49" t="str">
        <f aca="false">IF(COUNT(D57,H57,J57,L57,N57)=5,H57*(J57-I57)*K57*(1-M57),"")</f>
        <v/>
      </c>
      <c r="Q57" s="49" t="str">
        <f aca="false">IF(COUNT(D57,H57,J57,L57,N57)=5,H57*J57*(L57-K57)*(1-M57),"")</f>
        <v/>
      </c>
      <c r="R57" s="49" t="str">
        <f aca="false">IF(COUNT(D57,H57,J57,L57,N57)=5,H57*J57*L57*(M57-N57),"")</f>
        <v/>
      </c>
      <c r="S57" s="49" t="str">
        <f aca="false">IF(COUNT(D57,H57,J57,L57,N57)=5,E57-O57-P57-Q57-R57,"")</f>
        <v/>
      </c>
      <c r="T57" s="20" t="n">
        <f aca="false">'Media Plan'!U57</f>
        <v>45322.4016618914</v>
      </c>
      <c r="U57" s="69"/>
      <c r="V57" s="20" t="n">
        <f aca="false">Costs!U57</f>
        <v>90333.3298226109</v>
      </c>
      <c r="W57" s="69"/>
      <c r="X57" s="37"/>
      <c r="Y57" s="37"/>
      <c r="Z57" s="37"/>
      <c r="AA57" s="69"/>
    </row>
    <row r="60" customFormat="false" ht="15" hidden="false" customHeight="false" outlineLevel="0" collapsed="false">
      <c r="A60" s="15" t="s">
        <v>757</v>
      </c>
      <c r="B60" s="15"/>
      <c r="C60" s="15"/>
      <c r="D60" s="15"/>
      <c r="E60" s="15"/>
      <c r="F60" s="15"/>
      <c r="G60" s="15"/>
      <c r="H60" s="15"/>
    </row>
    <row r="61" customFormat="false" ht="15" hidden="false" customHeight="false" outlineLevel="0" collapsed="false">
      <c r="A61" s="13" t="s">
        <v>758</v>
      </c>
      <c r="E61" s="44" t="n">
        <f aca="false">COUNT(D6:D57)</f>
        <v>0</v>
      </c>
    </row>
    <row r="62" customFormat="false" ht="15" hidden="false" customHeight="false" outlineLevel="0" collapsed="false">
      <c r="A62" s="13" t="s">
        <v>759</v>
      </c>
      <c r="E62" s="49" t="n">
        <f aca="false">SUMPRODUCT((D6:D57&lt;&gt;"")*C6:C57)</f>
        <v>0</v>
      </c>
    </row>
    <row r="63" customFormat="false" ht="15" hidden="false" customHeight="false" outlineLevel="0" collapsed="false">
      <c r="A63" s="13" t="s">
        <v>760</v>
      </c>
      <c r="E63" s="49" t="n">
        <f aca="false">SUM(D6:D57)</f>
        <v>0</v>
      </c>
    </row>
    <row r="64" customFormat="false" ht="15" hidden="false" customHeight="false" outlineLevel="0" collapsed="false">
      <c r="A64" s="13" t="s">
        <v>761</v>
      </c>
      <c r="E64" s="49" t="n">
        <f aca="false">E63-E62</f>
        <v>0</v>
      </c>
    </row>
    <row r="65" customFormat="false" ht="15" hidden="false" customHeight="false" outlineLevel="0" collapsed="false">
      <c r="A65" s="13" t="s">
        <v>762</v>
      </c>
      <c r="E65" s="49" t="n">
        <f aca="false">SUM(O6:O57)</f>
        <v>0</v>
      </c>
    </row>
    <row r="66" customFormat="false" ht="15" hidden="false" customHeight="false" outlineLevel="0" collapsed="false">
      <c r="A66" s="13" t="s">
        <v>763</v>
      </c>
      <c r="E66" s="49" t="n">
        <f aca="false">SUM(P6:P57)</f>
        <v>0</v>
      </c>
    </row>
    <row r="67" customFormat="false" ht="15" hidden="false" customHeight="false" outlineLevel="0" collapsed="false">
      <c r="A67" s="13" t="s">
        <v>764</v>
      </c>
      <c r="E67" s="49" t="n">
        <f aca="false">SUM(Q6:Q57)</f>
        <v>0</v>
      </c>
    </row>
    <row r="68" customFormat="false" ht="15" hidden="false" customHeight="false" outlineLevel="0" collapsed="false">
      <c r="A68" s="13" t="s">
        <v>765</v>
      </c>
      <c r="E68" s="49" t="n">
        <f aca="false">SUM(R6:R57)</f>
        <v>0</v>
      </c>
    </row>
    <row r="69" customFormat="false" ht="15" hidden="false" customHeight="false" outlineLevel="0" collapsed="false">
      <c r="A69" s="13" t="s">
        <v>766</v>
      </c>
      <c r="E69" s="49" t="n">
        <f aca="false">SUM(S6:S57)</f>
        <v>0</v>
      </c>
    </row>
    <row r="70" customFormat="false" ht="15" hidden="false" customHeight="false" outlineLevel="0" collapsed="false">
      <c r="A70" s="13" t="s">
        <v>767</v>
      </c>
      <c r="E70" s="20" t="n">
        <f aca="false">'Sales Build'!U58</f>
        <v>22234811.322021</v>
      </c>
    </row>
    <row r="71" customFormat="false" ht="15" hidden="false" customHeight="false" outlineLevel="0" collapsed="false">
      <c r="A71" s="13" t="s">
        <v>768</v>
      </c>
      <c r="E71" s="49" t="n">
        <f aca="false">IF(E61=0,E70,E63+(E70-E62)*IFERROR(E63/E62,1))</f>
        <v>22234811.322021</v>
      </c>
    </row>
    <row r="72" customFormat="false" ht="15" hidden="false" customHeight="false" outlineLevel="0" collapsed="false">
      <c r="A72" s="13" t="s">
        <v>769</v>
      </c>
    </row>
    <row r="73" customFormat="false" ht="15" hidden="false" customHeight="false" outlineLevel="0" collapsed="false">
      <c r="A73" s="13" t="s">
        <v>770</v>
      </c>
    </row>
  </sheetData>
  <sheetProtection sheet="true" formatColumns="false" formatRows="false"/>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6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4" min="2" style="0" width="13"/>
    <col collapsed="false" customWidth="true" hidden="false" outlineLevel="0" max="6" min="5" style="0" width="22"/>
    <col collapsed="false" customWidth="true" hidden="false" outlineLevel="0" max="14" min="7" style="0" width="13"/>
  </cols>
  <sheetData>
    <row r="1" customFormat="false" ht="17.35" hidden="false" customHeight="false" outlineLevel="0" collapsed="false">
      <c r="A1" s="1" t="s">
        <v>771</v>
      </c>
      <c r="L1" s="91" t="s">
        <v>160</v>
      </c>
      <c r="M1" s="91" t="s">
        <v>137</v>
      </c>
      <c r="N1" s="91" t="s">
        <v>772</v>
      </c>
    </row>
    <row r="2" customFormat="false" ht="15" hidden="false" customHeight="false" outlineLevel="0" collapsed="false">
      <c r="A2" s="2" t="s">
        <v>773</v>
      </c>
      <c r="H2" s="92" t="s">
        <v>774</v>
      </c>
      <c r="L2" s="43" t="n">
        <v>0.05</v>
      </c>
      <c r="M2" s="27" t="s">
        <v>140</v>
      </c>
      <c r="N2" s="27" t="s">
        <v>775</v>
      </c>
    </row>
    <row r="3" customFormat="false" ht="15" hidden="false" customHeight="false" outlineLevel="0" collapsed="false">
      <c r="A3" s="93" t="s">
        <v>776</v>
      </c>
      <c r="H3" s="13" t="s">
        <v>777</v>
      </c>
      <c r="L3" s="43" t="n">
        <v>0</v>
      </c>
      <c r="M3" s="27" t="s">
        <v>140</v>
      </c>
      <c r="N3" s="27" t="s">
        <v>778</v>
      </c>
    </row>
    <row r="4" customFormat="false" ht="15" hidden="false" customHeight="false" outlineLevel="0" collapsed="false">
      <c r="H4" s="13" t="s">
        <v>779</v>
      </c>
      <c r="L4" s="43" t="n">
        <v>0</v>
      </c>
      <c r="M4" s="27" t="s">
        <v>143</v>
      </c>
      <c r="N4" s="27" t="s">
        <v>778</v>
      </c>
    </row>
    <row r="5" customFormat="false" ht="42" hidden="false" customHeight="true" outlineLevel="0" collapsed="false">
      <c r="A5" s="19" t="s">
        <v>410</v>
      </c>
      <c r="B5" s="19" t="s">
        <v>413</v>
      </c>
      <c r="C5" s="19" t="s">
        <v>780</v>
      </c>
      <c r="D5" s="19" t="s">
        <v>781</v>
      </c>
      <c r="E5" s="19" t="s">
        <v>782</v>
      </c>
      <c r="F5" s="19" t="s">
        <v>783</v>
      </c>
      <c r="G5" s="19" t="s">
        <v>784</v>
      </c>
      <c r="H5" s="19" t="s">
        <v>785</v>
      </c>
      <c r="I5" s="19" t="s">
        <v>786</v>
      </c>
      <c r="J5" s="19" t="s">
        <v>787</v>
      </c>
      <c r="K5" s="19" t="s">
        <v>788</v>
      </c>
      <c r="L5" s="19" t="s">
        <v>789</v>
      </c>
      <c r="M5" s="19" t="s">
        <v>790</v>
      </c>
      <c r="N5" s="19" t="s">
        <v>791</v>
      </c>
    </row>
    <row r="6" customFormat="false" ht="15" hidden="false" customHeight="false" outlineLevel="0" collapsed="false">
      <c r="A6" s="13" t="n">
        <v>1</v>
      </c>
      <c r="B6" s="14" t="str">
        <f aca="false">Calendar!D6</f>
        <v>P1</v>
      </c>
      <c r="C6" s="57" t="n">
        <f aca="false">IFERROR(N6/SUM($N$6:$N$57),0)</f>
        <v>0.0159092402106151</v>
      </c>
      <c r="D6" s="21" t="n">
        <f aca="false">'History Y-2'!$I$58*(1+$L$2)*C6</f>
        <v>261860.890749714</v>
      </c>
      <c r="E6" s="29" t="n">
        <f aca="false">IFERROR((Settings!$B$10*'History Y-2'!U6*('History Y-2'!$S6&lt;&gt;"Y")+Settings!$B$11*'History Y-3'!U6*('History Y-3'!$S6&lt;&gt;"Y")+Settings!$B$12*'History Y-4'!U6*('History Y-4'!$S6&lt;&gt;"Y"))/(Settings!$B$10*('History Y-2'!$S6&lt;&gt;"Y")+Settings!$B$11*('History Y-3'!$S6&lt;&gt;"Y")+Settings!$B$12*('History Y-4'!$S6&lt;&gt;"Y")),'History Y-2'!U6)</f>
        <v>0.0208691967937342</v>
      </c>
      <c r="F6" s="23" t="n">
        <f aca="false">IFERROR((Settings!$B$10*'History Y-2'!V6*('History Y-2'!$S6&lt;&gt;"Y")+Settings!$B$11*'History Y-3'!V6*('History Y-3'!$S6&lt;&gt;"Y")+Settings!$B$12*'History Y-4'!V6*('History Y-4'!$S6&lt;&gt;"Y"))/(Settings!$B$10*('History Y-2'!$S6&lt;&gt;"Y")+Settings!$B$11*('History Y-3'!$S6&lt;&gt;"Y")+Settings!$B$12*('History Y-4'!$S6&lt;&gt;"Y")),'History Y-2'!V6)</f>
        <v>72.6094922020807</v>
      </c>
      <c r="G6" s="31" t="n">
        <f aca="false">IFERROR((Settings!$B$10*'History Y-2'!Y6*('History Y-2'!$S6&lt;&gt;"Y")+Settings!$B$11*'History Y-3'!Y6*('History Y-3'!$S6&lt;&gt;"Y")+Settings!$B$12*'History Y-4'!Y6*('History Y-4'!$S6&lt;&gt;"Y"))/(Settings!$B$10*('History Y-2'!$S6&lt;&gt;"Y")+Settings!$B$11*('History Y-3'!$S6&lt;&gt;"Y")+Settings!$B$12*('History Y-4'!$S6&lt;&gt;"Y")),'History Y-2'!Y6)</f>
        <v>0.259912560317907</v>
      </c>
      <c r="H6" s="49" t="n">
        <f aca="false">D6*E6*(1+$L$3)*F6*(1+$L$4)*(1-G6)</f>
        <v>293665.418935482</v>
      </c>
      <c r="I6" s="20" t="n">
        <f aca="false">'History Y-1'!AJ6</f>
        <v>310942.9</v>
      </c>
      <c r="J6" s="77" t="n">
        <f aca="false">IFERROR(H6/I6-1,0)</f>
        <v>-0.0555648032629711</v>
      </c>
      <c r="K6" s="20" t="n">
        <f aca="false">'History Y-2'!AJ6*(1+$E$62)</f>
        <v>313274.400454742</v>
      </c>
      <c r="L6" s="77" t="n">
        <f aca="false">IFERROR(K6/I6-1,0)</f>
        <v>0.00749816270042381</v>
      </c>
      <c r="M6" s="14" t="str">
        <f aca="false">'History Y-1'!S6&amp;""</f>
        <v/>
      </c>
      <c r="N6" s="29" t="n">
        <f aca="false">IFERROR((Settings!$B$10*'History Y-2'!AK6*('History Y-2'!$S6&lt;&gt;"Y")+Settings!$B$11*'History Y-3'!AK6*('History Y-3'!$S6&lt;&gt;"Y")+Settings!$B$12*'History Y-4'!AK6*('History Y-4'!$S6&lt;&gt;"Y"))/(Settings!$B$10*('History Y-2'!$S6&lt;&gt;"Y")+Settings!$B$11*('History Y-3'!$S6&lt;&gt;"Y")+Settings!$B$12*('History Y-4'!$S6&lt;&gt;"Y")),'History Y-2'!AK6)</f>
        <v>0.0159353006051896</v>
      </c>
    </row>
    <row r="7" customFormat="false" ht="15" hidden="false" customHeight="false" outlineLevel="0" collapsed="false">
      <c r="A7" s="13" t="n">
        <v>2</v>
      </c>
      <c r="B7" s="14" t="str">
        <f aca="false">Calendar!D7</f>
        <v>P1</v>
      </c>
      <c r="C7" s="57" t="n">
        <f aca="false">IFERROR(N7/SUM($N$6:$N$57),0)</f>
        <v>0.0159114867078276</v>
      </c>
      <c r="D7" s="21" t="n">
        <f aca="false">'History Y-2'!$I$58*(1+$L$2)*C7</f>
        <v>261897.867359114</v>
      </c>
      <c r="E7" s="29" t="n">
        <f aca="false">IFERROR((Settings!$B$10*'History Y-2'!U7*('History Y-2'!$S7&lt;&gt;"Y")+Settings!$B$11*'History Y-3'!U7*('History Y-3'!$S7&lt;&gt;"Y")+Settings!$B$12*'History Y-4'!U7*('History Y-4'!$S7&lt;&gt;"Y"))/(Settings!$B$10*('History Y-2'!$S7&lt;&gt;"Y")+Settings!$B$11*('History Y-3'!$S7&lt;&gt;"Y")+Settings!$B$12*('History Y-4'!$S7&lt;&gt;"Y")),'History Y-2'!U7)</f>
        <v>0.0216150376906882</v>
      </c>
      <c r="F7" s="23" t="n">
        <f aca="false">IFERROR((Settings!$B$10*'History Y-2'!V7*('History Y-2'!$S7&lt;&gt;"Y")+Settings!$B$11*'History Y-3'!V7*('History Y-3'!$S7&lt;&gt;"Y")+Settings!$B$12*'History Y-4'!V7*('History Y-4'!$S7&lt;&gt;"Y"))/(Settings!$B$10*('History Y-2'!$S7&lt;&gt;"Y")+Settings!$B$11*('History Y-3'!$S7&lt;&gt;"Y")+Settings!$B$12*('History Y-4'!$S7&lt;&gt;"Y")),'History Y-2'!V7)</f>
        <v>72.7152214963894</v>
      </c>
      <c r="G7" s="31" t="n">
        <f aca="false">IFERROR((Settings!$B$10*'History Y-2'!Y7*('History Y-2'!$S7&lt;&gt;"Y")+Settings!$B$11*'History Y-3'!Y7*('History Y-3'!$S7&lt;&gt;"Y")+Settings!$B$12*'History Y-4'!Y7*('History Y-4'!$S7&lt;&gt;"Y"))/(Settings!$B$10*('History Y-2'!$S7&lt;&gt;"Y")+Settings!$B$11*('History Y-3'!$S7&lt;&gt;"Y")+Settings!$B$12*('History Y-4'!$S7&lt;&gt;"Y")),'History Y-2'!Y7)</f>
        <v>0.262974793384079</v>
      </c>
      <c r="H7" s="49" t="n">
        <f aca="false">D7*E7*(1+$L$3)*F7*(1+$L$4)*(1-G7)</f>
        <v>303386.066813968</v>
      </c>
      <c r="I7" s="20" t="n">
        <f aca="false">'History Y-1'!AJ7</f>
        <v>341931.83</v>
      </c>
      <c r="J7" s="77" t="n">
        <f aca="false">IFERROR(H7/I7-1,0)</f>
        <v>-0.112729379964516</v>
      </c>
      <c r="K7" s="20" t="n">
        <f aca="false">'History Y-2'!AJ7*(1+$E$62)</f>
        <v>344095.483338639</v>
      </c>
      <c r="L7" s="77" t="n">
        <f aca="false">IFERROR(K7/I7-1,0)</f>
        <v>0.00632773304152168</v>
      </c>
      <c r="M7" s="14" t="str">
        <f aca="false">'History Y-1'!S7&amp;""</f>
        <v/>
      </c>
      <c r="N7" s="29" t="n">
        <f aca="false">IFERROR((Settings!$B$10*'History Y-2'!AK7*('History Y-2'!$S7&lt;&gt;"Y")+Settings!$B$11*'History Y-3'!AK7*('History Y-3'!$S7&lt;&gt;"Y")+Settings!$B$12*'History Y-4'!AK7*('History Y-4'!$S7&lt;&gt;"Y"))/(Settings!$B$10*('History Y-2'!$S7&lt;&gt;"Y")+Settings!$B$11*('History Y-3'!$S7&lt;&gt;"Y")+Settings!$B$12*('History Y-4'!$S7&lt;&gt;"Y")),'History Y-2'!AK7)</f>
        <v>0.015937550782314</v>
      </c>
    </row>
    <row r="8" customFormat="false" ht="15" hidden="false" customHeight="false" outlineLevel="0" collapsed="false">
      <c r="A8" s="13" t="n">
        <v>3</v>
      </c>
      <c r="B8" s="14" t="str">
        <f aca="false">Calendar!D8</f>
        <v>P1</v>
      </c>
      <c r="C8" s="57" t="n">
        <f aca="false">IFERROR(N8/SUM($N$6:$N$57),0)</f>
        <v>0.0163426551152037</v>
      </c>
      <c r="D8" s="21" t="n">
        <f aca="false">'History Y-2'!$I$58*(1+$L$2)*C8</f>
        <v>268994.758330897</v>
      </c>
      <c r="E8" s="29" t="n">
        <f aca="false">IFERROR((Settings!$B$10*'History Y-2'!U8*('History Y-2'!$S8&lt;&gt;"Y")+Settings!$B$11*'History Y-3'!U8*('History Y-3'!$S8&lt;&gt;"Y")+Settings!$B$12*'History Y-4'!U8*('History Y-4'!$S8&lt;&gt;"Y"))/(Settings!$B$10*('History Y-2'!$S8&lt;&gt;"Y")+Settings!$B$11*('History Y-3'!$S8&lt;&gt;"Y")+Settings!$B$12*('History Y-4'!$S8&lt;&gt;"Y")),'History Y-2'!U8)</f>
        <v>0.0215730116839201</v>
      </c>
      <c r="F8" s="23" t="n">
        <f aca="false">IFERROR((Settings!$B$10*'History Y-2'!V8*('History Y-2'!$S8&lt;&gt;"Y")+Settings!$B$11*'History Y-3'!V8*('History Y-3'!$S8&lt;&gt;"Y")+Settings!$B$12*'History Y-4'!V8*('History Y-4'!$S8&lt;&gt;"Y"))/(Settings!$B$10*('History Y-2'!$S8&lt;&gt;"Y")+Settings!$B$11*('History Y-3'!$S8&lt;&gt;"Y")+Settings!$B$12*('History Y-4'!$S8&lt;&gt;"Y")),'History Y-2'!V8)</f>
        <v>73.9793701725063</v>
      </c>
      <c r="G8" s="31" t="n">
        <f aca="false">IFERROR((Settings!$B$10*'History Y-2'!Y8*('History Y-2'!$S8&lt;&gt;"Y")+Settings!$B$11*'History Y-3'!Y8*('History Y-3'!$S8&lt;&gt;"Y")+Settings!$B$12*'History Y-4'!Y8*('History Y-4'!$S8&lt;&gt;"Y"))/(Settings!$B$10*('History Y-2'!$S8&lt;&gt;"Y")+Settings!$B$11*('History Y-3'!$S8&lt;&gt;"Y")+Settings!$B$12*('History Y-4'!$S8&lt;&gt;"Y")),'History Y-2'!Y8)</f>
        <v>0.256206277062605</v>
      </c>
      <c r="H8" s="49" t="n">
        <f aca="false">D8*E8*(1+$L$3)*F8*(1+$L$4)*(1-G8)</f>
        <v>319313.834136692</v>
      </c>
      <c r="I8" s="20" t="n">
        <f aca="false">'History Y-1'!AJ8</f>
        <v>347984.17</v>
      </c>
      <c r="J8" s="77" t="n">
        <f aca="false">IFERROR(H8/I8-1,0)</f>
        <v>-0.0823897703832559</v>
      </c>
      <c r="K8" s="20" t="n">
        <f aca="false">'History Y-2'!AJ8*(1+$E$62)</f>
        <v>355801.699103355</v>
      </c>
      <c r="L8" s="77" t="n">
        <f aca="false">IFERROR(K8/I8-1,0)</f>
        <v>0.0224651859978424</v>
      </c>
      <c r="M8" s="14" t="str">
        <f aca="false">'History Y-1'!S8&amp;""</f>
        <v/>
      </c>
      <c r="N8" s="29" t="n">
        <f aca="false">IFERROR((Settings!$B$10*'History Y-2'!AK8*('History Y-2'!$S8&lt;&gt;"Y")+Settings!$B$11*'History Y-3'!AK8*('History Y-3'!$S8&lt;&gt;"Y")+Settings!$B$12*'History Y-4'!AK8*('History Y-4'!$S8&lt;&gt;"Y"))/(Settings!$B$10*('History Y-2'!$S8&lt;&gt;"Y")+Settings!$B$11*('History Y-3'!$S8&lt;&gt;"Y")+Settings!$B$12*('History Y-4'!$S8&lt;&gt;"Y")),'History Y-2'!AK8)</f>
        <v>0.0163694254722451</v>
      </c>
    </row>
    <row r="9" customFormat="false" ht="15" hidden="false" customHeight="false" outlineLevel="0" collapsed="false">
      <c r="A9" s="13" t="n">
        <v>4</v>
      </c>
      <c r="B9" s="14" t="str">
        <f aca="false">Calendar!D9</f>
        <v>P1</v>
      </c>
      <c r="C9" s="57" t="n">
        <f aca="false">IFERROR(N9/SUM($N$6:$N$57),0)</f>
        <v>0.015506906021387</v>
      </c>
      <c r="D9" s="21" t="n">
        <f aca="false">'History Y-2'!$I$58*(1+$L$2)*C9</f>
        <v>255238.601578415</v>
      </c>
      <c r="E9" s="29" t="n">
        <f aca="false">IFERROR((Settings!$B$10*'History Y-2'!U9*('History Y-2'!$S9&lt;&gt;"Y")+Settings!$B$11*'History Y-3'!U9*('History Y-3'!$S9&lt;&gt;"Y")+Settings!$B$12*'History Y-4'!U9*('History Y-4'!$S9&lt;&gt;"Y"))/(Settings!$B$10*('History Y-2'!$S9&lt;&gt;"Y")+Settings!$B$11*('History Y-3'!$S9&lt;&gt;"Y")+Settings!$B$12*('History Y-4'!$S9&lt;&gt;"Y")),'History Y-2'!U9)</f>
        <v>0.021335430357499</v>
      </c>
      <c r="F9" s="23" t="n">
        <f aca="false">IFERROR((Settings!$B$10*'History Y-2'!V9*('History Y-2'!$S9&lt;&gt;"Y")+Settings!$B$11*'History Y-3'!V9*('History Y-3'!$S9&lt;&gt;"Y")+Settings!$B$12*'History Y-4'!V9*('History Y-4'!$S9&lt;&gt;"Y"))/(Settings!$B$10*('History Y-2'!$S9&lt;&gt;"Y")+Settings!$B$11*('History Y-3'!$S9&lt;&gt;"Y")+Settings!$B$12*('History Y-4'!$S9&lt;&gt;"Y")),'History Y-2'!V9)</f>
        <v>74.366979996306</v>
      </c>
      <c r="G9" s="31" t="n">
        <f aca="false">IFERROR((Settings!$B$10*'History Y-2'!Y9*('History Y-2'!$S9&lt;&gt;"Y")+Settings!$B$11*'History Y-3'!Y9*('History Y-3'!$S9&lt;&gt;"Y")+Settings!$B$12*'History Y-4'!Y9*('History Y-4'!$S9&lt;&gt;"Y"))/(Settings!$B$10*('History Y-2'!$S9&lt;&gt;"Y")+Settings!$B$11*('History Y-3'!$S9&lt;&gt;"Y")+Settings!$B$12*('History Y-4'!$S9&lt;&gt;"Y")),'History Y-2'!Y9)</f>
        <v>0.258124445693805</v>
      </c>
      <c r="H9" s="49" t="n">
        <f aca="false">D9*E9*(1+$L$3)*F9*(1+$L$4)*(1-G9)</f>
        <v>300440.841781115</v>
      </c>
      <c r="I9" s="20" t="n">
        <f aca="false">'History Y-1'!AJ9</f>
        <v>306405.3</v>
      </c>
      <c r="J9" s="77" t="n">
        <f aca="false">IFERROR(H9/I9-1,0)</f>
        <v>-0.0194659107361562</v>
      </c>
      <c r="K9" s="20" t="n">
        <f aca="false">'History Y-2'!AJ9*(1+$E$62)</f>
        <v>337094.657941524</v>
      </c>
      <c r="L9" s="77" t="n">
        <f aca="false">IFERROR(K9/I9-1,0)</f>
        <v>0.100159357365959</v>
      </c>
      <c r="M9" s="14" t="str">
        <f aca="false">'History Y-1'!S9&amp;""</f>
        <v/>
      </c>
      <c r="N9" s="29" t="n">
        <f aca="false">IFERROR((Settings!$B$10*'History Y-2'!AK9*('History Y-2'!$S9&lt;&gt;"Y")+Settings!$B$11*'History Y-3'!AK9*('History Y-3'!$S9&lt;&gt;"Y")+Settings!$B$12*'History Y-4'!AK9*('History Y-4'!$S9&lt;&gt;"Y"))/(Settings!$B$10*('History Y-2'!$S9&lt;&gt;"Y")+Settings!$B$11*('History Y-3'!$S9&lt;&gt;"Y")+Settings!$B$12*('History Y-4'!$S9&lt;&gt;"Y")),'History Y-2'!AK9)</f>
        <v>0.0155323073657753</v>
      </c>
    </row>
    <row r="10" customFormat="false" ht="15" hidden="false" customHeight="false" outlineLevel="0" collapsed="false">
      <c r="A10" s="13" t="n">
        <v>5</v>
      </c>
      <c r="B10" s="14" t="str">
        <f aca="false">Calendar!D10</f>
        <v>P2</v>
      </c>
      <c r="C10" s="57" t="n">
        <f aca="false">IFERROR(N10/SUM($N$6:$N$57),0)</f>
        <v>0.015888449719331</v>
      </c>
      <c r="D10" s="21" t="n">
        <f aca="false">'History Y-2'!$I$58*(1+$L$2)*C10</f>
        <v>261518.686062708</v>
      </c>
      <c r="E10" s="29" t="n">
        <f aca="false">IFERROR((Settings!$B$10*'History Y-2'!U10*('History Y-2'!$S10&lt;&gt;"Y")+Settings!$B$11*'History Y-3'!U10*('History Y-3'!$S10&lt;&gt;"Y")+Settings!$B$12*'History Y-4'!U10*('History Y-4'!$S10&lt;&gt;"Y"))/(Settings!$B$10*('History Y-2'!$S10&lt;&gt;"Y")+Settings!$B$11*('History Y-3'!$S10&lt;&gt;"Y")+Settings!$B$12*('History Y-4'!$S10&lt;&gt;"Y")),'History Y-2'!U10)</f>
        <v>0.0208974530437055</v>
      </c>
      <c r="F10" s="23" t="n">
        <f aca="false">IFERROR((Settings!$B$10*'History Y-2'!V10*('History Y-2'!$S10&lt;&gt;"Y")+Settings!$B$11*'History Y-3'!V10*('History Y-3'!$S10&lt;&gt;"Y")+Settings!$B$12*'History Y-4'!V10*('History Y-4'!$S10&lt;&gt;"Y"))/(Settings!$B$10*('History Y-2'!$S10&lt;&gt;"Y")+Settings!$B$11*('History Y-3'!$S10&lt;&gt;"Y")+Settings!$B$12*('History Y-4'!$S10&lt;&gt;"Y")),'History Y-2'!V10)</f>
        <v>72.2453439778951</v>
      </c>
      <c r="G10" s="31" t="n">
        <f aca="false">IFERROR((Settings!$B$10*'History Y-2'!Y10*('History Y-2'!$S10&lt;&gt;"Y")+Settings!$B$11*'History Y-3'!Y10*('History Y-3'!$S10&lt;&gt;"Y")+Settings!$B$12*'History Y-4'!Y10*('History Y-4'!$S10&lt;&gt;"Y"))/(Settings!$B$10*('History Y-2'!$S10&lt;&gt;"Y")+Settings!$B$11*('History Y-3'!$S10&lt;&gt;"Y")+Settings!$B$12*('History Y-4'!$S10&lt;&gt;"Y")),'History Y-2'!Y10)</f>
        <v>0.259467180108686</v>
      </c>
      <c r="H10" s="49" t="n">
        <f aca="false">D10*E10*(1+$L$3)*F10*(1+$L$4)*(1-G10)</f>
        <v>292381.747682439</v>
      </c>
      <c r="I10" s="20" t="n">
        <f aca="false">'History Y-1'!AJ10</f>
        <v>311773.33</v>
      </c>
      <c r="J10" s="77" t="n">
        <f aca="false">IFERROR(H10/I10-1,0)</f>
        <v>-0.062197694451802</v>
      </c>
      <c r="K10" s="20" t="n">
        <f aca="false">'History Y-2'!AJ10*(1+$E$62)</f>
        <v>331807.518615952</v>
      </c>
      <c r="L10" s="77" t="n">
        <f aca="false">IFERROR(K10/I10-1,0)</f>
        <v>0.0642588274499025</v>
      </c>
      <c r="M10" s="14" t="str">
        <f aca="false">'History Y-1'!S10&amp;""</f>
        <v/>
      </c>
      <c r="N10" s="29" t="n">
        <f aca="false">IFERROR((Settings!$B$10*'History Y-2'!AK10*('History Y-2'!$S10&lt;&gt;"Y")+Settings!$B$11*'History Y-3'!AK10*('History Y-3'!$S10&lt;&gt;"Y")+Settings!$B$12*'History Y-4'!AK10*('History Y-4'!$S10&lt;&gt;"Y"))/(Settings!$B$10*('History Y-2'!$S10&lt;&gt;"Y")+Settings!$B$11*('History Y-3'!$S10&lt;&gt;"Y")+Settings!$B$12*('History Y-4'!$S10&lt;&gt;"Y")),'History Y-2'!AK10)</f>
        <v>0.0159144760576967</v>
      </c>
    </row>
    <row r="11" customFormat="false" ht="15" hidden="false" customHeight="false" outlineLevel="0" collapsed="false">
      <c r="A11" s="13" t="n">
        <v>6</v>
      </c>
      <c r="B11" s="14" t="str">
        <f aca="false">Calendar!D11</f>
        <v>P2</v>
      </c>
      <c r="C11" s="57" t="n">
        <f aca="false">IFERROR(N11/SUM($N$6:$N$57),0)</f>
        <v>0.0162779093642368</v>
      </c>
      <c r="D11" s="21" t="n">
        <f aca="false">'History Y-2'!$I$58*(1+$L$2)*C11</f>
        <v>267929.06444508</v>
      </c>
      <c r="E11" s="29" t="n">
        <f aca="false">IFERROR((Settings!$B$10*'History Y-2'!U11*('History Y-2'!$S11&lt;&gt;"Y")+Settings!$B$11*'History Y-3'!U11*('History Y-3'!$S11&lt;&gt;"Y")+Settings!$B$12*'History Y-4'!U11*('History Y-4'!$S11&lt;&gt;"Y"))/(Settings!$B$10*('History Y-2'!$S11&lt;&gt;"Y")+Settings!$B$11*('History Y-3'!$S11&lt;&gt;"Y")+Settings!$B$12*('History Y-4'!$S11&lt;&gt;"Y")),'History Y-2'!U11)</f>
        <v>0.0211975569751585</v>
      </c>
      <c r="F11" s="23" t="n">
        <f aca="false">IFERROR((Settings!$B$10*'History Y-2'!V11*('History Y-2'!$S11&lt;&gt;"Y")+Settings!$B$11*'History Y-3'!V11*('History Y-3'!$S11&lt;&gt;"Y")+Settings!$B$12*'History Y-4'!V11*('History Y-4'!$S11&lt;&gt;"Y"))/(Settings!$B$10*('History Y-2'!$S11&lt;&gt;"Y")+Settings!$B$11*('History Y-3'!$S11&lt;&gt;"Y")+Settings!$B$12*('History Y-4'!$S11&lt;&gt;"Y")),'History Y-2'!V11)</f>
        <v>73.218412741351</v>
      </c>
      <c r="G11" s="31" t="n">
        <f aca="false">IFERROR((Settings!$B$10*'History Y-2'!Y11*('History Y-2'!$S11&lt;&gt;"Y")+Settings!$B$11*'History Y-3'!Y11*('History Y-3'!$S11&lt;&gt;"Y")+Settings!$B$12*'History Y-4'!Y11*('History Y-4'!$S11&lt;&gt;"Y"))/(Settings!$B$10*('History Y-2'!$S11&lt;&gt;"Y")+Settings!$B$11*('History Y-3'!$S11&lt;&gt;"Y")+Settings!$B$12*('History Y-4'!$S11&lt;&gt;"Y")),'History Y-2'!Y11)</f>
        <v>0.259483016333395</v>
      </c>
      <c r="H11" s="49" t="n">
        <f aca="false">D11*E11*(1+$L$3)*F11*(1+$L$4)*(1-G11)</f>
        <v>307936.360228449</v>
      </c>
      <c r="I11" s="20" t="n">
        <f aca="false">'History Y-1'!AJ11</f>
        <v>345704.63</v>
      </c>
      <c r="J11" s="77" t="n">
        <f aca="false">IFERROR(H11/I11-1,0)</f>
        <v>-0.109250112651227</v>
      </c>
      <c r="K11" s="20" t="n">
        <f aca="false">'History Y-2'!AJ11*(1+$E$62)</f>
        <v>350044.666832721</v>
      </c>
      <c r="L11" s="77" t="n">
        <f aca="false">IFERROR(K11/I11-1,0)</f>
        <v>0.0125541761842198</v>
      </c>
      <c r="M11" s="14" t="str">
        <f aca="false">'History Y-1'!S11&amp;""</f>
        <v/>
      </c>
      <c r="N11" s="29" t="n">
        <f aca="false">IFERROR((Settings!$B$10*'History Y-2'!AK11*('History Y-2'!$S11&lt;&gt;"Y")+Settings!$B$11*'History Y-3'!AK11*('History Y-3'!$S11&lt;&gt;"Y")+Settings!$B$12*'History Y-4'!AK11*('History Y-4'!$S11&lt;&gt;"Y"))/(Settings!$B$10*('History Y-2'!$S11&lt;&gt;"Y")+Settings!$B$11*('History Y-3'!$S11&lt;&gt;"Y")+Settings!$B$12*('History Y-4'!$S11&lt;&gt;"Y")),'History Y-2'!AK11)</f>
        <v>0.0163045736634279</v>
      </c>
    </row>
    <row r="12" customFormat="false" ht="15" hidden="false" customHeight="false" outlineLevel="0" collapsed="false">
      <c r="A12" s="13" t="n">
        <v>7</v>
      </c>
      <c r="B12" s="14" t="str">
        <f aca="false">Calendar!D12</f>
        <v>P2</v>
      </c>
      <c r="C12" s="57" t="n">
        <f aca="false">IFERROR(N12/SUM($N$6:$N$57),0)</f>
        <v>0.0158043170192973</v>
      </c>
      <c r="D12" s="21" t="n">
        <f aca="false">'History Y-2'!$I$58*(1+$L$2)*C12</f>
        <v>260133.889335753</v>
      </c>
      <c r="E12" s="29" t="n">
        <f aca="false">IFERROR((Settings!$B$10*'History Y-2'!U12*('History Y-2'!$S12&lt;&gt;"Y")+Settings!$B$11*'History Y-3'!U12*('History Y-3'!$S12&lt;&gt;"Y")+Settings!$B$12*'History Y-4'!U12*('History Y-4'!$S12&lt;&gt;"Y"))/(Settings!$B$10*('History Y-2'!$S12&lt;&gt;"Y")+Settings!$B$11*('History Y-3'!$S12&lt;&gt;"Y")+Settings!$B$12*('History Y-4'!$S12&lt;&gt;"Y")),'History Y-2'!U12)</f>
        <v>0.0210555825427377</v>
      </c>
      <c r="F12" s="23" t="n">
        <f aca="false">IFERROR((Settings!$B$10*'History Y-2'!V12*('History Y-2'!$S12&lt;&gt;"Y")+Settings!$B$11*'History Y-3'!V12*('History Y-3'!$S12&lt;&gt;"Y")+Settings!$B$12*'History Y-4'!V12*('History Y-4'!$S12&lt;&gt;"Y"))/(Settings!$B$10*('History Y-2'!$S12&lt;&gt;"Y")+Settings!$B$11*('History Y-3'!$S12&lt;&gt;"Y")+Settings!$B$12*('History Y-4'!$S12&lt;&gt;"Y")),'History Y-2'!V12)</f>
        <v>71.8274624394059</v>
      </c>
      <c r="G12" s="31" t="n">
        <f aca="false">IFERROR((Settings!$B$10*'History Y-2'!Y12*('History Y-2'!$S12&lt;&gt;"Y")+Settings!$B$11*'History Y-3'!Y12*('History Y-3'!$S12&lt;&gt;"Y")+Settings!$B$12*'History Y-4'!Y12*('History Y-4'!$S12&lt;&gt;"Y"))/(Settings!$B$10*('History Y-2'!$S12&lt;&gt;"Y")+Settings!$B$11*('History Y-3'!$S12&lt;&gt;"Y")+Settings!$B$12*('History Y-4'!$S12&lt;&gt;"Y")),'History Y-2'!Y12)</f>
        <v>0.26218272919478</v>
      </c>
      <c r="H12" s="49" t="n">
        <f aca="false">D12*E12*(1+$L$3)*F12*(1+$L$4)*(1-G12)</f>
        <v>290270.924694128</v>
      </c>
      <c r="I12" s="20" t="n">
        <f aca="false">'History Y-1'!AJ12</f>
        <v>334606.86</v>
      </c>
      <c r="J12" s="77" t="n">
        <f aca="false">IFERROR(H12/I12-1,0)</f>
        <v>-0.132501573057623</v>
      </c>
      <c r="K12" s="20" t="n">
        <f aca="false">'History Y-2'!AJ12*(1+$E$62)</f>
        <v>302522.113549626</v>
      </c>
      <c r="L12" s="77" t="n">
        <f aca="false">IFERROR(K12/I12-1,0)</f>
        <v>-0.0958878919887471</v>
      </c>
      <c r="M12" s="14" t="str">
        <f aca="false">'History Y-1'!S12&amp;""</f>
        <v/>
      </c>
      <c r="N12" s="29" t="n">
        <f aca="false">IFERROR((Settings!$B$10*'History Y-2'!AK12*('History Y-2'!$S12&lt;&gt;"Y")+Settings!$B$11*'History Y-3'!AK12*('History Y-3'!$S12&lt;&gt;"Y")+Settings!$B$12*'History Y-4'!AK12*('History Y-4'!$S12&lt;&gt;"Y"))/(Settings!$B$10*('History Y-2'!$S12&lt;&gt;"Y")+Settings!$B$11*('History Y-3'!$S12&lt;&gt;"Y")+Settings!$B$12*('History Y-4'!$S12&lt;&gt;"Y")),'History Y-2'!AK12)</f>
        <v>0.0158302055426995</v>
      </c>
    </row>
    <row r="13" customFormat="false" ht="15" hidden="false" customHeight="false" outlineLevel="0" collapsed="false">
      <c r="A13" s="13" t="n">
        <v>8</v>
      </c>
      <c r="B13" s="14" t="str">
        <f aca="false">Calendar!D13</f>
        <v>P2</v>
      </c>
      <c r="C13" s="57" t="n">
        <f aca="false">IFERROR(N13/SUM($N$6:$N$57),0)</f>
        <v>0.0159065478416507</v>
      </c>
      <c r="D13" s="21" t="n">
        <f aca="false">'History Y-2'!$I$58*(1+$L$2)*C13</f>
        <v>261816.5752371</v>
      </c>
      <c r="E13" s="29" t="n">
        <f aca="false">IFERROR((Settings!$B$10*'History Y-2'!U13*('History Y-2'!$S13&lt;&gt;"Y")+Settings!$B$11*'History Y-3'!U13*('History Y-3'!$S13&lt;&gt;"Y")+Settings!$B$12*'History Y-4'!U13*('History Y-4'!$S13&lt;&gt;"Y"))/(Settings!$B$10*('History Y-2'!$S13&lt;&gt;"Y")+Settings!$B$11*('History Y-3'!$S13&lt;&gt;"Y")+Settings!$B$12*('History Y-4'!$S13&lt;&gt;"Y")),'History Y-2'!U13)</f>
        <v>0.0213421808481023</v>
      </c>
      <c r="F13" s="23" t="n">
        <f aca="false">IFERROR((Settings!$B$10*'History Y-2'!V13*('History Y-2'!$S13&lt;&gt;"Y")+Settings!$B$11*'History Y-3'!V13*('History Y-3'!$S13&lt;&gt;"Y")+Settings!$B$12*'History Y-4'!V13*('History Y-4'!$S13&lt;&gt;"Y"))/(Settings!$B$10*('History Y-2'!$S13&lt;&gt;"Y")+Settings!$B$11*('History Y-3'!$S13&lt;&gt;"Y")+Settings!$B$12*('History Y-4'!$S13&lt;&gt;"Y")),'History Y-2'!V13)</f>
        <v>71.8427635452472</v>
      </c>
      <c r="G13" s="31" t="n">
        <f aca="false">IFERROR((Settings!$B$10*'History Y-2'!Y13*('History Y-2'!$S13&lt;&gt;"Y")+Settings!$B$11*'History Y-3'!Y13*('History Y-3'!$S13&lt;&gt;"Y")+Settings!$B$12*'History Y-4'!Y13*('History Y-4'!$S13&lt;&gt;"Y"))/(Settings!$B$10*('History Y-2'!$S13&lt;&gt;"Y")+Settings!$B$11*('History Y-3'!$S13&lt;&gt;"Y")+Settings!$B$12*('History Y-4'!$S13&lt;&gt;"Y")),'History Y-2'!Y13)</f>
        <v>0.260873712701857</v>
      </c>
      <c r="H13" s="49" t="n">
        <f aca="false">D13*E13*(1+$L$3)*F13*(1+$L$4)*(1-G13)</f>
        <v>296713.708413818</v>
      </c>
      <c r="I13" s="20" t="n">
        <f aca="false">'History Y-1'!AJ13</f>
        <v>318184.31</v>
      </c>
      <c r="J13" s="77" t="n">
        <f aca="false">IFERROR(H13/I13-1,0)</f>
        <v>-0.0674785051034791</v>
      </c>
      <c r="K13" s="20" t="n">
        <f aca="false">'History Y-2'!AJ13*(1+$E$62)</f>
        <v>332174.136800384</v>
      </c>
      <c r="L13" s="77" t="n">
        <f aca="false">IFERROR(K13/I13-1,0)</f>
        <v>0.0439676827571549</v>
      </c>
      <c r="M13" s="14" t="str">
        <f aca="false">'History Y-1'!S13&amp;""</f>
        <v/>
      </c>
      <c r="N13" s="29" t="n">
        <f aca="false">IFERROR((Settings!$B$10*'History Y-2'!AK13*('History Y-2'!$S13&lt;&gt;"Y")+Settings!$B$11*'History Y-3'!AK13*('History Y-3'!$S13&lt;&gt;"Y")+Settings!$B$12*'History Y-4'!AK13*('History Y-4'!$S13&lt;&gt;"Y"))/(Settings!$B$10*('History Y-2'!$S13&lt;&gt;"Y")+Settings!$B$11*('History Y-3'!$S13&lt;&gt;"Y")+Settings!$B$12*('History Y-4'!$S13&lt;&gt;"Y")),'History Y-2'!AK13)</f>
        <v>0.0159326038259456</v>
      </c>
    </row>
    <row r="14" customFormat="false" ht="15" hidden="false" customHeight="false" outlineLevel="0" collapsed="false">
      <c r="A14" s="13" t="n">
        <v>9</v>
      </c>
      <c r="B14" s="14" t="str">
        <f aca="false">Calendar!D14</f>
        <v>P3</v>
      </c>
      <c r="C14" s="57" t="n">
        <f aca="false">IFERROR(N14/SUM($N$6:$N$57),0)</f>
        <v>0.0185636686943901</v>
      </c>
      <c r="D14" s="21" t="n">
        <f aca="false">'History Y-2'!$I$58*(1+$L$2)*C14</f>
        <v>305551.915461815</v>
      </c>
      <c r="E14" s="29" t="n">
        <f aca="false">IFERROR((Settings!$B$10*'History Y-2'!U14*('History Y-2'!$S14&lt;&gt;"Y")+Settings!$B$11*'History Y-3'!U14*('History Y-3'!$S14&lt;&gt;"Y")+Settings!$B$12*'History Y-4'!U14*('History Y-4'!$S14&lt;&gt;"Y"))/(Settings!$B$10*('History Y-2'!$S14&lt;&gt;"Y")+Settings!$B$11*('History Y-3'!$S14&lt;&gt;"Y")+Settings!$B$12*('History Y-4'!$S14&lt;&gt;"Y")),'History Y-2'!U14)</f>
        <v>0.0205583093177959</v>
      </c>
      <c r="F14" s="23" t="n">
        <f aca="false">IFERROR((Settings!$B$10*'History Y-2'!V14*('History Y-2'!$S14&lt;&gt;"Y")+Settings!$B$11*'History Y-3'!V14*('History Y-3'!$S14&lt;&gt;"Y")+Settings!$B$12*'History Y-4'!V14*('History Y-4'!$S14&lt;&gt;"Y"))/(Settings!$B$10*('History Y-2'!$S14&lt;&gt;"Y")+Settings!$B$11*('History Y-3'!$S14&lt;&gt;"Y")+Settings!$B$12*('History Y-4'!$S14&lt;&gt;"Y")),'History Y-2'!V14)</f>
        <v>72.5972214628627</v>
      </c>
      <c r="G14" s="31" t="n">
        <f aca="false">IFERROR((Settings!$B$10*'History Y-2'!Y14*('History Y-2'!$S14&lt;&gt;"Y")+Settings!$B$11*'History Y-3'!Y14*('History Y-3'!$S14&lt;&gt;"Y")+Settings!$B$12*'History Y-4'!Y14*('History Y-4'!$S14&lt;&gt;"Y"))/(Settings!$B$10*('History Y-2'!$S14&lt;&gt;"Y")+Settings!$B$11*('History Y-3'!$S14&lt;&gt;"Y")+Settings!$B$12*('History Y-4'!$S14&lt;&gt;"Y")),'History Y-2'!Y14)</f>
        <v>0.255952910496893</v>
      </c>
      <c r="H14" s="49" t="n">
        <f aca="false">D14*E14*(1+$L$3)*F14*(1+$L$4)*(1-G14)</f>
        <v>339307.006772079</v>
      </c>
      <c r="I14" s="20" t="n">
        <f aca="false">'History Y-1'!AJ14</f>
        <v>381172.47</v>
      </c>
      <c r="J14" s="77" t="n">
        <f aca="false">IFERROR(H14/I14-1,0)</f>
        <v>-0.109833386519024</v>
      </c>
      <c r="K14" s="20" t="n">
        <f aca="false">'History Y-2'!AJ14*(1+$E$62)</f>
        <v>384733.907374649</v>
      </c>
      <c r="L14" s="77" t="n">
        <f aca="false">IFERROR(K14/I14-1,0)</f>
        <v>0.00934337512530425</v>
      </c>
      <c r="M14" s="14" t="str">
        <f aca="false">'History Y-1'!S14&amp;""</f>
        <v/>
      </c>
      <c r="N14" s="29" t="n">
        <f aca="false">IFERROR((Settings!$B$10*'History Y-2'!AK14*('History Y-2'!$S14&lt;&gt;"Y")+Settings!$B$11*'History Y-3'!AK14*('History Y-3'!$S14&lt;&gt;"Y")+Settings!$B$12*'History Y-4'!AK14*('History Y-4'!$S14&lt;&gt;"Y"))/(Settings!$B$10*('History Y-2'!$S14&lt;&gt;"Y")+Settings!$B$11*('History Y-3'!$S14&lt;&gt;"Y")+Settings!$B$12*('History Y-4'!$S14&lt;&gt;"Y")),'History Y-2'!AK14)</f>
        <v>0.0185940772195316</v>
      </c>
    </row>
    <row r="15" customFormat="false" ht="15" hidden="false" customHeight="false" outlineLevel="0" collapsed="false">
      <c r="A15" s="13" t="n">
        <v>10</v>
      </c>
      <c r="B15" s="14" t="str">
        <f aca="false">Calendar!D15</f>
        <v>P3</v>
      </c>
      <c r="C15" s="57" t="n">
        <f aca="false">IFERROR(N15/SUM($N$6:$N$57),0)</f>
        <v>0.0178676819646017</v>
      </c>
      <c r="D15" s="21" t="n">
        <f aca="false">'History Y-2'!$I$58*(1+$L$2)*C15</f>
        <v>294096.201511957</v>
      </c>
      <c r="E15" s="29" t="n">
        <f aca="false">IFERROR((Settings!$B$10*'History Y-2'!U15*('History Y-2'!$S15&lt;&gt;"Y")+Settings!$B$11*'History Y-3'!U15*('History Y-3'!$S15&lt;&gt;"Y")+Settings!$B$12*'History Y-4'!U15*('History Y-4'!$S15&lt;&gt;"Y"))/(Settings!$B$10*('History Y-2'!$S15&lt;&gt;"Y")+Settings!$B$11*('History Y-3'!$S15&lt;&gt;"Y")+Settings!$B$12*('History Y-4'!$S15&lt;&gt;"Y")),'History Y-2'!U15)</f>
        <v>0.0212279749735167</v>
      </c>
      <c r="F15" s="23" t="n">
        <f aca="false">IFERROR((Settings!$B$10*'History Y-2'!V15*('History Y-2'!$S15&lt;&gt;"Y")+Settings!$B$11*'History Y-3'!V15*('History Y-3'!$S15&lt;&gt;"Y")+Settings!$B$12*'History Y-4'!V15*('History Y-4'!$S15&lt;&gt;"Y"))/(Settings!$B$10*('History Y-2'!$S15&lt;&gt;"Y")+Settings!$B$11*('History Y-3'!$S15&lt;&gt;"Y")+Settings!$B$12*('History Y-4'!$S15&lt;&gt;"Y")),'History Y-2'!V15)</f>
        <v>72.7488902086336</v>
      </c>
      <c r="G15" s="31" t="n">
        <f aca="false">IFERROR((Settings!$B$10*'History Y-2'!Y15*('History Y-2'!$S15&lt;&gt;"Y")+Settings!$B$11*'History Y-3'!Y15*('History Y-3'!$S15&lt;&gt;"Y")+Settings!$B$12*'History Y-4'!Y15*('History Y-4'!$S15&lt;&gt;"Y"))/(Settings!$B$10*('History Y-2'!$S15&lt;&gt;"Y")+Settings!$B$11*('History Y-3'!$S15&lt;&gt;"Y")+Settings!$B$12*('History Y-4'!$S15&lt;&gt;"Y")),'History Y-2'!Y15)</f>
        <v>0.261035777971669</v>
      </c>
      <c r="H15" s="49" t="n">
        <f aca="false">D15*E15*(1+$L$3)*F15*(1+$L$4)*(1-G15)</f>
        <v>335619.948698838</v>
      </c>
      <c r="I15" s="20" t="n">
        <f aca="false">'History Y-1'!AJ15</f>
        <v>372515.96</v>
      </c>
      <c r="J15" s="77" t="n">
        <f aca="false">IFERROR(H15/I15-1,0)</f>
        <v>-0.0990454511027188</v>
      </c>
      <c r="K15" s="20" t="n">
        <f aca="false">'History Y-2'!AJ15*(1+$E$62)</f>
        <v>374992.043498417</v>
      </c>
      <c r="L15" s="77" t="n">
        <f aca="false">IFERROR(K15/I15-1,0)</f>
        <v>0.00664691923110361</v>
      </c>
      <c r="M15" s="14" t="str">
        <f aca="false">'History Y-1'!S15&amp;""</f>
        <v/>
      </c>
      <c r="N15" s="29" t="n">
        <f aca="false">IFERROR((Settings!$B$10*'History Y-2'!AK15*('History Y-2'!$S15&lt;&gt;"Y")+Settings!$B$11*'History Y-3'!AK15*('History Y-3'!$S15&lt;&gt;"Y")+Settings!$B$12*'History Y-4'!AK15*('History Y-4'!$S15&lt;&gt;"Y"))/(Settings!$B$10*('History Y-2'!$S15&lt;&gt;"Y")+Settings!$B$11*('History Y-3'!$S15&lt;&gt;"Y")+Settings!$B$12*('History Y-4'!$S15&lt;&gt;"Y")),'History Y-2'!AK15)</f>
        <v>0.0178969504171465</v>
      </c>
    </row>
    <row r="16" customFormat="false" ht="15" hidden="false" customHeight="false" outlineLevel="0" collapsed="false">
      <c r="A16" s="13" t="n">
        <v>11</v>
      </c>
      <c r="B16" s="14" t="str">
        <f aca="false">Calendar!D16</f>
        <v>P3</v>
      </c>
      <c r="C16" s="57" t="n">
        <f aca="false">IFERROR(N16/SUM($N$6:$N$57),0)</f>
        <v>0.0178487291096067</v>
      </c>
      <c r="D16" s="21" t="n">
        <f aca="false">'History Y-2'!$I$58*(1+$L$2)*C16</f>
        <v>293784.243717272</v>
      </c>
      <c r="E16" s="29" t="n">
        <f aca="false">IFERROR((Settings!$B$10*'History Y-2'!U16*('History Y-2'!$S16&lt;&gt;"Y")+Settings!$B$11*'History Y-3'!U16*('History Y-3'!$S16&lt;&gt;"Y")+Settings!$B$12*'History Y-4'!U16*('History Y-4'!$S16&lt;&gt;"Y"))/(Settings!$B$10*('History Y-2'!$S16&lt;&gt;"Y")+Settings!$B$11*('History Y-3'!$S16&lt;&gt;"Y")+Settings!$B$12*('History Y-4'!$S16&lt;&gt;"Y")),'History Y-2'!U16)</f>
        <v>0.0218095797266243</v>
      </c>
      <c r="F16" s="23" t="n">
        <f aca="false">IFERROR((Settings!$B$10*'History Y-2'!V16*('History Y-2'!$S16&lt;&gt;"Y")+Settings!$B$11*'History Y-3'!V16*('History Y-3'!$S16&lt;&gt;"Y")+Settings!$B$12*'History Y-4'!V16*('History Y-4'!$S16&lt;&gt;"Y"))/(Settings!$B$10*('History Y-2'!$S16&lt;&gt;"Y")+Settings!$B$11*('History Y-3'!$S16&lt;&gt;"Y")+Settings!$B$12*('History Y-4'!$S16&lt;&gt;"Y")),'History Y-2'!V16)</f>
        <v>72.0436803333505</v>
      </c>
      <c r="G16" s="31" t="n">
        <f aca="false">IFERROR((Settings!$B$10*'History Y-2'!Y16*('History Y-2'!$S16&lt;&gt;"Y")+Settings!$B$11*'History Y-3'!Y16*('History Y-3'!$S16&lt;&gt;"Y")+Settings!$B$12*'History Y-4'!Y16*('History Y-4'!$S16&lt;&gt;"Y"))/(Settings!$B$10*('History Y-2'!$S16&lt;&gt;"Y")+Settings!$B$11*('History Y-3'!$S16&lt;&gt;"Y")+Settings!$B$12*('History Y-4'!$S16&lt;&gt;"Y")),'History Y-2'!Y16)</f>
        <v>0.262857994156872</v>
      </c>
      <c r="H16" s="49" t="n">
        <f aca="false">D16*E16*(1+$L$3)*F16*(1+$L$4)*(1-G16)</f>
        <v>340269.362380019</v>
      </c>
      <c r="I16" s="20" t="n">
        <f aca="false">'History Y-1'!AJ16</f>
        <v>375041.11</v>
      </c>
      <c r="J16" s="77" t="n">
        <f aca="false">IFERROR(H16/I16-1,0)</f>
        <v>-0.0927144963387636</v>
      </c>
      <c r="K16" s="20" t="n">
        <f aca="false">'History Y-2'!AJ16*(1+$E$62)</f>
        <v>367941.806517989</v>
      </c>
      <c r="L16" s="77" t="n">
        <f aca="false">IFERROR(K16/I16-1,0)</f>
        <v>-0.0189294007849193</v>
      </c>
      <c r="M16" s="14" t="str">
        <f aca="false">'History Y-1'!S16&amp;""</f>
        <v/>
      </c>
      <c r="N16" s="29" t="n">
        <f aca="false">IFERROR((Settings!$B$10*'History Y-2'!AK16*('History Y-2'!$S16&lt;&gt;"Y")+Settings!$B$11*'History Y-3'!AK16*('History Y-3'!$S16&lt;&gt;"Y")+Settings!$B$12*'History Y-4'!AK16*('History Y-4'!$S16&lt;&gt;"Y"))/(Settings!$B$10*('History Y-2'!$S16&lt;&gt;"Y")+Settings!$B$11*('History Y-3'!$S16&lt;&gt;"Y")+Settings!$B$12*('History Y-4'!$S16&lt;&gt;"Y")),'History Y-2'!AK16)</f>
        <v>0.0178779665161134</v>
      </c>
    </row>
    <row r="17" customFormat="false" ht="15" hidden="false" customHeight="false" outlineLevel="0" collapsed="false">
      <c r="A17" s="13" t="n">
        <v>12</v>
      </c>
      <c r="B17" s="14" t="str">
        <f aca="false">Calendar!D17</f>
        <v>P3</v>
      </c>
      <c r="C17" s="57" t="n">
        <f aca="false">IFERROR(N17/SUM($N$6:$N$57),0)</f>
        <v>0.0177916339950727</v>
      </c>
      <c r="D17" s="21" t="n">
        <f aca="false">'History Y-2'!$I$58*(1+$L$2)*C17</f>
        <v>292844.476804999</v>
      </c>
      <c r="E17" s="29" t="n">
        <f aca="false">IFERROR((Settings!$B$10*'History Y-2'!U17*('History Y-2'!$S17&lt;&gt;"Y")+Settings!$B$11*'History Y-3'!U17*('History Y-3'!$S17&lt;&gt;"Y")+Settings!$B$12*'History Y-4'!U17*('History Y-4'!$S17&lt;&gt;"Y"))/(Settings!$B$10*('History Y-2'!$S17&lt;&gt;"Y")+Settings!$B$11*('History Y-3'!$S17&lt;&gt;"Y")+Settings!$B$12*('History Y-4'!$S17&lt;&gt;"Y")),'History Y-2'!U17)</f>
        <v>0.0213049108954997</v>
      </c>
      <c r="F17" s="23" t="n">
        <f aca="false">IFERROR((Settings!$B$10*'History Y-2'!V17*('History Y-2'!$S17&lt;&gt;"Y")+Settings!$B$11*'History Y-3'!V17*('History Y-3'!$S17&lt;&gt;"Y")+Settings!$B$12*'History Y-4'!V17*('History Y-4'!$S17&lt;&gt;"Y"))/(Settings!$B$10*('History Y-2'!$S17&lt;&gt;"Y")+Settings!$B$11*('History Y-3'!$S17&lt;&gt;"Y")+Settings!$B$12*('History Y-4'!$S17&lt;&gt;"Y")),'History Y-2'!V17)</f>
        <v>71.824911855367</v>
      </c>
      <c r="G17" s="31" t="n">
        <f aca="false">IFERROR((Settings!$B$10*'History Y-2'!Y17*('History Y-2'!$S17&lt;&gt;"Y")+Settings!$B$11*'History Y-3'!Y17*('History Y-3'!$S17&lt;&gt;"Y")+Settings!$B$12*'History Y-4'!Y17*('History Y-4'!$S17&lt;&gt;"Y"))/(Settings!$B$10*('History Y-2'!$S17&lt;&gt;"Y")+Settings!$B$11*('History Y-3'!$S17&lt;&gt;"Y")+Settings!$B$12*('History Y-4'!$S17&lt;&gt;"Y")),'History Y-2'!Y17)</f>
        <v>0.267162451293122</v>
      </c>
      <c r="H17" s="49" t="n">
        <f aca="false">D17*E17*(1+$L$3)*F17*(1+$L$4)*(1-G17)</f>
        <v>328397.297615967</v>
      </c>
      <c r="I17" s="20" t="n">
        <f aca="false">'History Y-1'!AJ17</f>
        <v>288046.88</v>
      </c>
      <c r="J17" s="77" t="n">
        <f aca="false">IFERROR(H17/I17-1,0)</f>
        <v>0.140082814352883</v>
      </c>
      <c r="K17" s="20" t="n">
        <f aca="false">'History Y-2'!AJ17*(1+$E$62)</f>
        <v>367313.743220412</v>
      </c>
      <c r="L17" s="77" t="n">
        <f aca="false">IFERROR(K17/I17-1,0)</f>
        <v>0.275187369571274</v>
      </c>
      <c r="M17" s="14" t="str">
        <f aca="false">'History Y-1'!S17&amp;""</f>
        <v>Y</v>
      </c>
      <c r="N17" s="29" t="n">
        <f aca="false">IFERROR((Settings!$B$10*'History Y-2'!AK17*('History Y-2'!$S17&lt;&gt;"Y")+Settings!$B$11*'History Y-3'!AK17*('History Y-3'!$S17&lt;&gt;"Y")+Settings!$B$12*'History Y-4'!AK17*('History Y-4'!$S17&lt;&gt;"Y"))/(Settings!$B$10*('History Y-2'!$S17&lt;&gt;"Y")+Settings!$B$11*('History Y-3'!$S17&lt;&gt;"Y")+Settings!$B$12*('History Y-4'!$S17&lt;&gt;"Y")),'History Y-2'!AK17)</f>
        <v>0.0178207778759808</v>
      </c>
    </row>
    <row r="18" customFormat="false" ht="15" hidden="false" customHeight="false" outlineLevel="0" collapsed="false">
      <c r="A18" s="13" t="n">
        <v>13</v>
      </c>
      <c r="B18" s="14" t="str">
        <f aca="false">Calendar!D18</f>
        <v>P3</v>
      </c>
      <c r="C18" s="57" t="n">
        <f aca="false">IFERROR(N18/SUM($N$6:$N$57),0)</f>
        <v>0.01821709012958</v>
      </c>
      <c r="D18" s="21" t="n">
        <f aca="false">'History Y-2'!$I$58*(1+$L$2)*C18</f>
        <v>299847.345633561</v>
      </c>
      <c r="E18" s="29" t="n">
        <f aca="false">IFERROR((Settings!$B$10*'History Y-2'!U18*('History Y-2'!$S18&lt;&gt;"Y")+Settings!$B$11*'History Y-3'!U18*('History Y-3'!$S18&lt;&gt;"Y")+Settings!$B$12*'History Y-4'!U18*('History Y-4'!$S18&lt;&gt;"Y"))/(Settings!$B$10*('History Y-2'!$S18&lt;&gt;"Y")+Settings!$B$11*('History Y-3'!$S18&lt;&gt;"Y")+Settings!$B$12*('History Y-4'!$S18&lt;&gt;"Y")),'History Y-2'!U18)</f>
        <v>0.0214167945032539</v>
      </c>
      <c r="F18" s="23" t="n">
        <f aca="false">IFERROR((Settings!$B$10*'History Y-2'!V18*('History Y-2'!$S18&lt;&gt;"Y")+Settings!$B$11*'History Y-3'!V18*('History Y-3'!$S18&lt;&gt;"Y")+Settings!$B$12*'History Y-4'!V18*('History Y-4'!$S18&lt;&gt;"Y"))/(Settings!$B$10*('History Y-2'!$S18&lt;&gt;"Y")+Settings!$B$11*('History Y-3'!$S18&lt;&gt;"Y")+Settings!$B$12*('History Y-4'!$S18&lt;&gt;"Y")),'History Y-2'!V18)</f>
        <v>72.551751561994</v>
      </c>
      <c r="G18" s="31" t="n">
        <f aca="false">IFERROR((Settings!$B$10*'History Y-2'!Y18*('History Y-2'!$S18&lt;&gt;"Y")+Settings!$B$11*'History Y-3'!Y18*('History Y-3'!$S18&lt;&gt;"Y")+Settings!$B$12*'History Y-4'!Y18*('History Y-4'!$S18&lt;&gt;"Y"))/(Settings!$B$10*('History Y-2'!$S18&lt;&gt;"Y")+Settings!$B$11*('History Y-3'!$S18&lt;&gt;"Y")+Settings!$B$12*('History Y-4'!$S18&lt;&gt;"Y")),'History Y-2'!Y18)</f>
        <v>0.251913177804602</v>
      </c>
      <c r="H18" s="49" t="n">
        <f aca="false">D18*E18*(1+$L$3)*F18*(1+$L$4)*(1-G18)</f>
        <v>348541.571129101</v>
      </c>
      <c r="I18" s="20" t="n">
        <f aca="false">'History Y-1'!AJ18</f>
        <v>356747.59</v>
      </c>
      <c r="J18" s="77" t="n">
        <f aca="false">IFERROR(H18/I18-1,0)</f>
        <v>-0.023002310599768</v>
      </c>
      <c r="K18" s="20" t="n">
        <f aca="false">'History Y-2'!AJ18*(1+$E$62)</f>
        <v>391444.646480245</v>
      </c>
      <c r="L18" s="77" t="n">
        <f aca="false">IFERROR(K18/I18-1,0)</f>
        <v>0.0972593997908855</v>
      </c>
      <c r="M18" s="14" t="str">
        <f aca="false">'History Y-1'!S18&amp;""</f>
        <v/>
      </c>
      <c r="N18" s="29" t="n">
        <f aca="false">IFERROR((Settings!$B$10*'History Y-2'!AK18*('History Y-2'!$S18&lt;&gt;"Y")+Settings!$B$11*'History Y-3'!AK18*('History Y-3'!$S18&lt;&gt;"Y")+Settings!$B$12*'History Y-4'!AK18*('History Y-4'!$S18&lt;&gt;"Y"))/(Settings!$B$10*('History Y-2'!$S18&lt;&gt;"Y")+Settings!$B$11*('History Y-3'!$S18&lt;&gt;"Y")+Settings!$B$12*('History Y-4'!$S18&lt;&gt;"Y")),'History Y-2'!AK18)</f>
        <v>0.0182469309359599</v>
      </c>
    </row>
    <row r="19" customFormat="false" ht="15" hidden="false" customHeight="false" outlineLevel="0" collapsed="false">
      <c r="A19" s="13" t="n">
        <v>14</v>
      </c>
      <c r="B19" s="14" t="str">
        <f aca="false">Calendar!D19</f>
        <v>P4</v>
      </c>
      <c r="C19" s="57" t="n">
        <f aca="false">IFERROR(N19/SUM($N$6:$N$57),0)</f>
        <v>0.01909998906053</v>
      </c>
      <c r="D19" s="21" t="n">
        <f aca="false">'History Y-2'!$I$58*(1+$L$2)*C19</f>
        <v>314379.573284902</v>
      </c>
      <c r="E19" s="29" t="n">
        <f aca="false">IFERROR((Settings!$B$10*'History Y-2'!U19*('History Y-2'!$S19&lt;&gt;"Y")+Settings!$B$11*'History Y-3'!U19*('History Y-3'!$S19&lt;&gt;"Y")+Settings!$B$12*'History Y-4'!U19*('History Y-4'!$S19&lt;&gt;"Y"))/(Settings!$B$10*('History Y-2'!$S19&lt;&gt;"Y")+Settings!$B$11*('History Y-3'!$S19&lt;&gt;"Y")+Settings!$B$12*('History Y-4'!$S19&lt;&gt;"Y")),'History Y-2'!U19)</f>
        <v>0.0213004577364918</v>
      </c>
      <c r="F19" s="23" t="n">
        <f aca="false">IFERROR((Settings!$B$10*'History Y-2'!V19*('History Y-2'!$S19&lt;&gt;"Y")+Settings!$B$11*'History Y-3'!V19*('History Y-3'!$S19&lt;&gt;"Y")+Settings!$B$12*'History Y-4'!V19*('History Y-4'!$S19&lt;&gt;"Y"))/(Settings!$B$10*('History Y-2'!$S19&lt;&gt;"Y")+Settings!$B$11*('History Y-3'!$S19&lt;&gt;"Y")+Settings!$B$12*('History Y-4'!$S19&lt;&gt;"Y")),'History Y-2'!V19)</f>
        <v>73.5213857655653</v>
      </c>
      <c r="G19" s="31" t="n">
        <f aca="false">IFERROR((Settings!$B$10*'History Y-2'!Y19*('History Y-2'!$S19&lt;&gt;"Y")+Settings!$B$11*'History Y-3'!Y19*('History Y-3'!$S19&lt;&gt;"Y")+Settings!$B$12*'History Y-4'!Y19*('History Y-4'!$S19&lt;&gt;"Y"))/(Settings!$B$10*('History Y-2'!$S19&lt;&gt;"Y")+Settings!$B$11*('History Y-3'!$S19&lt;&gt;"Y")+Settings!$B$12*('History Y-4'!$S19&lt;&gt;"Y")),'History Y-2'!Y19)</f>
        <v>0.260561833514865</v>
      </c>
      <c r="H19" s="49" t="n">
        <f aca="false">D19*E19*(1+$L$3)*F19*(1+$L$4)*(1-G19)</f>
        <v>364048.129399579</v>
      </c>
      <c r="I19" s="20" t="n">
        <f aca="false">'History Y-1'!AJ19</f>
        <v>398633.89</v>
      </c>
      <c r="J19" s="77" t="n">
        <f aca="false">IFERROR(H19/I19-1,0)</f>
        <v>-0.086760713195812</v>
      </c>
      <c r="K19" s="20" t="n">
        <f aca="false">'History Y-2'!AJ19*(1+$E$62)</f>
        <v>407322.80511471</v>
      </c>
      <c r="L19" s="77" t="n">
        <f aca="false">IFERROR(K19/I19-1,0)</f>
        <v>0.0217967296125028</v>
      </c>
      <c r="M19" s="14" t="str">
        <f aca="false">'History Y-1'!S19&amp;""</f>
        <v/>
      </c>
      <c r="N19" s="29" t="n">
        <f aca="false">IFERROR((Settings!$B$10*'History Y-2'!AK19*('History Y-2'!$S19&lt;&gt;"Y")+Settings!$B$11*'History Y-3'!AK19*('History Y-3'!$S19&lt;&gt;"Y")+Settings!$B$12*'History Y-4'!AK19*('History Y-4'!$S19&lt;&gt;"Y"))/(Settings!$B$10*('History Y-2'!$S19&lt;&gt;"Y")+Settings!$B$11*('History Y-3'!$S19&lt;&gt;"Y")+Settings!$B$12*('History Y-4'!$S19&lt;&gt;"Y")),'History Y-2'!AK19)</f>
        <v>0.0191312761141351</v>
      </c>
    </row>
    <row r="20" customFormat="false" ht="15" hidden="false" customHeight="false" outlineLevel="0" collapsed="false">
      <c r="A20" s="13" t="n">
        <v>15</v>
      </c>
      <c r="B20" s="14" t="str">
        <f aca="false">Calendar!D20</f>
        <v>P4</v>
      </c>
      <c r="C20" s="57" t="n">
        <f aca="false">IFERROR(N20/SUM($N$6:$N$57),0)</f>
        <v>0.0183259483730443</v>
      </c>
      <c r="D20" s="21" t="n">
        <f aca="false">'History Y-2'!$I$58*(1+$L$2)*C20</f>
        <v>301639.116718894</v>
      </c>
      <c r="E20" s="29" t="n">
        <f aca="false">IFERROR((Settings!$B$10*'History Y-2'!U20*('History Y-2'!$S20&lt;&gt;"Y")+Settings!$B$11*'History Y-3'!U20*('History Y-3'!$S20&lt;&gt;"Y")+Settings!$B$12*'History Y-4'!U20*('History Y-4'!$S20&lt;&gt;"Y"))/(Settings!$B$10*('History Y-2'!$S20&lt;&gt;"Y")+Settings!$B$11*('History Y-3'!$S20&lt;&gt;"Y")+Settings!$B$12*('History Y-4'!$S20&lt;&gt;"Y")),'History Y-2'!U20)</f>
        <v>0.0210212732249506</v>
      </c>
      <c r="F20" s="23" t="n">
        <f aca="false">IFERROR((Settings!$B$10*'History Y-2'!V20*('History Y-2'!$S20&lt;&gt;"Y")+Settings!$B$11*'History Y-3'!V20*('History Y-3'!$S20&lt;&gt;"Y")+Settings!$B$12*'History Y-4'!V20*('History Y-4'!$S20&lt;&gt;"Y"))/(Settings!$B$10*('History Y-2'!$S20&lt;&gt;"Y")+Settings!$B$11*('History Y-3'!$S20&lt;&gt;"Y")+Settings!$B$12*('History Y-4'!$S20&lt;&gt;"Y")),'History Y-2'!V20)</f>
        <v>73.9421775367441</v>
      </c>
      <c r="G20" s="31" t="n">
        <f aca="false">IFERROR((Settings!$B$10*'History Y-2'!Y20*('History Y-2'!$S20&lt;&gt;"Y")+Settings!$B$11*'History Y-3'!Y20*('History Y-3'!$S20&lt;&gt;"Y")+Settings!$B$12*'History Y-4'!Y20*('History Y-4'!$S20&lt;&gt;"Y"))/(Settings!$B$10*('History Y-2'!$S20&lt;&gt;"Y")+Settings!$B$11*('History Y-3'!$S20&lt;&gt;"Y")+Settings!$B$12*('History Y-4'!$S20&lt;&gt;"Y")),'History Y-2'!Y20)</f>
        <v>0.255916601244347</v>
      </c>
      <c r="H20" s="49" t="n">
        <f aca="false">D20*E20*(1+$L$3)*F20*(1+$L$4)*(1-G20)</f>
        <v>348867.512424348</v>
      </c>
      <c r="I20" s="20" t="n">
        <f aca="false">'History Y-1'!AJ20</f>
        <v>398171.41</v>
      </c>
      <c r="J20" s="77" t="n">
        <f aca="false">IFERROR(H20/I20-1,0)</f>
        <v>-0.123825810536352</v>
      </c>
      <c r="K20" s="20" t="n">
        <f aca="false">'History Y-2'!AJ20*(1+$E$62)</f>
        <v>399186.279286401</v>
      </c>
      <c r="L20" s="77" t="n">
        <f aca="false">IFERROR(K20/I20-1,0)</f>
        <v>0.00254882510625376</v>
      </c>
      <c r="M20" s="14" t="str">
        <f aca="false">'History Y-1'!S20&amp;""</f>
        <v/>
      </c>
      <c r="N20" s="29" t="n">
        <f aca="false">IFERROR((Settings!$B$10*'History Y-2'!AK20*('History Y-2'!$S20&lt;&gt;"Y")+Settings!$B$11*'History Y-3'!AK20*('History Y-3'!$S20&lt;&gt;"Y")+Settings!$B$12*'History Y-4'!AK20*('History Y-4'!$S20&lt;&gt;"Y"))/(Settings!$B$10*('History Y-2'!$S20&lt;&gt;"Y")+Settings!$B$11*('History Y-3'!$S20&lt;&gt;"Y")+Settings!$B$12*('History Y-4'!$S20&lt;&gt;"Y")),'History Y-2'!AK20)</f>
        <v>0.0183559674964739</v>
      </c>
    </row>
    <row r="21" customFormat="false" ht="15" hidden="false" customHeight="false" outlineLevel="0" collapsed="false">
      <c r="A21" s="13" t="n">
        <v>16</v>
      </c>
      <c r="B21" s="14" t="str">
        <f aca="false">Calendar!D21</f>
        <v>P4</v>
      </c>
      <c r="C21" s="57" t="n">
        <f aca="false">IFERROR(N21/SUM($N$6:$N$57),0)</f>
        <v>0.0190324058133832</v>
      </c>
      <c r="D21" s="21" t="n">
        <f aca="false">'History Y-2'!$I$58*(1+$L$2)*C21</f>
        <v>313267.175139966</v>
      </c>
      <c r="E21" s="29" t="n">
        <f aca="false">IFERROR((Settings!$B$10*'History Y-2'!U21*('History Y-2'!$S21&lt;&gt;"Y")+Settings!$B$11*'History Y-3'!U21*('History Y-3'!$S21&lt;&gt;"Y")+Settings!$B$12*'History Y-4'!U21*('History Y-4'!$S21&lt;&gt;"Y"))/(Settings!$B$10*('History Y-2'!$S21&lt;&gt;"Y")+Settings!$B$11*('History Y-3'!$S21&lt;&gt;"Y")+Settings!$B$12*('History Y-4'!$S21&lt;&gt;"Y")),'History Y-2'!U21)</f>
        <v>0.0215480992930986</v>
      </c>
      <c r="F21" s="23" t="n">
        <f aca="false">IFERROR((Settings!$B$10*'History Y-2'!V21*('History Y-2'!$S21&lt;&gt;"Y")+Settings!$B$11*'History Y-3'!V21*('History Y-3'!$S21&lt;&gt;"Y")+Settings!$B$12*'History Y-4'!V21*('History Y-4'!$S21&lt;&gt;"Y"))/(Settings!$B$10*('History Y-2'!$S21&lt;&gt;"Y")+Settings!$B$11*('History Y-3'!$S21&lt;&gt;"Y")+Settings!$B$12*('History Y-4'!$S21&lt;&gt;"Y")),'History Y-2'!V21)</f>
        <v>73.59454104747</v>
      </c>
      <c r="G21" s="31" t="n">
        <f aca="false">IFERROR((Settings!$B$10*'History Y-2'!Y21*('History Y-2'!$S21&lt;&gt;"Y")+Settings!$B$11*'History Y-3'!Y21*('History Y-3'!$S21&lt;&gt;"Y")+Settings!$B$12*'History Y-4'!Y21*('History Y-4'!$S21&lt;&gt;"Y"))/(Settings!$B$10*('History Y-2'!$S21&lt;&gt;"Y")+Settings!$B$11*('History Y-3'!$S21&lt;&gt;"Y")+Settings!$B$12*('History Y-4'!$S21&lt;&gt;"Y")),'History Y-2'!Y21)</f>
        <v>0.256652214999144</v>
      </c>
      <c r="H21" s="49" t="n">
        <f aca="false">D21*E21*(1+$L$3)*F21*(1+$L$4)*(1-G21)</f>
        <v>369284.867817212</v>
      </c>
      <c r="I21" s="20" t="n">
        <f aca="false">'History Y-1'!AJ21</f>
        <v>400679.45</v>
      </c>
      <c r="J21" s="77" t="n">
        <f aca="false">IFERROR(H21/I21-1,0)</f>
        <v>-0.0783533624766327</v>
      </c>
      <c r="K21" s="20" t="n">
        <f aca="false">'History Y-2'!AJ21*(1+$E$62)</f>
        <v>409115.432046495</v>
      </c>
      <c r="L21" s="77" t="n">
        <f aca="false">IFERROR(K21/I21-1,0)</f>
        <v>0.0210541919394542</v>
      </c>
      <c r="M21" s="14" t="str">
        <f aca="false">'History Y-1'!S21&amp;""</f>
        <v/>
      </c>
      <c r="N21" s="29" t="n">
        <f aca="false">IFERROR((Settings!$B$10*'History Y-2'!AK21*('History Y-2'!$S21&lt;&gt;"Y")+Settings!$B$11*'History Y-3'!AK21*('History Y-3'!$S21&lt;&gt;"Y")+Settings!$B$12*'History Y-4'!AK21*('History Y-4'!$S21&lt;&gt;"Y"))/(Settings!$B$10*('History Y-2'!$S21&lt;&gt;"Y")+Settings!$B$11*('History Y-3'!$S21&lt;&gt;"Y")+Settings!$B$12*('History Y-4'!$S21&lt;&gt;"Y")),'History Y-2'!AK21)</f>
        <v>0.0190635821611302</v>
      </c>
    </row>
    <row r="22" customFormat="false" ht="15" hidden="false" customHeight="false" outlineLevel="0" collapsed="false">
      <c r="A22" s="13" t="n">
        <v>17</v>
      </c>
      <c r="B22" s="14" t="str">
        <f aca="false">Calendar!D22</f>
        <v>P4</v>
      </c>
      <c r="C22" s="57" t="n">
        <f aca="false">IFERROR(N22/SUM($N$6:$N$57),0)</f>
        <v>0.0189316139044861</v>
      </c>
      <c r="D22" s="21" t="n">
        <f aca="false">'History Y-2'!$I$58*(1+$L$2)*C22</f>
        <v>311608.173283514</v>
      </c>
      <c r="E22" s="29" t="n">
        <f aca="false">IFERROR((Settings!$B$10*'History Y-2'!U22*('History Y-2'!$S22&lt;&gt;"Y")+Settings!$B$11*'History Y-3'!U22*('History Y-3'!$S22&lt;&gt;"Y")+Settings!$B$12*'History Y-4'!U22*('History Y-4'!$S22&lt;&gt;"Y"))/(Settings!$B$10*('History Y-2'!$S22&lt;&gt;"Y")+Settings!$B$11*('History Y-3'!$S22&lt;&gt;"Y")+Settings!$B$12*('History Y-4'!$S22&lt;&gt;"Y")),'History Y-2'!U22)</f>
        <v>0.0207633211198198</v>
      </c>
      <c r="F22" s="23" t="n">
        <f aca="false">IFERROR((Settings!$B$10*'History Y-2'!V22*('History Y-2'!$S22&lt;&gt;"Y")+Settings!$B$11*'History Y-3'!V22*('History Y-3'!$S22&lt;&gt;"Y")+Settings!$B$12*'History Y-4'!V22*('History Y-4'!$S22&lt;&gt;"Y"))/(Settings!$B$10*('History Y-2'!$S22&lt;&gt;"Y")+Settings!$B$11*('History Y-3'!$S22&lt;&gt;"Y")+Settings!$B$12*('History Y-4'!$S22&lt;&gt;"Y")),'History Y-2'!V22)</f>
        <v>72.2956309340534</v>
      </c>
      <c r="G22" s="31" t="n">
        <f aca="false">IFERROR((Settings!$B$10*'History Y-2'!Y22*('History Y-2'!$S22&lt;&gt;"Y")+Settings!$B$11*'History Y-3'!Y22*('History Y-3'!$S22&lt;&gt;"Y")+Settings!$B$12*'History Y-4'!Y22*('History Y-4'!$S22&lt;&gt;"Y"))/(Settings!$B$10*('History Y-2'!$S22&lt;&gt;"Y")+Settings!$B$11*('History Y-3'!$S22&lt;&gt;"Y")+Settings!$B$12*('History Y-4'!$S22&lt;&gt;"Y")),'History Y-2'!Y22)</f>
        <v>0.266217774228119</v>
      </c>
      <c r="H22" s="49" t="n">
        <f aca="false">D22*E22*(1+$L$3)*F22*(1+$L$4)*(1-G22)</f>
        <v>343229.731884476</v>
      </c>
      <c r="I22" s="20" t="n">
        <f aca="false">'History Y-1'!AJ22</f>
        <v>381839.33</v>
      </c>
      <c r="J22" s="77" t="n">
        <f aca="false">IFERROR(H22/I22-1,0)</f>
        <v>-0.101114775462036</v>
      </c>
      <c r="K22" s="20" t="n">
        <f aca="false">'History Y-2'!AJ22*(1+$E$62)</f>
        <v>369279.393953032</v>
      </c>
      <c r="L22" s="77" t="n">
        <f aca="false">IFERROR(K22/I22-1,0)</f>
        <v>-0.0328932487048096</v>
      </c>
      <c r="M22" s="14" t="str">
        <f aca="false">'History Y-1'!S22&amp;""</f>
        <v/>
      </c>
      <c r="N22" s="29" t="n">
        <f aca="false">IFERROR((Settings!$B$10*'History Y-2'!AK22*('History Y-2'!$S22&lt;&gt;"Y")+Settings!$B$11*'History Y-3'!AK22*('History Y-3'!$S22&lt;&gt;"Y")+Settings!$B$12*'History Y-4'!AK22*('History Y-4'!$S22&lt;&gt;"Y"))/(Settings!$B$10*('History Y-2'!$S22&lt;&gt;"Y")+Settings!$B$11*('History Y-3'!$S22&lt;&gt;"Y")+Settings!$B$12*('History Y-4'!$S22&lt;&gt;"Y")),'History Y-2'!AK22)</f>
        <v>0.0189626251483765</v>
      </c>
    </row>
    <row r="23" customFormat="false" ht="15" hidden="false" customHeight="false" outlineLevel="0" collapsed="false">
      <c r="A23" s="13" t="n">
        <v>18</v>
      </c>
      <c r="B23" s="14" t="str">
        <f aca="false">Calendar!D23</f>
        <v>P5</v>
      </c>
      <c r="C23" s="57" t="n">
        <f aca="false">IFERROR(N23/SUM($N$6:$N$57),0)</f>
        <v>0.0190426588342336</v>
      </c>
      <c r="D23" s="21" t="n">
        <f aca="false">'History Y-2'!$I$58*(1+$L$2)*C23</f>
        <v>313435.936509914</v>
      </c>
      <c r="E23" s="29" t="n">
        <f aca="false">IFERROR((Settings!$B$10*'History Y-2'!U23*('History Y-2'!$S23&lt;&gt;"Y")+Settings!$B$11*'History Y-3'!U23*('History Y-3'!$S23&lt;&gt;"Y")+Settings!$B$12*'History Y-4'!U23*('History Y-4'!$S23&lt;&gt;"Y"))/(Settings!$B$10*('History Y-2'!$S23&lt;&gt;"Y")+Settings!$B$11*('History Y-3'!$S23&lt;&gt;"Y")+Settings!$B$12*('History Y-4'!$S23&lt;&gt;"Y")),'History Y-2'!U23)</f>
        <v>0.0209878663141032</v>
      </c>
      <c r="F23" s="23" t="n">
        <f aca="false">IFERROR((Settings!$B$10*'History Y-2'!V23*('History Y-2'!$S23&lt;&gt;"Y")+Settings!$B$11*'History Y-3'!V23*('History Y-3'!$S23&lt;&gt;"Y")+Settings!$B$12*'History Y-4'!V23*('History Y-4'!$S23&lt;&gt;"Y"))/(Settings!$B$10*('History Y-2'!$S23&lt;&gt;"Y")+Settings!$B$11*('History Y-3'!$S23&lt;&gt;"Y")+Settings!$B$12*('History Y-4'!$S23&lt;&gt;"Y")),'History Y-2'!V23)</f>
        <v>73.9572693160608</v>
      </c>
      <c r="G23" s="31" t="n">
        <f aca="false">IFERROR((Settings!$B$10*'History Y-2'!Y23*('History Y-2'!$S23&lt;&gt;"Y")+Settings!$B$11*'History Y-3'!Y23*('History Y-3'!$S23&lt;&gt;"Y")+Settings!$B$12*'History Y-4'!Y23*('History Y-4'!$S23&lt;&gt;"Y"))/(Settings!$B$10*('History Y-2'!$S23&lt;&gt;"Y")+Settings!$B$11*('History Y-3'!$S23&lt;&gt;"Y")+Settings!$B$12*('History Y-4'!$S23&lt;&gt;"Y")),'History Y-2'!Y23)</f>
        <v>0.26262485722722</v>
      </c>
      <c r="H23" s="49" t="n">
        <f aca="false">D23*E23*(1+$L$3)*F23*(1+$L$4)*(1-G23)</f>
        <v>358745.480411038</v>
      </c>
      <c r="I23" s="20" t="n">
        <f aca="false">'History Y-1'!AJ23</f>
        <v>368237.18</v>
      </c>
      <c r="J23" s="77" t="n">
        <f aca="false">IFERROR(H23/I23-1,0)</f>
        <v>-0.0257760489827832</v>
      </c>
      <c r="K23" s="20" t="n">
        <f aca="false">'History Y-2'!AJ23*(1+$E$62)</f>
        <v>378151.587319999</v>
      </c>
      <c r="L23" s="77" t="n">
        <f aca="false">IFERROR(K23/I23-1,0)</f>
        <v>0.0269239714468794</v>
      </c>
      <c r="M23" s="14" t="str">
        <f aca="false">'History Y-1'!S23&amp;""</f>
        <v/>
      </c>
      <c r="N23" s="29" t="n">
        <f aca="false">IFERROR((Settings!$B$10*'History Y-2'!AK23*('History Y-2'!$S23&lt;&gt;"Y")+Settings!$B$11*'History Y-3'!AK23*('History Y-3'!$S23&lt;&gt;"Y")+Settings!$B$12*'History Y-4'!AK23*('History Y-4'!$S23&lt;&gt;"Y"))/(Settings!$B$10*('History Y-2'!$S23&lt;&gt;"Y")+Settings!$B$11*('History Y-3'!$S23&lt;&gt;"Y")+Settings!$B$12*('History Y-4'!$S23&lt;&gt;"Y")),'History Y-2'!AK23)</f>
        <v>0.0190738519771114</v>
      </c>
    </row>
    <row r="24" customFormat="false" ht="15" hidden="false" customHeight="false" outlineLevel="0" collapsed="false">
      <c r="A24" s="13" t="n">
        <v>19</v>
      </c>
      <c r="B24" s="14" t="str">
        <f aca="false">Calendar!D24</f>
        <v>P5</v>
      </c>
      <c r="C24" s="57" t="n">
        <f aca="false">IFERROR(N24/SUM($N$6:$N$57),0)</f>
        <v>0.0187557690950332</v>
      </c>
      <c r="D24" s="21" t="n">
        <f aca="false">'History Y-2'!$I$58*(1+$L$2)*C24</f>
        <v>308713.825229963</v>
      </c>
      <c r="E24" s="29" t="n">
        <f aca="false">IFERROR((Settings!$B$10*'History Y-2'!U24*('History Y-2'!$S24&lt;&gt;"Y")+Settings!$B$11*'History Y-3'!U24*('History Y-3'!$S24&lt;&gt;"Y")+Settings!$B$12*'History Y-4'!U24*('History Y-4'!$S24&lt;&gt;"Y"))/(Settings!$B$10*('History Y-2'!$S24&lt;&gt;"Y")+Settings!$B$11*('History Y-3'!$S24&lt;&gt;"Y")+Settings!$B$12*('History Y-4'!$S24&lt;&gt;"Y")),'History Y-2'!U24)</f>
        <v>0.0211787711934369</v>
      </c>
      <c r="F24" s="23" t="n">
        <f aca="false">IFERROR((Settings!$B$10*'History Y-2'!V24*('History Y-2'!$S24&lt;&gt;"Y")+Settings!$B$11*'History Y-3'!V24*('History Y-3'!$S24&lt;&gt;"Y")+Settings!$B$12*'History Y-4'!V24*('History Y-4'!$S24&lt;&gt;"Y"))/(Settings!$B$10*('History Y-2'!$S24&lt;&gt;"Y")+Settings!$B$11*('History Y-3'!$S24&lt;&gt;"Y")+Settings!$B$12*('History Y-4'!$S24&lt;&gt;"Y")),'History Y-2'!V24)</f>
        <v>73.9020937243006</v>
      </c>
      <c r="G24" s="31" t="n">
        <f aca="false">IFERROR((Settings!$B$10*'History Y-2'!Y24*('History Y-2'!$S24&lt;&gt;"Y")+Settings!$B$11*'History Y-3'!Y24*('History Y-3'!$S24&lt;&gt;"Y")+Settings!$B$12*'History Y-4'!Y24*('History Y-4'!$S24&lt;&gt;"Y"))/(Settings!$B$10*('History Y-2'!$S24&lt;&gt;"Y")+Settings!$B$11*('History Y-3'!$S24&lt;&gt;"Y")+Settings!$B$12*('History Y-4'!$S24&lt;&gt;"Y")),'History Y-2'!Y24)</f>
        <v>0.258778928563953</v>
      </c>
      <c r="H24" s="49" t="n">
        <f aca="false">D24*E24*(1+$L$3)*F24*(1+$L$4)*(1-G24)</f>
        <v>358147.015985349</v>
      </c>
      <c r="I24" s="20" t="n">
        <f aca="false">'History Y-1'!AJ24</f>
        <v>415327.54</v>
      </c>
      <c r="J24" s="77" t="n">
        <f aca="false">IFERROR(H24/I24-1,0)</f>
        <v>-0.137675734228101</v>
      </c>
      <c r="K24" s="20" t="n">
        <f aca="false">'History Y-2'!AJ24*(1+$E$62)</f>
        <v>409065.742932384</v>
      </c>
      <c r="L24" s="77" t="n">
        <f aca="false">IFERROR(K24/I24-1,0)</f>
        <v>-0.0150767682480585</v>
      </c>
      <c r="M24" s="14" t="str">
        <f aca="false">'History Y-1'!S24&amp;""</f>
        <v/>
      </c>
      <c r="N24" s="29" t="n">
        <f aca="false">IFERROR((Settings!$B$10*'History Y-2'!AK24*('History Y-2'!$S24&lt;&gt;"Y")+Settings!$B$11*'History Y-3'!AK24*('History Y-3'!$S24&lt;&gt;"Y")+Settings!$B$12*'History Y-4'!AK24*('History Y-4'!$S24&lt;&gt;"Y"))/(Settings!$B$10*('History Y-2'!$S24&lt;&gt;"Y")+Settings!$B$11*('History Y-3'!$S24&lt;&gt;"Y")+Settings!$B$12*('History Y-4'!$S24&lt;&gt;"Y")),'History Y-2'!AK24)</f>
        <v>0.0187864922934193</v>
      </c>
    </row>
    <row r="25" customFormat="false" ht="15" hidden="false" customHeight="false" outlineLevel="0" collapsed="false">
      <c r="A25" s="13" t="n">
        <v>20</v>
      </c>
      <c r="B25" s="14" t="str">
        <f aca="false">Calendar!D25</f>
        <v>P5</v>
      </c>
      <c r="C25" s="57" t="n">
        <f aca="false">IFERROR(N25/SUM($N$6:$N$57),0)</f>
        <v>0.018310230227466</v>
      </c>
      <c r="D25" s="21" t="n">
        <f aca="false">'History Y-2'!$I$58*(1+$L$2)*C25</f>
        <v>301380.401183295</v>
      </c>
      <c r="E25" s="29" t="n">
        <f aca="false">IFERROR((Settings!$B$10*'History Y-2'!U25*('History Y-2'!$S25&lt;&gt;"Y")+Settings!$B$11*'History Y-3'!U25*('History Y-3'!$S25&lt;&gt;"Y")+Settings!$B$12*'History Y-4'!U25*('History Y-4'!$S25&lt;&gt;"Y"))/(Settings!$B$10*('History Y-2'!$S25&lt;&gt;"Y")+Settings!$B$11*('History Y-3'!$S25&lt;&gt;"Y")+Settings!$B$12*('History Y-4'!$S25&lt;&gt;"Y")),'History Y-2'!U25)</f>
        <v>0.0208358692034569</v>
      </c>
      <c r="F25" s="23" t="n">
        <f aca="false">IFERROR((Settings!$B$10*'History Y-2'!V25*('History Y-2'!$S25&lt;&gt;"Y")+Settings!$B$11*'History Y-3'!V25*('History Y-3'!$S25&lt;&gt;"Y")+Settings!$B$12*'History Y-4'!V25*('History Y-4'!$S25&lt;&gt;"Y"))/(Settings!$B$10*('History Y-2'!$S25&lt;&gt;"Y")+Settings!$B$11*('History Y-3'!$S25&lt;&gt;"Y")+Settings!$B$12*('History Y-4'!$S25&lt;&gt;"Y")),'History Y-2'!V25)</f>
        <v>72.4145833780344</v>
      </c>
      <c r="G25" s="31" t="n">
        <f aca="false">IFERROR((Settings!$B$10*'History Y-2'!Y25*('History Y-2'!$S25&lt;&gt;"Y")+Settings!$B$11*'History Y-3'!Y25*('History Y-3'!$S25&lt;&gt;"Y")+Settings!$B$12*'History Y-4'!Y25*('History Y-4'!$S25&lt;&gt;"Y"))/(Settings!$B$10*('History Y-2'!$S25&lt;&gt;"Y")+Settings!$B$11*('History Y-3'!$S25&lt;&gt;"Y")+Settings!$B$12*('History Y-4'!$S25&lt;&gt;"Y")),'History Y-2'!Y25)</f>
        <v>0.268689182855701</v>
      </c>
      <c r="H25" s="49" t="n">
        <f aca="false">D25*E25*(1+$L$3)*F25*(1+$L$4)*(1-G25)</f>
        <v>332548.24703205</v>
      </c>
      <c r="I25" s="20" t="n">
        <f aca="false">'History Y-1'!AJ25</f>
        <v>427707.81</v>
      </c>
      <c r="J25" s="77" t="n">
        <f aca="false">IFERROR(H25/I25-1,0)</f>
        <v>-0.222487316675255</v>
      </c>
      <c r="K25" s="20" t="n">
        <f aca="false">'History Y-2'!AJ25*(1+$E$62)</f>
        <v>361913.504543954</v>
      </c>
      <c r="L25" s="77" t="n">
        <f aca="false">IFERROR(K25/I25-1,0)</f>
        <v>-0.153830030496861</v>
      </c>
      <c r="M25" s="14" t="str">
        <f aca="false">'History Y-1'!S25&amp;""</f>
        <v/>
      </c>
      <c r="N25" s="29" t="n">
        <f aca="false">IFERROR((Settings!$B$10*'History Y-2'!AK25*('History Y-2'!$S25&lt;&gt;"Y")+Settings!$B$11*'History Y-3'!AK25*('History Y-3'!$S25&lt;&gt;"Y")+Settings!$B$12*'History Y-4'!AK25*('History Y-4'!$S25&lt;&gt;"Y"))/(Settings!$B$10*('History Y-2'!$S25&lt;&gt;"Y")+Settings!$B$11*('History Y-3'!$S25&lt;&gt;"Y")+Settings!$B$12*('History Y-4'!$S25&lt;&gt;"Y")),'History Y-2'!AK25)</f>
        <v>0.0183402236035267</v>
      </c>
    </row>
    <row r="26" customFormat="false" ht="15" hidden="false" customHeight="false" outlineLevel="0" collapsed="false">
      <c r="A26" s="13" t="n">
        <v>21</v>
      </c>
      <c r="B26" s="14" t="str">
        <f aca="false">Calendar!D26</f>
        <v>P5</v>
      </c>
      <c r="C26" s="57" t="n">
        <f aca="false">IFERROR(N26/SUM($N$6:$N$57),0)</f>
        <v>0.0271527286160606</v>
      </c>
      <c r="D26" s="21" t="n">
        <f aca="false">'History Y-2'!$I$58*(1+$L$2)*C26</f>
        <v>446925.032720464</v>
      </c>
      <c r="E26" s="29" t="n">
        <f aca="false">IFERROR((Settings!$B$10*'History Y-2'!U26*('History Y-2'!$S26&lt;&gt;"Y")+Settings!$B$11*'History Y-3'!U26*('History Y-3'!$S26&lt;&gt;"Y")+Settings!$B$12*'History Y-4'!U26*('History Y-4'!$S26&lt;&gt;"Y"))/(Settings!$B$10*('History Y-2'!$S26&lt;&gt;"Y")+Settings!$B$11*('History Y-3'!$S26&lt;&gt;"Y")+Settings!$B$12*('History Y-4'!$S26&lt;&gt;"Y")),'History Y-2'!U26)</f>
        <v>0.0251215379752645</v>
      </c>
      <c r="F26" s="23" t="n">
        <f aca="false">IFERROR((Settings!$B$10*'History Y-2'!V26*('History Y-2'!$S26&lt;&gt;"Y")+Settings!$B$11*'History Y-3'!V26*('History Y-3'!$S26&lt;&gt;"Y")+Settings!$B$12*'History Y-4'!V26*('History Y-4'!$S26&lt;&gt;"Y"))/(Settings!$B$10*('History Y-2'!$S26&lt;&gt;"Y")+Settings!$B$11*('History Y-3'!$S26&lt;&gt;"Y")+Settings!$B$12*('History Y-4'!$S26&lt;&gt;"Y")),'History Y-2'!V26)</f>
        <v>65.31750668513</v>
      </c>
      <c r="G26" s="31" t="n">
        <f aca="false">IFERROR((Settings!$B$10*'History Y-2'!Y26*('History Y-2'!$S26&lt;&gt;"Y")+Settings!$B$11*'History Y-3'!Y26*('History Y-3'!$S26&lt;&gt;"Y")+Settings!$B$12*'History Y-4'!Y26*('History Y-4'!$S26&lt;&gt;"Y"))/(Settings!$B$10*('History Y-2'!$S26&lt;&gt;"Y")+Settings!$B$11*('History Y-3'!$S26&lt;&gt;"Y")+Settings!$B$12*('History Y-4'!$S26&lt;&gt;"Y")),'History Y-2'!Y26)</f>
        <v>0.226235582321501</v>
      </c>
      <c r="H26" s="49" t="n">
        <f aca="false">D26*E26*(1+$L$3)*F26*(1+$L$4)*(1-G26)</f>
        <v>567439.099160042</v>
      </c>
      <c r="I26" s="20" t="n">
        <f aca="false">'History Y-1'!AJ26</f>
        <v>673687.19</v>
      </c>
      <c r="J26" s="77" t="n">
        <f aca="false">IFERROR(H26/I26-1,0)</f>
        <v>-0.157711312337641</v>
      </c>
      <c r="K26" s="20" t="n">
        <f aca="false">'History Y-2'!AJ26*(1+$E$62)</f>
        <v>613821.338414754</v>
      </c>
      <c r="L26" s="77" t="n">
        <f aca="false">IFERROR(K26/I26-1,0)</f>
        <v>-0.0888629804364342</v>
      </c>
      <c r="M26" s="14" t="str">
        <f aca="false">'History Y-1'!S26&amp;""</f>
        <v/>
      </c>
      <c r="N26" s="29" t="n">
        <f aca="false">IFERROR((Settings!$B$10*'History Y-2'!AK26*('History Y-2'!$S26&lt;&gt;"Y")+Settings!$B$11*'History Y-3'!AK26*('History Y-3'!$S26&lt;&gt;"Y")+Settings!$B$12*'History Y-4'!AK26*('History Y-4'!$S26&lt;&gt;"Y"))/(Settings!$B$10*('History Y-2'!$S26&lt;&gt;"Y")+Settings!$B$11*('History Y-3'!$S26&lt;&gt;"Y")+Settings!$B$12*('History Y-4'!$S26&lt;&gt;"Y")),'History Y-2'!AK26)</f>
        <v>0.0271972065931444</v>
      </c>
    </row>
    <row r="27" customFormat="false" ht="15" hidden="false" customHeight="false" outlineLevel="0" collapsed="false">
      <c r="A27" s="13" t="n">
        <v>22</v>
      </c>
      <c r="B27" s="14" t="str">
        <f aca="false">Calendar!D27</f>
        <v>P6</v>
      </c>
      <c r="C27" s="57" t="n">
        <f aca="false">IFERROR(N27/SUM($N$6:$N$57),0)</f>
        <v>0.0246701553666195</v>
      </c>
      <c r="D27" s="21" t="n">
        <f aca="false">'History Y-2'!$I$58*(1+$L$2)*C27</f>
        <v>406062.688960244</v>
      </c>
      <c r="E27" s="29" t="n">
        <f aca="false">IFERROR((Settings!$B$10*'History Y-2'!U27*('History Y-2'!$S27&lt;&gt;"Y")+Settings!$B$11*'History Y-3'!U27*('History Y-3'!$S27&lt;&gt;"Y")+Settings!$B$12*'History Y-4'!U27*('History Y-4'!$S27&lt;&gt;"Y"))/(Settings!$B$10*('History Y-2'!$S27&lt;&gt;"Y")+Settings!$B$11*('History Y-3'!$S27&lt;&gt;"Y")+Settings!$B$12*('History Y-4'!$S27&lt;&gt;"Y")),'History Y-2'!U27)</f>
        <v>0.0254256217930505</v>
      </c>
      <c r="F27" s="23" t="n">
        <f aca="false">IFERROR((Settings!$B$10*'History Y-2'!V27*('History Y-2'!$S27&lt;&gt;"Y")+Settings!$B$11*'History Y-3'!V27*('History Y-3'!$S27&lt;&gt;"Y")+Settings!$B$12*'History Y-4'!V27*('History Y-4'!$S27&lt;&gt;"Y"))/(Settings!$B$10*('History Y-2'!$S27&lt;&gt;"Y")+Settings!$B$11*('History Y-3'!$S27&lt;&gt;"Y")+Settings!$B$12*('History Y-4'!$S27&lt;&gt;"Y")),'History Y-2'!V27)</f>
        <v>64.5570643145026</v>
      </c>
      <c r="G27" s="31" t="n">
        <f aca="false">IFERROR((Settings!$B$10*'History Y-2'!Y27*('History Y-2'!$S27&lt;&gt;"Y")+Settings!$B$11*'History Y-3'!Y27*('History Y-3'!$S27&lt;&gt;"Y")+Settings!$B$12*'History Y-4'!Y27*('History Y-4'!$S27&lt;&gt;"Y"))/(Settings!$B$10*('History Y-2'!$S27&lt;&gt;"Y")+Settings!$B$11*('History Y-3'!$S27&lt;&gt;"Y")+Settings!$B$12*('History Y-4'!$S27&lt;&gt;"Y")),'History Y-2'!Y27)</f>
        <v>0.233127039685775</v>
      </c>
      <c r="H27" s="49" t="n">
        <f aca="false">D27*E27*(1+$L$3)*F27*(1+$L$4)*(1-G27)</f>
        <v>511130.58222785</v>
      </c>
      <c r="I27" s="20" t="n">
        <f aca="false">'History Y-1'!AJ27</f>
        <v>535081.26</v>
      </c>
      <c r="J27" s="77" t="n">
        <f aca="false">IFERROR(H27/I27-1,0)</f>
        <v>-0.0447608233787702</v>
      </c>
      <c r="K27" s="20" t="n">
        <f aca="false">'History Y-2'!AJ27*(1+$E$62)</f>
        <v>590657.707695299</v>
      </c>
      <c r="L27" s="77" t="n">
        <f aca="false">IFERROR(K27/I27-1,0)</f>
        <v>0.103865434747798</v>
      </c>
      <c r="M27" s="14" t="str">
        <f aca="false">'History Y-1'!S27&amp;""</f>
        <v/>
      </c>
      <c r="N27" s="29" t="n">
        <f aca="false">IFERROR((Settings!$B$10*'History Y-2'!AK27*('History Y-2'!$S27&lt;&gt;"Y")+Settings!$B$11*'History Y-3'!AK27*('History Y-3'!$S27&lt;&gt;"Y")+Settings!$B$12*'History Y-4'!AK27*('History Y-4'!$S27&lt;&gt;"Y"))/(Settings!$B$10*('History Y-2'!$S27&lt;&gt;"Y")+Settings!$B$11*('History Y-3'!$S27&lt;&gt;"Y")+Settings!$B$12*('History Y-4'!$S27&lt;&gt;"Y")),'History Y-2'!AK27)</f>
        <v>0.0247105667234508</v>
      </c>
    </row>
    <row r="28" customFormat="false" ht="15" hidden="false" customHeight="false" outlineLevel="0" collapsed="false">
      <c r="A28" s="13" t="n">
        <v>23</v>
      </c>
      <c r="B28" s="14" t="str">
        <f aca="false">Calendar!D28</f>
        <v>P6</v>
      </c>
      <c r="C28" s="57" t="n">
        <f aca="false">IFERROR(N28/SUM($N$6:$N$57),0)</f>
        <v>0.0218517519949884</v>
      </c>
      <c r="D28" s="21" t="n">
        <f aca="false">'History Y-2'!$I$58*(1+$L$2)*C28</f>
        <v>359672.691222019</v>
      </c>
      <c r="E28" s="29" t="n">
        <f aca="false">IFERROR((Settings!$B$10*'History Y-2'!U28*('History Y-2'!$S28&lt;&gt;"Y")+Settings!$B$11*'History Y-3'!U28*('History Y-3'!$S28&lt;&gt;"Y")+Settings!$B$12*'History Y-4'!U28*('History Y-4'!$S28&lt;&gt;"Y"))/(Settings!$B$10*('History Y-2'!$S28&lt;&gt;"Y")+Settings!$B$11*('History Y-3'!$S28&lt;&gt;"Y")+Settings!$B$12*('History Y-4'!$S28&lt;&gt;"Y")),'History Y-2'!U28)</f>
        <v>0.0236123679647698</v>
      </c>
      <c r="F28" s="23" t="n">
        <f aca="false">IFERROR((Settings!$B$10*'History Y-2'!V28*('History Y-2'!$S28&lt;&gt;"Y")+Settings!$B$11*'History Y-3'!V28*('History Y-3'!$S28&lt;&gt;"Y")+Settings!$B$12*'History Y-4'!V28*('History Y-4'!$S28&lt;&gt;"Y"))/(Settings!$B$10*('History Y-2'!$S28&lt;&gt;"Y")+Settings!$B$11*('History Y-3'!$S28&lt;&gt;"Y")+Settings!$B$12*('History Y-4'!$S28&lt;&gt;"Y")),'History Y-2'!V28)</f>
        <v>66.288268827107</v>
      </c>
      <c r="G28" s="31" t="n">
        <f aca="false">IFERROR((Settings!$B$10*'History Y-2'!Y28*('History Y-2'!$S28&lt;&gt;"Y")+Settings!$B$11*'History Y-3'!Y28*('History Y-3'!$S28&lt;&gt;"Y")+Settings!$B$12*'History Y-4'!Y28*('History Y-4'!$S28&lt;&gt;"Y"))/(Settings!$B$10*('History Y-2'!$S28&lt;&gt;"Y")+Settings!$B$11*('History Y-3'!$S28&lt;&gt;"Y")+Settings!$B$12*('History Y-4'!$S28&lt;&gt;"Y")),'History Y-2'!Y28)</f>
        <v>0.236856330980466</v>
      </c>
      <c r="H28" s="49" t="n">
        <f aca="false">D28*E28*(1+$L$3)*F28*(1+$L$4)*(1-G28)</f>
        <v>429625.439937676</v>
      </c>
      <c r="I28" s="20" t="n">
        <f aca="false">'History Y-1'!AJ28</f>
        <v>464612.13</v>
      </c>
      <c r="J28" s="77" t="n">
        <f aca="false">IFERROR(H28/I28-1,0)</f>
        <v>-0.0753030061060276</v>
      </c>
      <c r="K28" s="20" t="n">
        <f aca="false">'History Y-2'!AJ28*(1+$E$62)</f>
        <v>472864.955772474</v>
      </c>
      <c r="L28" s="77" t="n">
        <f aca="false">IFERROR(K28/I28-1,0)</f>
        <v>0.0177628289052081</v>
      </c>
      <c r="M28" s="14" t="str">
        <f aca="false">'History Y-1'!S28&amp;""</f>
        <v/>
      </c>
      <c r="N28" s="29" t="n">
        <f aca="false">IFERROR((Settings!$B$10*'History Y-2'!AK28*('History Y-2'!$S28&lt;&gt;"Y")+Settings!$B$11*'History Y-3'!AK28*('History Y-3'!$S28&lt;&gt;"Y")+Settings!$B$12*'History Y-4'!AK28*('History Y-4'!$S28&lt;&gt;"Y"))/(Settings!$B$10*('History Y-2'!$S28&lt;&gt;"Y")+Settings!$B$11*('History Y-3'!$S28&lt;&gt;"Y")+Settings!$B$12*('History Y-4'!$S28&lt;&gt;"Y")),'History Y-2'!AK28)</f>
        <v>0.0218875466194704</v>
      </c>
    </row>
    <row r="29" customFormat="false" ht="15" hidden="false" customHeight="false" outlineLevel="0" collapsed="false">
      <c r="A29" s="13" t="n">
        <v>24</v>
      </c>
      <c r="B29" s="14" t="str">
        <f aca="false">Calendar!D29</f>
        <v>P6</v>
      </c>
      <c r="C29" s="57" t="n">
        <f aca="false">IFERROR(N29/SUM($N$6:$N$57),0)</f>
        <v>0.017857585601071</v>
      </c>
      <c r="D29" s="21" t="n">
        <f aca="false">'History Y-2'!$I$58*(1+$L$2)*C29</f>
        <v>293930.018670258</v>
      </c>
      <c r="E29" s="29" t="n">
        <f aca="false">IFERROR((Settings!$B$10*'History Y-2'!U29*('History Y-2'!$S29&lt;&gt;"Y")+Settings!$B$11*'History Y-3'!U29*('History Y-3'!$S29&lt;&gt;"Y")+Settings!$B$12*'History Y-4'!U29*('History Y-4'!$S29&lt;&gt;"Y"))/(Settings!$B$10*('History Y-2'!$S29&lt;&gt;"Y")+Settings!$B$11*('History Y-3'!$S29&lt;&gt;"Y")+Settings!$B$12*('History Y-4'!$S29&lt;&gt;"Y")),'History Y-2'!U29)</f>
        <v>0.0213178624361527</v>
      </c>
      <c r="F29" s="23" t="n">
        <f aca="false">IFERROR((Settings!$B$10*'History Y-2'!V29*('History Y-2'!$S29&lt;&gt;"Y")+Settings!$B$11*'History Y-3'!V29*('History Y-3'!$S29&lt;&gt;"Y")+Settings!$B$12*'History Y-4'!V29*('History Y-4'!$S29&lt;&gt;"Y"))/(Settings!$B$10*('History Y-2'!$S29&lt;&gt;"Y")+Settings!$B$11*('History Y-3'!$S29&lt;&gt;"Y")+Settings!$B$12*('History Y-4'!$S29&lt;&gt;"Y")),'History Y-2'!V29)</f>
        <v>73.8070972905917</v>
      </c>
      <c r="G29" s="31" t="n">
        <f aca="false">IFERROR((Settings!$B$10*'History Y-2'!Y29*('History Y-2'!$S29&lt;&gt;"Y")+Settings!$B$11*'History Y-3'!Y29*('History Y-3'!$S29&lt;&gt;"Y")+Settings!$B$12*'History Y-4'!Y29*('History Y-4'!$S29&lt;&gt;"Y"))/(Settings!$B$10*('History Y-2'!$S29&lt;&gt;"Y")+Settings!$B$11*('History Y-3'!$S29&lt;&gt;"Y")+Settings!$B$12*('History Y-4'!$S29&lt;&gt;"Y")),'History Y-2'!Y29)</f>
        <v>0.263240338952854</v>
      </c>
      <c r="H29" s="49" t="n">
        <f aca="false">D29*E29*(1+$L$3)*F29*(1+$L$4)*(1-G29)</f>
        <v>340730.933136782</v>
      </c>
      <c r="I29" s="20" t="n">
        <f aca="false">'History Y-1'!AJ29</f>
        <v>350706.24</v>
      </c>
      <c r="J29" s="77" t="n">
        <f aca="false">IFERROR(H29/I29-1,0)</f>
        <v>-0.0284434826800289</v>
      </c>
      <c r="K29" s="20" t="n">
        <f aca="false">'History Y-2'!AJ29*(1+$E$62)</f>
        <v>383790.624596468</v>
      </c>
      <c r="L29" s="77" t="n">
        <f aca="false">IFERROR(K29/I29-1,0)</f>
        <v>0.0943364583318154</v>
      </c>
      <c r="M29" s="14" t="str">
        <f aca="false">'History Y-1'!S29&amp;""</f>
        <v/>
      </c>
      <c r="N29" s="29" t="n">
        <f aca="false">IFERROR((Settings!$B$10*'History Y-2'!AK29*('History Y-2'!$S29&lt;&gt;"Y")+Settings!$B$11*'History Y-3'!AK29*('History Y-3'!$S29&lt;&gt;"Y")+Settings!$B$12*'History Y-4'!AK29*('History Y-4'!$S29&lt;&gt;"Y"))/(Settings!$B$10*('History Y-2'!$S29&lt;&gt;"Y")+Settings!$B$11*('History Y-3'!$S29&lt;&gt;"Y")+Settings!$B$12*('History Y-4'!$S29&lt;&gt;"Y")),'History Y-2'!AK29)</f>
        <v>0.0178868375151002</v>
      </c>
    </row>
    <row r="30" customFormat="false" ht="15" hidden="false" customHeight="false" outlineLevel="0" collapsed="false">
      <c r="A30" s="13" t="n">
        <v>25</v>
      </c>
      <c r="B30" s="14" t="str">
        <f aca="false">Calendar!D30</f>
        <v>P6</v>
      </c>
      <c r="C30" s="57" t="n">
        <f aca="false">IFERROR(N30/SUM($N$6:$N$57),0)</f>
        <v>0.0168339562350959</v>
      </c>
      <c r="D30" s="21" t="n">
        <f aca="false">'History Y-2'!$I$58*(1+$L$2)*C30</f>
        <v>277081.414084292</v>
      </c>
      <c r="E30" s="29" t="n">
        <f aca="false">IFERROR((Settings!$B$10*'History Y-2'!U30*('History Y-2'!$S30&lt;&gt;"Y")+Settings!$B$11*'History Y-3'!U30*('History Y-3'!$S30&lt;&gt;"Y")+Settings!$B$12*'History Y-4'!U30*('History Y-4'!$S30&lt;&gt;"Y"))/(Settings!$B$10*('History Y-2'!$S30&lt;&gt;"Y")+Settings!$B$11*('History Y-3'!$S30&lt;&gt;"Y")+Settings!$B$12*('History Y-4'!$S30&lt;&gt;"Y")),'History Y-2'!U30)</f>
        <v>0.0212710163747165</v>
      </c>
      <c r="F30" s="23" t="n">
        <f aca="false">IFERROR((Settings!$B$10*'History Y-2'!V30*('History Y-2'!$S30&lt;&gt;"Y")+Settings!$B$11*'History Y-3'!V30*('History Y-3'!$S30&lt;&gt;"Y")+Settings!$B$12*'History Y-4'!V30*('History Y-4'!$S30&lt;&gt;"Y"))/(Settings!$B$10*('History Y-2'!$S30&lt;&gt;"Y")+Settings!$B$11*('History Y-3'!$S30&lt;&gt;"Y")+Settings!$B$12*('History Y-4'!$S30&lt;&gt;"Y")),'History Y-2'!V30)</f>
        <v>71.6842234079146</v>
      </c>
      <c r="G30" s="31" t="n">
        <f aca="false">IFERROR((Settings!$B$10*'History Y-2'!Y30*('History Y-2'!$S30&lt;&gt;"Y")+Settings!$B$11*'History Y-3'!Y30*('History Y-3'!$S30&lt;&gt;"Y")+Settings!$B$12*'History Y-4'!Y30*('History Y-4'!$S30&lt;&gt;"Y"))/(Settings!$B$10*('History Y-2'!$S30&lt;&gt;"Y")+Settings!$B$11*('History Y-3'!$S30&lt;&gt;"Y")+Settings!$B$12*('History Y-4'!$S30&lt;&gt;"Y")),'History Y-2'!Y30)</f>
        <v>0.265677099269975</v>
      </c>
      <c r="H30" s="49" t="n">
        <f aca="false">D30*E30*(1+$L$3)*F30*(1+$L$4)*(1-G30)</f>
        <v>310246.073960825</v>
      </c>
      <c r="I30" s="20" t="n">
        <f aca="false">'History Y-1'!AJ30</f>
        <v>326824.79</v>
      </c>
      <c r="J30" s="77" t="n">
        <f aca="false">IFERROR(H30/I30-1,0)</f>
        <v>-0.0507266172776387</v>
      </c>
      <c r="K30" s="20" t="n">
        <f aca="false">'History Y-2'!AJ30*(1+$E$62)</f>
        <v>343083.261910183</v>
      </c>
      <c r="L30" s="77" t="n">
        <f aca="false">IFERROR(K30/I30-1,0)</f>
        <v>0.049746752411844</v>
      </c>
      <c r="M30" s="14" t="str">
        <f aca="false">'History Y-1'!S30&amp;""</f>
        <v/>
      </c>
      <c r="N30" s="29" t="n">
        <f aca="false">IFERROR((Settings!$B$10*'History Y-2'!AK30*('History Y-2'!$S30&lt;&gt;"Y")+Settings!$B$11*'History Y-3'!AK30*('History Y-3'!$S30&lt;&gt;"Y")+Settings!$B$12*'History Y-4'!AK30*('History Y-4'!$S30&lt;&gt;"Y"))/(Settings!$B$10*('History Y-2'!$S30&lt;&gt;"Y")+Settings!$B$11*('History Y-3'!$S30&lt;&gt;"Y")+Settings!$B$12*('History Y-4'!$S30&lt;&gt;"Y")),'History Y-2'!AK30)</f>
        <v>0.0168615313760787</v>
      </c>
    </row>
    <row r="31" customFormat="false" ht="15" hidden="false" customHeight="false" outlineLevel="0" collapsed="false">
      <c r="A31" s="13" t="n">
        <v>26</v>
      </c>
      <c r="B31" s="14" t="str">
        <f aca="false">Calendar!D31</f>
        <v>P6</v>
      </c>
      <c r="C31" s="57" t="n">
        <f aca="false">IFERROR(N31/SUM($N$6:$N$57),0)</f>
        <v>0.0167012675114857</v>
      </c>
      <c r="D31" s="21" t="n">
        <f aca="false">'History Y-2'!$I$58*(1+$L$2)*C31</f>
        <v>274897.401089515</v>
      </c>
      <c r="E31" s="29" t="n">
        <f aca="false">IFERROR((Settings!$B$10*'History Y-2'!U31*('History Y-2'!$S31&lt;&gt;"Y")+Settings!$B$11*'History Y-3'!U31*('History Y-3'!$S31&lt;&gt;"Y")+Settings!$B$12*'History Y-4'!U31*('History Y-4'!$S31&lt;&gt;"Y"))/(Settings!$B$10*('History Y-2'!$S31&lt;&gt;"Y")+Settings!$B$11*('History Y-3'!$S31&lt;&gt;"Y")+Settings!$B$12*('History Y-4'!$S31&lt;&gt;"Y")),'History Y-2'!U31)</f>
        <v>0.0210297975405256</v>
      </c>
      <c r="F31" s="23" t="n">
        <f aca="false">IFERROR((Settings!$B$10*'History Y-2'!V31*('History Y-2'!$S31&lt;&gt;"Y")+Settings!$B$11*'History Y-3'!V31*('History Y-3'!$S31&lt;&gt;"Y")+Settings!$B$12*'History Y-4'!V31*('History Y-4'!$S31&lt;&gt;"Y"))/(Settings!$B$10*('History Y-2'!$S31&lt;&gt;"Y")+Settings!$B$11*('History Y-3'!$S31&lt;&gt;"Y")+Settings!$B$12*('History Y-4'!$S31&lt;&gt;"Y")),'History Y-2'!V31)</f>
        <v>72.55750635429</v>
      </c>
      <c r="G31" s="31" t="n">
        <f aca="false">IFERROR((Settings!$B$10*'History Y-2'!Y31*('History Y-2'!$S31&lt;&gt;"Y")+Settings!$B$11*'History Y-3'!Y31*('History Y-3'!$S31&lt;&gt;"Y")+Settings!$B$12*'History Y-4'!Y31*('History Y-4'!$S31&lt;&gt;"Y"))/(Settings!$B$10*('History Y-2'!$S31&lt;&gt;"Y")+Settings!$B$11*('History Y-3'!$S31&lt;&gt;"Y")+Settings!$B$12*('History Y-4'!$S31&lt;&gt;"Y")),'History Y-2'!Y31)</f>
        <v>0.259172936877184</v>
      </c>
      <c r="H31" s="49" t="n">
        <f aca="false">D31*E31*(1+$L$3)*F31*(1+$L$4)*(1-G31)</f>
        <v>310745.546594857</v>
      </c>
      <c r="I31" s="20" t="n">
        <f aca="false">'History Y-1'!AJ31</f>
        <v>417371.18</v>
      </c>
      <c r="J31" s="77" t="n">
        <f aca="false">IFERROR(H31/I31-1,0)</f>
        <v>-0.255469564058407</v>
      </c>
      <c r="K31" s="20" t="n">
        <f aca="false">'History Y-2'!AJ31*(1+$E$62)</f>
        <v>342120.45206504</v>
      </c>
      <c r="L31" s="77" t="n">
        <f aca="false">IFERROR(K31/I31-1,0)</f>
        <v>-0.180296895283857</v>
      </c>
      <c r="M31" s="14" t="str">
        <f aca="false">'History Y-1'!S31&amp;""</f>
        <v>Y</v>
      </c>
      <c r="N31" s="29" t="n">
        <f aca="false">IFERROR((Settings!$B$10*'History Y-2'!AK31*('History Y-2'!$S31&lt;&gt;"Y")+Settings!$B$11*'History Y-3'!AK31*('History Y-3'!$S31&lt;&gt;"Y")+Settings!$B$12*'History Y-4'!AK31*('History Y-4'!$S31&lt;&gt;"Y"))/(Settings!$B$10*('History Y-2'!$S31&lt;&gt;"Y")+Settings!$B$11*('History Y-3'!$S31&lt;&gt;"Y")+Settings!$B$12*('History Y-4'!$S31&lt;&gt;"Y")),'History Y-2'!AK31)</f>
        <v>0.0167286252995058</v>
      </c>
    </row>
    <row r="32" customFormat="false" ht="15" hidden="false" customHeight="false" outlineLevel="0" collapsed="false">
      <c r="A32" s="13" t="n">
        <v>27</v>
      </c>
      <c r="B32" s="14" t="str">
        <f aca="false">Calendar!D32</f>
        <v>P7</v>
      </c>
      <c r="C32" s="57" t="n">
        <f aca="false">IFERROR(N32/SUM($N$6:$N$57),0)</f>
        <v>0.0162733377697987</v>
      </c>
      <c r="D32" s="21" t="n">
        <f aca="false">'History Y-2'!$I$58*(1+$L$2)*C32</f>
        <v>267853.817495769</v>
      </c>
      <c r="E32" s="29" t="n">
        <f aca="false">IFERROR((Settings!$B$10*'History Y-2'!U32*('History Y-2'!$S32&lt;&gt;"Y")+Settings!$B$11*'History Y-3'!U32*('History Y-3'!$S32&lt;&gt;"Y")+Settings!$B$12*'History Y-4'!U32*('History Y-4'!$S32&lt;&gt;"Y"))/(Settings!$B$10*('History Y-2'!$S32&lt;&gt;"Y")+Settings!$B$11*('History Y-3'!$S32&lt;&gt;"Y")+Settings!$B$12*('History Y-4'!$S32&lt;&gt;"Y")),'History Y-2'!U32)</f>
        <v>0.0204583320093184</v>
      </c>
      <c r="F32" s="23" t="n">
        <f aca="false">IFERROR((Settings!$B$10*'History Y-2'!V32*('History Y-2'!$S32&lt;&gt;"Y")+Settings!$B$11*'History Y-3'!V32*('History Y-3'!$S32&lt;&gt;"Y")+Settings!$B$12*'History Y-4'!V32*('History Y-4'!$S32&lt;&gt;"Y"))/(Settings!$B$10*('History Y-2'!$S32&lt;&gt;"Y")+Settings!$B$11*('History Y-3'!$S32&lt;&gt;"Y")+Settings!$B$12*('History Y-4'!$S32&lt;&gt;"Y")),'History Y-2'!V32)</f>
        <v>73.1281884510014</v>
      </c>
      <c r="G32" s="31" t="n">
        <f aca="false">IFERROR((Settings!$B$10*'History Y-2'!Y32*('History Y-2'!$S32&lt;&gt;"Y")+Settings!$B$11*'History Y-3'!Y32*('History Y-3'!$S32&lt;&gt;"Y")+Settings!$B$12*'History Y-4'!Y32*('History Y-4'!$S32&lt;&gt;"Y"))/(Settings!$B$10*('History Y-2'!$S32&lt;&gt;"Y")+Settings!$B$11*('History Y-3'!$S32&lt;&gt;"Y")+Settings!$B$12*('History Y-4'!$S32&lt;&gt;"Y")),'History Y-2'!Y32)</f>
        <v>0.266786646742026</v>
      </c>
      <c r="H32" s="49" t="n">
        <f aca="false">D32*E32*(1+$L$3)*F32*(1+$L$4)*(1-G32)</f>
        <v>293821.278079063</v>
      </c>
      <c r="I32" s="20" t="n">
        <f aca="false">'History Y-1'!AJ32</f>
        <v>310004.72</v>
      </c>
      <c r="J32" s="77" t="n">
        <f aca="false">IFERROR(H32/I32-1,0)</f>
        <v>-0.052203856512046</v>
      </c>
      <c r="K32" s="20" t="n">
        <f aca="false">'History Y-2'!AJ32*(1+$E$62)</f>
        <v>320257.408374612</v>
      </c>
      <c r="L32" s="77" t="n">
        <f aca="false">IFERROR(K32/I32-1,0)</f>
        <v>0.0330726847469021</v>
      </c>
      <c r="M32" s="14" t="str">
        <f aca="false">'History Y-1'!S32&amp;""</f>
        <v/>
      </c>
      <c r="N32" s="29" t="n">
        <f aca="false">IFERROR((Settings!$B$10*'History Y-2'!AK32*('History Y-2'!$S32&lt;&gt;"Y")+Settings!$B$11*'History Y-3'!AK32*('History Y-3'!$S32&lt;&gt;"Y")+Settings!$B$12*'History Y-4'!AK32*('History Y-4'!$S32&lt;&gt;"Y"))/(Settings!$B$10*('History Y-2'!$S32&lt;&gt;"Y")+Settings!$B$11*('History Y-3'!$S32&lt;&gt;"Y")+Settings!$B$12*('History Y-4'!$S32&lt;&gt;"Y")),'History Y-2'!AK32)</f>
        <v>0.0162999945804138</v>
      </c>
    </row>
    <row r="33" customFormat="false" ht="15" hidden="false" customHeight="false" outlineLevel="0" collapsed="false">
      <c r="A33" s="13" t="n">
        <v>28</v>
      </c>
      <c r="B33" s="14" t="str">
        <f aca="false">Calendar!D33</f>
        <v>P7</v>
      </c>
      <c r="C33" s="57" t="n">
        <f aca="false">IFERROR(N33/SUM($N$6:$N$57),0)</f>
        <v>0.016684273125078</v>
      </c>
      <c r="D33" s="21" t="n">
        <f aca="false">'History Y-2'!$I$58*(1+$L$2)*C33</f>
        <v>274617.679047259</v>
      </c>
      <c r="E33" s="29" t="n">
        <f aca="false">IFERROR((Settings!$B$10*'History Y-2'!U33*('History Y-2'!$S33&lt;&gt;"Y")+Settings!$B$11*'History Y-3'!U33*('History Y-3'!$S33&lt;&gt;"Y")+Settings!$B$12*'History Y-4'!U33*('History Y-4'!$S33&lt;&gt;"Y"))/(Settings!$B$10*('History Y-2'!$S33&lt;&gt;"Y")+Settings!$B$11*('History Y-3'!$S33&lt;&gt;"Y")+Settings!$B$12*('History Y-4'!$S33&lt;&gt;"Y")),'History Y-2'!U33)</f>
        <v>0.0213282958030512</v>
      </c>
      <c r="F33" s="23" t="n">
        <f aca="false">IFERROR((Settings!$B$10*'History Y-2'!V33*('History Y-2'!$S33&lt;&gt;"Y")+Settings!$B$11*'History Y-3'!V33*('History Y-3'!$S33&lt;&gt;"Y")+Settings!$B$12*'History Y-4'!V33*('History Y-4'!$S33&lt;&gt;"Y"))/(Settings!$B$10*('History Y-2'!$S33&lt;&gt;"Y")+Settings!$B$11*('History Y-3'!$S33&lt;&gt;"Y")+Settings!$B$12*('History Y-4'!$S33&lt;&gt;"Y")),'History Y-2'!V33)</f>
        <v>72.6830544075455</v>
      </c>
      <c r="G33" s="31" t="n">
        <f aca="false">IFERROR((Settings!$B$10*'History Y-2'!Y33*('History Y-2'!$S33&lt;&gt;"Y")+Settings!$B$11*'History Y-3'!Y33*('History Y-3'!$S33&lt;&gt;"Y")+Settings!$B$12*'History Y-4'!Y33*('History Y-4'!$S33&lt;&gt;"Y"))/(Settings!$B$10*('History Y-2'!$S33&lt;&gt;"Y")+Settings!$B$11*('History Y-3'!$S33&lt;&gt;"Y")+Settings!$B$12*('History Y-4'!$S33&lt;&gt;"Y")),'History Y-2'!Y33)</f>
        <v>0.254159704604751</v>
      </c>
      <c r="H33" s="49" t="n">
        <f aca="false">D33*E33*(1+$L$3)*F33*(1+$L$4)*(1-G33)</f>
        <v>317514.571279457</v>
      </c>
      <c r="I33" s="20" t="n">
        <f aca="false">'History Y-1'!AJ33</f>
        <v>352564.56</v>
      </c>
      <c r="J33" s="77" t="n">
        <f aca="false">IFERROR(H33/I33-1,0)</f>
        <v>-0.0994143844762587</v>
      </c>
      <c r="K33" s="20" t="n">
        <f aca="false">'History Y-2'!AJ33*(1+$E$62)</f>
        <v>364766.587756924</v>
      </c>
      <c r="L33" s="77" t="n">
        <f aca="false">IFERROR(K33/I33-1,0)</f>
        <v>0.0346093429155889</v>
      </c>
      <c r="M33" s="14" t="str">
        <f aca="false">'History Y-1'!S33&amp;""</f>
        <v/>
      </c>
      <c r="N33" s="29" t="n">
        <f aca="false">IFERROR((Settings!$B$10*'History Y-2'!AK33*('History Y-2'!$S33&lt;&gt;"Y")+Settings!$B$11*'History Y-3'!AK33*('History Y-3'!$S33&lt;&gt;"Y")+Settings!$B$12*'History Y-4'!AK33*('History Y-4'!$S33&lt;&gt;"Y"))/(Settings!$B$10*('History Y-2'!$S33&lt;&gt;"Y")+Settings!$B$11*('History Y-3'!$S33&lt;&gt;"Y")+Settings!$B$12*('History Y-4'!$S33&lt;&gt;"Y")),'History Y-2'!AK33)</f>
        <v>0.0167116030751619</v>
      </c>
    </row>
    <row r="34" customFormat="false" ht="15" hidden="false" customHeight="false" outlineLevel="0" collapsed="false">
      <c r="A34" s="13" t="n">
        <v>29</v>
      </c>
      <c r="B34" s="14" t="str">
        <f aca="false">Calendar!D34</f>
        <v>P7</v>
      </c>
      <c r="C34" s="57" t="n">
        <f aca="false">IFERROR(N34/SUM($N$6:$N$57),0)</f>
        <v>0.0165233705656031</v>
      </c>
      <c r="D34" s="21" t="n">
        <f aca="false">'History Y-2'!$I$58*(1+$L$2)*C34</f>
        <v>271969.275541483</v>
      </c>
      <c r="E34" s="29" t="n">
        <f aca="false">IFERROR((Settings!$B$10*'History Y-2'!U34*('History Y-2'!$S34&lt;&gt;"Y")+Settings!$B$11*'History Y-3'!U34*('History Y-3'!$S34&lt;&gt;"Y")+Settings!$B$12*'History Y-4'!U34*('History Y-4'!$S34&lt;&gt;"Y"))/(Settings!$B$10*('History Y-2'!$S34&lt;&gt;"Y")+Settings!$B$11*('History Y-3'!$S34&lt;&gt;"Y")+Settings!$B$12*('History Y-4'!$S34&lt;&gt;"Y")),'History Y-2'!U34)</f>
        <v>0.021161595006154</v>
      </c>
      <c r="F34" s="23" t="n">
        <f aca="false">IFERROR((Settings!$B$10*'History Y-2'!V34*('History Y-2'!$S34&lt;&gt;"Y")+Settings!$B$11*'History Y-3'!V34*('History Y-3'!$S34&lt;&gt;"Y")+Settings!$B$12*'History Y-4'!V34*('History Y-4'!$S34&lt;&gt;"Y"))/(Settings!$B$10*('History Y-2'!$S34&lt;&gt;"Y")+Settings!$B$11*('History Y-3'!$S34&lt;&gt;"Y")+Settings!$B$12*('History Y-4'!$S34&lt;&gt;"Y")),'History Y-2'!V34)</f>
        <v>71.9324371149372</v>
      </c>
      <c r="G34" s="31" t="n">
        <f aca="false">IFERROR((Settings!$B$10*'History Y-2'!Y34*('History Y-2'!$S34&lt;&gt;"Y")+Settings!$B$11*'History Y-3'!Y34*('History Y-3'!$S34&lt;&gt;"Y")+Settings!$B$12*'History Y-4'!Y34*('History Y-4'!$S34&lt;&gt;"Y"))/(Settings!$B$10*('History Y-2'!$S34&lt;&gt;"Y")+Settings!$B$11*('History Y-3'!$S34&lt;&gt;"Y")+Settings!$B$12*('History Y-4'!$S34&lt;&gt;"Y")),'History Y-2'!Y34)</f>
        <v>0.257132626002927</v>
      </c>
      <c r="H34" s="49" t="n">
        <f aca="false">D34*E34*(1+$L$3)*F34*(1+$L$4)*(1-G34)</f>
        <v>307541.906747779</v>
      </c>
      <c r="I34" s="20" t="n">
        <f aca="false">'History Y-1'!AJ34</f>
        <v>333499.17</v>
      </c>
      <c r="J34" s="77" t="n">
        <f aca="false">IFERROR(H34/I34-1,0)</f>
        <v>-0.0778330670274865</v>
      </c>
      <c r="K34" s="20" t="n">
        <f aca="false">'History Y-2'!AJ34*(1+$E$62)</f>
        <v>330767.699524922</v>
      </c>
      <c r="L34" s="77" t="n">
        <f aca="false">IFERROR(K34/I34-1,0)</f>
        <v>-0.00819033665084801</v>
      </c>
      <c r="M34" s="14" t="str">
        <f aca="false">'History Y-1'!S34&amp;""</f>
        <v/>
      </c>
      <c r="N34" s="29" t="n">
        <f aca="false">IFERROR((Settings!$B$10*'History Y-2'!AK34*('History Y-2'!$S34&lt;&gt;"Y")+Settings!$B$11*'History Y-3'!AK34*('History Y-3'!$S34&lt;&gt;"Y")+Settings!$B$12*'History Y-4'!AK34*('History Y-4'!$S34&lt;&gt;"Y"))/(Settings!$B$10*('History Y-2'!$S34&lt;&gt;"Y")+Settings!$B$11*('History Y-3'!$S34&lt;&gt;"Y")+Settings!$B$12*('History Y-4'!$S34&lt;&gt;"Y")),'History Y-2'!AK34)</f>
        <v>0.0165504369465829</v>
      </c>
    </row>
    <row r="35" customFormat="false" ht="15" hidden="false" customHeight="false" outlineLevel="0" collapsed="false">
      <c r="A35" s="13" t="n">
        <v>30</v>
      </c>
      <c r="B35" s="14" t="str">
        <f aca="false">Calendar!D35</f>
        <v>P7</v>
      </c>
      <c r="C35" s="57" t="n">
        <f aca="false">IFERROR(N35/SUM($N$6:$N$57),0)</f>
        <v>0.0166198335958416</v>
      </c>
      <c r="D35" s="21" t="n">
        <f aca="false">'History Y-2'!$I$58*(1+$L$2)*C35</f>
        <v>273557.025470975</v>
      </c>
      <c r="E35" s="29" t="n">
        <f aca="false">IFERROR((Settings!$B$10*'History Y-2'!U35*('History Y-2'!$S35&lt;&gt;"Y")+Settings!$B$11*'History Y-3'!U35*('History Y-3'!$S35&lt;&gt;"Y")+Settings!$B$12*'History Y-4'!U35*('History Y-4'!$S35&lt;&gt;"Y"))/(Settings!$B$10*('History Y-2'!$S35&lt;&gt;"Y")+Settings!$B$11*('History Y-3'!$S35&lt;&gt;"Y")+Settings!$B$12*('History Y-4'!$S35&lt;&gt;"Y")),'History Y-2'!U35)</f>
        <v>0.0205364483255215</v>
      </c>
      <c r="F35" s="23" t="n">
        <f aca="false">IFERROR((Settings!$B$10*'History Y-2'!V35*('History Y-2'!$S35&lt;&gt;"Y")+Settings!$B$11*'History Y-3'!V35*('History Y-3'!$S35&lt;&gt;"Y")+Settings!$B$12*'History Y-4'!V35*('History Y-4'!$S35&lt;&gt;"Y"))/(Settings!$B$10*('History Y-2'!$S35&lt;&gt;"Y")+Settings!$B$11*('History Y-3'!$S35&lt;&gt;"Y")+Settings!$B$12*('History Y-4'!$S35&lt;&gt;"Y")),'History Y-2'!V35)</f>
        <v>70.1437607103748</v>
      </c>
      <c r="G35" s="31" t="n">
        <f aca="false">IFERROR((Settings!$B$10*'History Y-2'!Y35*('History Y-2'!$S35&lt;&gt;"Y")+Settings!$B$11*'History Y-3'!Y35*('History Y-3'!$S35&lt;&gt;"Y")+Settings!$B$12*'History Y-4'!Y35*('History Y-4'!$S35&lt;&gt;"Y"))/(Settings!$B$10*('History Y-2'!$S35&lt;&gt;"Y")+Settings!$B$11*('History Y-3'!$S35&lt;&gt;"Y")+Settings!$B$12*('History Y-4'!$S35&lt;&gt;"Y")),'History Y-2'!Y35)</f>
        <v>0.266078635587054</v>
      </c>
      <c r="H35" s="49" t="n">
        <f aca="false">D35*E35*(1+$L$3)*F35*(1+$L$4)*(1-G35)</f>
        <v>289208.988314664</v>
      </c>
      <c r="I35" s="20" t="n">
        <f aca="false">'History Y-1'!AJ35</f>
        <v>329782.95</v>
      </c>
      <c r="J35" s="77" t="n">
        <f aca="false">IFERROR(H35/I35-1,0)</f>
        <v>-0.123032320759263</v>
      </c>
      <c r="K35" s="20" t="n">
        <f aca="false">'History Y-2'!AJ35*(1+$E$62)</f>
        <v>163406.859121426</v>
      </c>
      <c r="L35" s="77" t="n">
        <f aca="false">IFERROR(K35/I35-1,0)</f>
        <v>-0.504501796950308</v>
      </c>
      <c r="M35" s="14" t="str">
        <f aca="false">'History Y-1'!S35&amp;""</f>
        <v/>
      </c>
      <c r="N35" s="29" t="n">
        <f aca="false">IFERROR((Settings!$B$10*'History Y-2'!AK35*('History Y-2'!$S35&lt;&gt;"Y")+Settings!$B$11*'History Y-3'!AK35*('History Y-3'!$S35&lt;&gt;"Y")+Settings!$B$12*'History Y-4'!AK35*('History Y-4'!$S35&lt;&gt;"Y"))/(Settings!$B$10*('History Y-2'!$S35&lt;&gt;"Y")+Settings!$B$11*('History Y-3'!$S35&lt;&gt;"Y")+Settings!$B$12*('History Y-4'!$S35&lt;&gt;"Y")),'History Y-2'!AK35)</f>
        <v>0.0166470579896867</v>
      </c>
    </row>
    <row r="36" customFormat="false" ht="15" hidden="false" customHeight="false" outlineLevel="0" collapsed="false">
      <c r="A36" s="13" t="n">
        <v>31</v>
      </c>
      <c r="B36" s="14" t="str">
        <f aca="false">Calendar!D36</f>
        <v>P8</v>
      </c>
      <c r="C36" s="57" t="n">
        <f aca="false">IFERROR(N36/SUM($N$6:$N$57),0)</f>
        <v>0.0162091769797725</v>
      </c>
      <c r="D36" s="21" t="n">
        <f aca="false">'History Y-2'!$I$58*(1+$L$2)*C36</f>
        <v>266797.751875725</v>
      </c>
      <c r="E36" s="29" t="n">
        <f aca="false">IFERROR((Settings!$B$10*'History Y-2'!U36*('History Y-2'!$S36&lt;&gt;"Y")+Settings!$B$11*'History Y-3'!U36*('History Y-3'!$S36&lt;&gt;"Y")+Settings!$B$12*'History Y-4'!U36*('History Y-4'!$S36&lt;&gt;"Y"))/(Settings!$B$10*('History Y-2'!$S36&lt;&gt;"Y")+Settings!$B$11*('History Y-3'!$S36&lt;&gt;"Y")+Settings!$B$12*('History Y-4'!$S36&lt;&gt;"Y")),'History Y-2'!U36)</f>
        <v>0.020938977493465</v>
      </c>
      <c r="F36" s="23" t="n">
        <f aca="false">IFERROR((Settings!$B$10*'History Y-2'!V36*('History Y-2'!$S36&lt;&gt;"Y")+Settings!$B$11*'History Y-3'!V36*('History Y-3'!$S36&lt;&gt;"Y")+Settings!$B$12*'History Y-4'!V36*('History Y-4'!$S36&lt;&gt;"Y"))/(Settings!$B$10*('History Y-2'!$S36&lt;&gt;"Y")+Settings!$B$11*('History Y-3'!$S36&lt;&gt;"Y")+Settings!$B$12*('History Y-4'!$S36&lt;&gt;"Y")),'History Y-2'!V36)</f>
        <v>73.0275833321296</v>
      </c>
      <c r="G36" s="31" t="n">
        <f aca="false">IFERROR((Settings!$B$10*'History Y-2'!Y36*('History Y-2'!$S36&lt;&gt;"Y")+Settings!$B$11*'History Y-3'!Y36*('History Y-3'!$S36&lt;&gt;"Y")+Settings!$B$12*'History Y-4'!Y36*('History Y-4'!$S36&lt;&gt;"Y"))/(Settings!$B$10*('History Y-2'!$S36&lt;&gt;"Y")+Settings!$B$11*('History Y-3'!$S36&lt;&gt;"Y")+Settings!$B$12*('History Y-4'!$S36&lt;&gt;"Y")),'History Y-2'!Y36)</f>
        <v>0.257491732245639</v>
      </c>
      <c r="H36" s="49" t="n">
        <f aca="false">D36*E36*(1+$L$3)*F36*(1+$L$4)*(1-G36)</f>
        <v>302918.542586546</v>
      </c>
      <c r="I36" s="20" t="n">
        <f aca="false">'History Y-1'!AJ36</f>
        <v>359878.29</v>
      </c>
      <c r="J36" s="77" t="n">
        <f aca="false">IFERROR(H36/I36-1,0)</f>
        <v>-0.158275030742905</v>
      </c>
      <c r="K36" s="20" t="n">
        <f aca="false">'History Y-2'!AJ36*(1+$E$62)</f>
        <v>326292.548707514</v>
      </c>
      <c r="L36" s="77" t="n">
        <f aca="false">IFERROR(K36/I36-1,0)</f>
        <v>-0.0933252775333734</v>
      </c>
      <c r="M36" s="14" t="str">
        <f aca="false">'History Y-1'!S36&amp;""</f>
        <v/>
      </c>
      <c r="N36" s="29" t="n">
        <f aca="false">IFERROR((Settings!$B$10*'History Y-2'!AK36*('History Y-2'!$S36&lt;&gt;"Y")+Settings!$B$11*'History Y-3'!AK36*('History Y-3'!$S36&lt;&gt;"Y")+Settings!$B$12*'History Y-4'!AK36*('History Y-4'!$S36&lt;&gt;"Y"))/(Settings!$B$10*('History Y-2'!$S36&lt;&gt;"Y")+Settings!$B$11*('History Y-3'!$S36&lt;&gt;"Y")+Settings!$B$12*('History Y-4'!$S36&lt;&gt;"Y")),'History Y-2'!AK36)</f>
        <v>0.0162357286907423</v>
      </c>
    </row>
    <row r="37" customFormat="false" ht="15" hidden="false" customHeight="false" outlineLevel="0" collapsed="false">
      <c r="A37" s="13" t="n">
        <v>32</v>
      </c>
      <c r="B37" s="14" t="str">
        <f aca="false">Calendar!D37</f>
        <v>P8</v>
      </c>
      <c r="C37" s="57" t="n">
        <f aca="false">IFERROR(N37/SUM($N$6:$N$57),0)</f>
        <v>0.0163164482245657</v>
      </c>
      <c r="D37" s="21" t="n">
        <f aca="false">'History Y-2'!$I$58*(1+$L$2)*C37</f>
        <v>268563.40148196</v>
      </c>
      <c r="E37" s="29" t="n">
        <f aca="false">IFERROR((Settings!$B$10*'History Y-2'!U37*('History Y-2'!$S37&lt;&gt;"Y")+Settings!$B$11*'History Y-3'!U37*('History Y-3'!$S37&lt;&gt;"Y")+Settings!$B$12*'History Y-4'!U37*('History Y-4'!$S37&lt;&gt;"Y"))/(Settings!$B$10*('History Y-2'!$S37&lt;&gt;"Y")+Settings!$B$11*('History Y-3'!$S37&lt;&gt;"Y")+Settings!$B$12*('History Y-4'!$S37&lt;&gt;"Y")),'History Y-2'!U37)</f>
        <v>0.020771566269111</v>
      </c>
      <c r="F37" s="23" t="n">
        <f aca="false">IFERROR((Settings!$B$10*'History Y-2'!V37*('History Y-2'!$S37&lt;&gt;"Y")+Settings!$B$11*'History Y-3'!V37*('History Y-3'!$S37&lt;&gt;"Y")+Settings!$B$12*'History Y-4'!V37*('History Y-4'!$S37&lt;&gt;"Y"))/(Settings!$B$10*('History Y-2'!$S37&lt;&gt;"Y")+Settings!$B$11*('History Y-3'!$S37&lt;&gt;"Y")+Settings!$B$12*('History Y-4'!$S37&lt;&gt;"Y")),'History Y-2'!V37)</f>
        <v>71.511037444488</v>
      </c>
      <c r="G37" s="31" t="n">
        <f aca="false">IFERROR((Settings!$B$10*'History Y-2'!Y37*('History Y-2'!$S37&lt;&gt;"Y")+Settings!$B$11*'History Y-3'!Y37*('History Y-3'!$S37&lt;&gt;"Y")+Settings!$B$12*'History Y-4'!Y37*('History Y-4'!$S37&lt;&gt;"Y"))/(Settings!$B$10*('History Y-2'!$S37&lt;&gt;"Y")+Settings!$B$11*('History Y-3'!$S37&lt;&gt;"Y")+Settings!$B$12*('History Y-4'!$S37&lt;&gt;"Y")),'History Y-2'!Y37)</f>
        <v>0.268458617301143</v>
      </c>
      <c r="H37" s="49" t="n">
        <f aca="false">D37*E37*(1+$L$3)*F37*(1+$L$4)*(1-G37)</f>
        <v>291828.734453583</v>
      </c>
      <c r="I37" s="20" t="n">
        <f aca="false">'History Y-1'!AJ37</f>
        <v>360567.35</v>
      </c>
      <c r="J37" s="77" t="n">
        <f aca="false">IFERROR(H37/I37-1,0)</f>
        <v>-0.19064015515109</v>
      </c>
      <c r="K37" s="20" t="n">
        <f aca="false">'History Y-2'!AJ37*(1+$E$62)</f>
        <v>314878.661683167</v>
      </c>
      <c r="L37" s="77" t="n">
        <f aca="false">IFERROR(K37/I37-1,0)</f>
        <v>-0.126713326419692</v>
      </c>
      <c r="M37" s="14" t="str">
        <f aca="false">'History Y-1'!S37&amp;""</f>
        <v/>
      </c>
      <c r="N37" s="29" t="n">
        <f aca="false">IFERROR((Settings!$B$10*'History Y-2'!AK37*('History Y-2'!$S37&lt;&gt;"Y")+Settings!$B$11*'History Y-3'!AK37*('History Y-3'!$S37&lt;&gt;"Y")+Settings!$B$12*'History Y-4'!AK37*('History Y-4'!$S37&lt;&gt;"Y"))/(Settings!$B$10*('History Y-2'!$S37&lt;&gt;"Y")+Settings!$B$11*('History Y-3'!$S37&lt;&gt;"Y")+Settings!$B$12*('History Y-4'!$S37&lt;&gt;"Y")),'History Y-2'!AK37)</f>
        <v>0.0163431756529757</v>
      </c>
    </row>
    <row r="38" customFormat="false" ht="15" hidden="false" customHeight="false" outlineLevel="0" collapsed="false">
      <c r="A38" s="13" t="n">
        <v>33</v>
      </c>
      <c r="B38" s="14" t="str">
        <f aca="false">Calendar!D38</f>
        <v>P8</v>
      </c>
      <c r="C38" s="57" t="n">
        <f aca="false">IFERROR(N38/SUM($N$6:$N$57),0)</f>
        <v>0.0161215905702753</v>
      </c>
      <c r="D38" s="21" t="n">
        <f aca="false">'History Y-2'!$I$58*(1+$L$2)*C38</f>
        <v>265356.108220536</v>
      </c>
      <c r="E38" s="29" t="n">
        <f aca="false">IFERROR((Settings!$B$10*'History Y-2'!U38*('History Y-2'!$S38&lt;&gt;"Y")+Settings!$B$11*'History Y-3'!U38*('History Y-3'!$S38&lt;&gt;"Y")+Settings!$B$12*'History Y-4'!U38*('History Y-4'!$S38&lt;&gt;"Y"))/(Settings!$B$10*('History Y-2'!$S38&lt;&gt;"Y")+Settings!$B$11*('History Y-3'!$S38&lt;&gt;"Y")+Settings!$B$12*('History Y-4'!$S38&lt;&gt;"Y")),'History Y-2'!U38)</f>
        <v>0.0208946615004187</v>
      </c>
      <c r="F38" s="23" t="n">
        <f aca="false">IFERROR((Settings!$B$10*'History Y-2'!V38*('History Y-2'!$S38&lt;&gt;"Y")+Settings!$B$11*'History Y-3'!V38*('History Y-3'!$S38&lt;&gt;"Y")+Settings!$B$12*'History Y-4'!V38*('History Y-4'!$S38&lt;&gt;"Y"))/(Settings!$B$10*('History Y-2'!$S38&lt;&gt;"Y")+Settings!$B$11*('History Y-3'!$S38&lt;&gt;"Y")+Settings!$B$12*('History Y-4'!$S38&lt;&gt;"Y")),'History Y-2'!V38)</f>
        <v>71.7345979264501</v>
      </c>
      <c r="G38" s="31" t="n">
        <f aca="false">IFERROR((Settings!$B$10*'History Y-2'!Y38*('History Y-2'!$S38&lt;&gt;"Y")+Settings!$B$11*'History Y-3'!Y38*('History Y-3'!$S38&lt;&gt;"Y")+Settings!$B$12*'History Y-4'!Y38*('History Y-4'!$S38&lt;&gt;"Y"))/(Settings!$B$10*('History Y-2'!$S38&lt;&gt;"Y")+Settings!$B$11*('History Y-3'!$S38&lt;&gt;"Y")+Settings!$B$12*('History Y-4'!$S38&lt;&gt;"Y")),'History Y-2'!Y38)</f>
        <v>0.261395703650224</v>
      </c>
      <c r="H38" s="49" t="n">
        <f aca="false">D38*E38*(1+$L$3)*F38*(1+$L$4)*(1-G38)</f>
        <v>293768.297860142</v>
      </c>
      <c r="I38" s="20" t="n">
        <f aca="false">'History Y-1'!AJ38</f>
        <v>362575.47</v>
      </c>
      <c r="J38" s="77" t="n">
        <f aca="false">IFERROR(H38/I38-1,0)</f>
        <v>-0.18977337915292</v>
      </c>
      <c r="K38" s="20" t="n">
        <f aca="false">'History Y-2'!AJ38*(1+$E$62)</f>
        <v>309316.522640266</v>
      </c>
      <c r="L38" s="77" t="n">
        <f aca="false">IFERROR(K38/I38-1,0)</f>
        <v>-0.146890652475012</v>
      </c>
      <c r="M38" s="14" t="str">
        <f aca="false">'History Y-1'!S38&amp;""</f>
        <v/>
      </c>
      <c r="N38" s="29" t="n">
        <f aca="false">IFERROR((Settings!$B$10*'History Y-2'!AK38*('History Y-2'!$S38&lt;&gt;"Y")+Settings!$B$11*'History Y-3'!AK38*('History Y-3'!$S38&lt;&gt;"Y")+Settings!$B$12*'History Y-4'!AK38*('History Y-4'!$S38&lt;&gt;"Y"))/(Settings!$B$10*('History Y-2'!$S38&lt;&gt;"Y")+Settings!$B$11*('History Y-3'!$S38&lt;&gt;"Y")+Settings!$B$12*('History Y-4'!$S38&lt;&gt;"Y")),'History Y-2'!AK38)</f>
        <v>0.0161479988088755</v>
      </c>
    </row>
    <row r="39" customFormat="false" ht="15" hidden="false" customHeight="false" outlineLevel="0" collapsed="false">
      <c r="A39" s="13" t="n">
        <v>34</v>
      </c>
      <c r="B39" s="14" t="str">
        <f aca="false">Calendar!D39</f>
        <v>P8</v>
      </c>
      <c r="C39" s="57" t="n">
        <f aca="false">IFERROR(N39/SUM($N$6:$N$57),0)</f>
        <v>0.0166946404620296</v>
      </c>
      <c r="D39" s="21" t="n">
        <f aca="false">'History Y-2'!$I$58*(1+$L$2)*C39</f>
        <v>274788.322022843</v>
      </c>
      <c r="E39" s="29" t="n">
        <f aca="false">IFERROR((Settings!$B$10*'History Y-2'!U39*('History Y-2'!$S39&lt;&gt;"Y")+Settings!$B$11*'History Y-3'!U39*('History Y-3'!$S39&lt;&gt;"Y")+Settings!$B$12*'History Y-4'!U39*('History Y-4'!$S39&lt;&gt;"Y"))/(Settings!$B$10*('History Y-2'!$S39&lt;&gt;"Y")+Settings!$B$11*('History Y-3'!$S39&lt;&gt;"Y")+Settings!$B$12*('History Y-4'!$S39&lt;&gt;"Y")),'History Y-2'!U39)</f>
        <v>0.0208411314388996</v>
      </c>
      <c r="F39" s="23" t="n">
        <f aca="false">IFERROR((Settings!$B$10*'History Y-2'!V39*('History Y-2'!$S39&lt;&gt;"Y")+Settings!$B$11*'History Y-3'!V39*('History Y-3'!$S39&lt;&gt;"Y")+Settings!$B$12*'History Y-4'!V39*('History Y-4'!$S39&lt;&gt;"Y"))/(Settings!$B$10*('History Y-2'!$S39&lt;&gt;"Y")+Settings!$B$11*('History Y-3'!$S39&lt;&gt;"Y")+Settings!$B$12*('History Y-4'!$S39&lt;&gt;"Y")),'History Y-2'!V39)</f>
        <v>73.204462794661</v>
      </c>
      <c r="G39" s="31" t="n">
        <f aca="false">IFERROR((Settings!$B$10*'History Y-2'!Y39*('History Y-2'!$S39&lt;&gt;"Y")+Settings!$B$11*'History Y-3'!Y39*('History Y-3'!$S39&lt;&gt;"Y")+Settings!$B$12*'History Y-4'!Y39*('History Y-4'!$S39&lt;&gt;"Y"))/(Settings!$B$10*('History Y-2'!$S39&lt;&gt;"Y")+Settings!$B$11*('History Y-3'!$S39&lt;&gt;"Y")+Settings!$B$12*('History Y-4'!$S39&lt;&gt;"Y")),'History Y-2'!Y39)</f>
        <v>0.253150022356198</v>
      </c>
      <c r="H39" s="49" t="n">
        <f aca="false">D39*E39*(1+$L$3)*F39*(1+$L$4)*(1-G39)</f>
        <v>313105.354696799</v>
      </c>
      <c r="I39" s="20" t="n">
        <f aca="false">'History Y-1'!AJ39</f>
        <v>323047.13</v>
      </c>
      <c r="J39" s="77" t="n">
        <f aca="false">IFERROR(H39/I39-1,0)</f>
        <v>-0.0307749996206461</v>
      </c>
      <c r="K39" s="20" t="n">
        <f aca="false">'History Y-2'!AJ39*(1+$E$62)</f>
        <v>335113.032536159</v>
      </c>
      <c r="L39" s="77" t="n">
        <f aca="false">IFERROR(K39/I39-1,0)</f>
        <v>0.0373502855021788</v>
      </c>
      <c r="M39" s="14" t="str">
        <f aca="false">'History Y-1'!S39&amp;""</f>
        <v/>
      </c>
      <c r="N39" s="29" t="n">
        <f aca="false">IFERROR((Settings!$B$10*'History Y-2'!AK39*('History Y-2'!$S39&lt;&gt;"Y")+Settings!$B$11*'History Y-3'!AK39*('History Y-3'!$S39&lt;&gt;"Y")+Settings!$B$12*'History Y-4'!AK39*('History Y-4'!$S39&lt;&gt;"Y"))/(Settings!$B$10*('History Y-2'!$S39&lt;&gt;"Y")+Settings!$B$11*('History Y-3'!$S39&lt;&gt;"Y")+Settings!$B$12*('History Y-4'!$S39&lt;&gt;"Y")),'History Y-2'!AK39)</f>
        <v>0.0167219873945015</v>
      </c>
    </row>
    <row r="40" customFormat="false" ht="15" hidden="false" customHeight="false" outlineLevel="0" collapsed="false">
      <c r="A40" s="13" t="n">
        <v>35</v>
      </c>
      <c r="B40" s="14" t="str">
        <f aca="false">Calendar!D40</f>
        <v>P9</v>
      </c>
      <c r="C40" s="57" t="n">
        <f aca="false">IFERROR(N40/SUM($N$6:$N$57),0)</f>
        <v>0.0162600015261946</v>
      </c>
      <c r="D40" s="21" t="n">
        <f aca="false">'History Y-2'!$I$58*(1+$L$2)*C40</f>
        <v>267634.307287664</v>
      </c>
      <c r="E40" s="29" t="n">
        <f aca="false">IFERROR((Settings!$B$10*'History Y-2'!U40*('History Y-2'!$S40&lt;&gt;"Y")+Settings!$B$11*'History Y-3'!U40*('History Y-3'!$S40&lt;&gt;"Y")+Settings!$B$12*'History Y-4'!U40*('History Y-4'!$S40&lt;&gt;"Y"))/(Settings!$B$10*('History Y-2'!$S40&lt;&gt;"Y")+Settings!$B$11*('History Y-3'!$S40&lt;&gt;"Y")+Settings!$B$12*('History Y-4'!$S40&lt;&gt;"Y")),'History Y-2'!U40)</f>
        <v>0.0210812621697311</v>
      </c>
      <c r="F40" s="23" t="n">
        <f aca="false">IFERROR((Settings!$B$10*'History Y-2'!V40*('History Y-2'!$S40&lt;&gt;"Y")+Settings!$B$11*'History Y-3'!V40*('History Y-3'!$S40&lt;&gt;"Y")+Settings!$B$12*'History Y-4'!V40*('History Y-4'!$S40&lt;&gt;"Y"))/(Settings!$B$10*('History Y-2'!$S40&lt;&gt;"Y")+Settings!$B$11*('History Y-3'!$S40&lt;&gt;"Y")+Settings!$B$12*('History Y-4'!$S40&lt;&gt;"Y")),'History Y-2'!V40)</f>
        <v>71.8731896417241</v>
      </c>
      <c r="G40" s="31" t="n">
        <f aca="false">IFERROR((Settings!$B$10*'History Y-2'!Y40*('History Y-2'!$S40&lt;&gt;"Y")+Settings!$B$11*'History Y-3'!Y40*('History Y-3'!$S40&lt;&gt;"Y")+Settings!$B$12*'History Y-4'!Y40*('History Y-4'!$S40&lt;&gt;"Y"))/(Settings!$B$10*('History Y-2'!$S40&lt;&gt;"Y")+Settings!$B$11*('History Y-3'!$S40&lt;&gt;"Y")+Settings!$B$12*('History Y-4'!$S40&lt;&gt;"Y")),'History Y-2'!Y40)</f>
        <v>0.256790482044064</v>
      </c>
      <c r="H40" s="49" t="n">
        <f aca="false">D40*E40*(1+$L$3)*F40*(1+$L$4)*(1-G40)</f>
        <v>301381.489167574</v>
      </c>
      <c r="I40" s="20" t="n">
        <f aca="false">'History Y-1'!AJ40</f>
        <v>330417.45</v>
      </c>
      <c r="J40" s="77" t="n">
        <f aca="false">IFERROR(H40/I40-1,0)</f>
        <v>-0.0878765962040619</v>
      </c>
      <c r="K40" s="20" t="n">
        <f aca="false">'History Y-2'!AJ40*(1+$E$62)</f>
        <v>314817.749223576</v>
      </c>
      <c r="L40" s="77" t="n">
        <f aca="false">IFERROR(K40/I40-1,0)</f>
        <v>-0.0472120972316199</v>
      </c>
      <c r="M40" s="14" t="str">
        <f aca="false">'History Y-1'!S40&amp;""</f>
        <v/>
      </c>
      <c r="N40" s="29" t="n">
        <f aca="false">IFERROR((Settings!$B$10*'History Y-2'!AK40*('History Y-2'!$S40&lt;&gt;"Y")+Settings!$B$11*'History Y-3'!AK40*('History Y-3'!$S40&lt;&gt;"Y")+Settings!$B$12*'History Y-4'!AK40*('History Y-4'!$S40&lt;&gt;"Y"))/(Settings!$B$10*('History Y-2'!$S40&lt;&gt;"Y")+Settings!$B$11*('History Y-3'!$S40&lt;&gt;"Y")+Settings!$B$12*('History Y-4'!$S40&lt;&gt;"Y")),'History Y-2'!AK40)</f>
        <v>0.0162866364911549</v>
      </c>
    </row>
    <row r="41" customFormat="false" ht="15" hidden="false" customHeight="false" outlineLevel="0" collapsed="false">
      <c r="A41" s="13" t="n">
        <v>36</v>
      </c>
      <c r="B41" s="14" t="str">
        <f aca="false">Calendar!D41</f>
        <v>P9</v>
      </c>
      <c r="C41" s="57" t="n">
        <f aca="false">IFERROR(N41/SUM($N$6:$N$57),0)</f>
        <v>0.0223785118335436</v>
      </c>
      <c r="D41" s="21" t="n">
        <f aca="false">'History Y-2'!$I$58*(1+$L$2)*C41</f>
        <v>368342.985887832</v>
      </c>
      <c r="E41" s="29" t="n">
        <f aca="false">IFERROR((Settings!$B$10*'History Y-2'!U41*('History Y-2'!$S41&lt;&gt;"Y")+Settings!$B$11*'History Y-3'!U41*('History Y-3'!$S41&lt;&gt;"Y")+Settings!$B$12*'History Y-4'!U41*('History Y-4'!$S41&lt;&gt;"Y"))/(Settings!$B$10*('History Y-2'!$S41&lt;&gt;"Y")+Settings!$B$11*('History Y-3'!$S41&lt;&gt;"Y")+Settings!$B$12*('History Y-4'!$S41&lt;&gt;"Y")),'History Y-2'!U41)</f>
        <v>0.0231677480199781</v>
      </c>
      <c r="F41" s="23" t="n">
        <f aca="false">IFERROR((Settings!$B$10*'History Y-2'!V41*('History Y-2'!$S41&lt;&gt;"Y")+Settings!$B$11*'History Y-3'!V41*('History Y-3'!$S41&lt;&gt;"Y")+Settings!$B$12*'History Y-4'!V41*('History Y-4'!$S41&lt;&gt;"Y"))/(Settings!$B$10*('History Y-2'!$S41&lt;&gt;"Y")+Settings!$B$11*('History Y-3'!$S41&lt;&gt;"Y")+Settings!$B$12*('History Y-4'!$S41&lt;&gt;"Y")),'History Y-2'!V41)</f>
        <v>68.0941811724541</v>
      </c>
      <c r="G41" s="31" t="n">
        <f aca="false">IFERROR((Settings!$B$10*'History Y-2'!Y41*('History Y-2'!$S41&lt;&gt;"Y")+Settings!$B$11*'History Y-3'!Y41*('History Y-3'!$S41&lt;&gt;"Y")+Settings!$B$12*'History Y-4'!Y41*('History Y-4'!$S41&lt;&gt;"Y"))/(Settings!$B$10*('History Y-2'!$S41&lt;&gt;"Y")+Settings!$B$11*('History Y-3'!$S41&lt;&gt;"Y")+Settings!$B$12*('History Y-4'!$S41&lt;&gt;"Y")),'History Y-2'!Y41)</f>
        <v>0.257557936562763</v>
      </c>
      <c r="H41" s="49" t="n">
        <f aca="false">D41*E41*(1+$L$3)*F41*(1+$L$4)*(1-G41)</f>
        <v>431428.465463482</v>
      </c>
      <c r="I41" s="20" t="n">
        <f aca="false">'History Y-1'!AJ41</f>
        <v>455058.78</v>
      </c>
      <c r="J41" s="77" t="n">
        <f aca="false">IFERROR(H41/I41-1,0)</f>
        <v>-0.0519280488039757</v>
      </c>
      <c r="K41" s="20" t="n">
        <f aca="false">'History Y-2'!AJ41*(1+$E$62)</f>
        <v>466109.989358876</v>
      </c>
      <c r="L41" s="77" t="n">
        <f aca="false">IFERROR(K41/I41-1,0)</f>
        <v>0.0242852348852072</v>
      </c>
      <c r="M41" s="14" t="str">
        <f aca="false">'History Y-1'!S41&amp;""</f>
        <v/>
      </c>
      <c r="N41" s="29" t="n">
        <f aca="false">IFERROR((Settings!$B$10*'History Y-2'!AK41*('History Y-2'!$S41&lt;&gt;"Y")+Settings!$B$11*'History Y-3'!AK41*('History Y-3'!$S41&lt;&gt;"Y")+Settings!$B$12*'History Y-4'!AK41*('History Y-4'!$S41&lt;&gt;"Y"))/(Settings!$B$10*('History Y-2'!$S41&lt;&gt;"Y")+Settings!$B$11*('History Y-3'!$S41&lt;&gt;"Y")+Settings!$B$12*('History Y-4'!$S41&lt;&gt;"Y")),'History Y-2'!AK41)</f>
        <v>0.0224151693257086</v>
      </c>
    </row>
    <row r="42" customFormat="false" ht="15" hidden="false" customHeight="false" outlineLevel="0" collapsed="false">
      <c r="A42" s="13" t="n">
        <v>37</v>
      </c>
      <c r="B42" s="14" t="str">
        <f aca="false">Calendar!D42</f>
        <v>P9</v>
      </c>
      <c r="C42" s="57" t="n">
        <f aca="false">IFERROR(N42/SUM($N$6:$N$57),0)</f>
        <v>0.0181256355818759</v>
      </c>
      <c r="D42" s="21" t="n">
        <f aca="false">'History Y-2'!$I$58*(1+$L$2)*C42</f>
        <v>298342.033688561</v>
      </c>
      <c r="E42" s="29" t="n">
        <f aca="false">IFERROR((Settings!$B$10*'History Y-2'!U42*('History Y-2'!$S42&lt;&gt;"Y")+Settings!$B$11*'History Y-3'!U42*('History Y-3'!$S42&lt;&gt;"Y")+Settings!$B$12*'History Y-4'!U42*('History Y-4'!$S42&lt;&gt;"Y"))/(Settings!$B$10*('History Y-2'!$S42&lt;&gt;"Y")+Settings!$B$11*('History Y-3'!$S42&lt;&gt;"Y")+Settings!$B$12*('History Y-4'!$S42&lt;&gt;"Y")),'History Y-2'!U42)</f>
        <v>0.0214311482765648</v>
      </c>
      <c r="F42" s="23" t="n">
        <f aca="false">IFERROR((Settings!$B$10*'History Y-2'!V42*('History Y-2'!$S42&lt;&gt;"Y")+Settings!$B$11*'History Y-3'!V42*('History Y-3'!$S42&lt;&gt;"Y")+Settings!$B$12*'History Y-4'!V42*('History Y-4'!$S42&lt;&gt;"Y"))/(Settings!$B$10*('History Y-2'!$S42&lt;&gt;"Y")+Settings!$B$11*('History Y-3'!$S42&lt;&gt;"Y")+Settings!$B$12*('History Y-4'!$S42&lt;&gt;"Y")),'History Y-2'!V42)</f>
        <v>74.2743238621522</v>
      </c>
      <c r="G42" s="31" t="n">
        <f aca="false">IFERROR((Settings!$B$10*'History Y-2'!Y42*('History Y-2'!$S42&lt;&gt;"Y")+Settings!$B$11*'History Y-3'!Y42*('History Y-3'!$S42&lt;&gt;"Y")+Settings!$B$12*'History Y-4'!Y42*('History Y-4'!$S42&lt;&gt;"Y"))/(Settings!$B$10*('History Y-2'!$S42&lt;&gt;"Y")+Settings!$B$11*('History Y-3'!$S42&lt;&gt;"Y")+Settings!$B$12*('History Y-4'!$S42&lt;&gt;"Y")),'History Y-2'!Y42)</f>
        <v>0.25389397070919</v>
      </c>
      <c r="H42" s="49" t="n">
        <f aca="false">D42*E42*(1+$L$3)*F42*(1+$L$4)*(1-G42)</f>
        <v>354322.836052808</v>
      </c>
      <c r="I42" s="20" t="n">
        <f aca="false">'History Y-1'!AJ42</f>
        <v>365301.32</v>
      </c>
      <c r="J42" s="77" t="n">
        <f aca="false">IFERROR(H42/I42-1,0)</f>
        <v>-0.0300532282423518</v>
      </c>
      <c r="K42" s="20" t="n">
        <f aca="false">'History Y-2'!AJ42*(1+$E$62)</f>
        <v>389592.783374891</v>
      </c>
      <c r="L42" s="77" t="n">
        <f aca="false">IFERROR(K42/I42-1,0)</f>
        <v>0.0664970588523759</v>
      </c>
      <c r="M42" s="14" t="str">
        <f aca="false">'History Y-1'!S42&amp;""</f>
        <v/>
      </c>
      <c r="N42" s="29" t="n">
        <f aca="false">IFERROR((Settings!$B$10*'History Y-2'!AK42*('History Y-2'!$S42&lt;&gt;"Y")+Settings!$B$11*'History Y-3'!AK42*('History Y-3'!$S42&lt;&gt;"Y")+Settings!$B$12*'History Y-4'!AK42*('History Y-4'!$S42&lt;&gt;"Y"))/(Settings!$B$10*('History Y-2'!$S42&lt;&gt;"Y")+Settings!$B$11*('History Y-3'!$S42&lt;&gt;"Y")+Settings!$B$12*('History Y-4'!$S42&lt;&gt;"Y")),'History Y-2'!AK42)</f>
        <v>0.0181553265796183</v>
      </c>
    </row>
    <row r="43" customFormat="false" ht="15" hidden="false" customHeight="false" outlineLevel="0" collapsed="false">
      <c r="A43" s="13" t="n">
        <v>38</v>
      </c>
      <c r="B43" s="14" t="str">
        <f aca="false">Calendar!D43</f>
        <v>P9</v>
      </c>
      <c r="C43" s="57" t="n">
        <f aca="false">IFERROR(N43/SUM($N$6:$N$57),0)</f>
        <v>0.0185729486269012</v>
      </c>
      <c r="D43" s="21" t="n">
        <f aca="false">'History Y-2'!$I$58*(1+$L$2)*C43</f>
        <v>305704.660115945</v>
      </c>
      <c r="E43" s="29" t="n">
        <f aca="false">IFERROR((Settings!$B$10*'History Y-2'!U43*('History Y-2'!$S43&lt;&gt;"Y")+Settings!$B$11*'History Y-3'!U43*('History Y-3'!$S43&lt;&gt;"Y")+Settings!$B$12*'History Y-4'!U43*('History Y-4'!$S43&lt;&gt;"Y"))/(Settings!$B$10*('History Y-2'!$S43&lt;&gt;"Y")+Settings!$B$11*('History Y-3'!$S43&lt;&gt;"Y")+Settings!$B$12*('History Y-4'!$S43&lt;&gt;"Y")),'History Y-2'!U43)</f>
        <v>0.0204423150032379</v>
      </c>
      <c r="F43" s="23" t="n">
        <f aca="false">IFERROR((Settings!$B$10*'History Y-2'!V43*('History Y-2'!$S43&lt;&gt;"Y")+Settings!$B$11*'History Y-3'!V43*('History Y-3'!$S43&lt;&gt;"Y")+Settings!$B$12*'History Y-4'!V43*('History Y-4'!$S43&lt;&gt;"Y"))/(Settings!$B$10*('History Y-2'!$S43&lt;&gt;"Y")+Settings!$B$11*('History Y-3'!$S43&lt;&gt;"Y")+Settings!$B$12*('History Y-4'!$S43&lt;&gt;"Y")),'History Y-2'!V43)</f>
        <v>72.6878335248844</v>
      </c>
      <c r="G43" s="31" t="n">
        <f aca="false">IFERROR((Settings!$B$10*'History Y-2'!Y43*('History Y-2'!$S43&lt;&gt;"Y")+Settings!$B$11*'History Y-3'!Y43*('History Y-3'!$S43&lt;&gt;"Y")+Settings!$B$12*'History Y-4'!Y43*('History Y-4'!$S43&lt;&gt;"Y"))/(Settings!$B$10*('History Y-2'!$S43&lt;&gt;"Y")+Settings!$B$11*('History Y-3'!$S43&lt;&gt;"Y")+Settings!$B$12*('History Y-4'!$S43&lt;&gt;"Y")),'History Y-2'!Y43)</f>
        <v>0.261318085184453</v>
      </c>
      <c r="H43" s="49" t="n">
        <f aca="false">D43*E43*(1+$L$3)*F43*(1+$L$4)*(1-G43)</f>
        <v>335545.428572998</v>
      </c>
      <c r="I43" s="20" t="n">
        <f aca="false">'History Y-1'!AJ43</f>
        <v>399444.55</v>
      </c>
      <c r="J43" s="77" t="n">
        <f aca="false">IFERROR(H43/I43-1,0)</f>
        <v>-0.159969941827977</v>
      </c>
      <c r="K43" s="20" t="n">
        <f aca="false">'History Y-2'!AJ43*(1+$E$62)</f>
        <v>360676.649687429</v>
      </c>
      <c r="L43" s="77" t="n">
        <f aca="false">IFERROR(K43/I43-1,0)</f>
        <v>-0.0970545231185935</v>
      </c>
      <c r="M43" s="14" t="str">
        <f aca="false">'History Y-1'!S43&amp;""</f>
        <v/>
      </c>
      <c r="N43" s="29" t="n">
        <f aca="false">IFERROR((Settings!$B$10*'History Y-2'!AK43*('History Y-2'!$S43&lt;&gt;"Y")+Settings!$B$11*'History Y-3'!AK43*('History Y-3'!$S43&lt;&gt;"Y")+Settings!$B$12*'History Y-4'!AK43*('History Y-4'!$S43&lt;&gt;"Y"))/(Settings!$B$10*('History Y-2'!$S43&lt;&gt;"Y")+Settings!$B$11*('History Y-3'!$S43&lt;&gt;"Y")+Settings!$B$12*('History Y-4'!$S43&lt;&gt;"Y")),'History Y-2'!AK43)</f>
        <v>0.0186033723531898</v>
      </c>
    </row>
    <row r="44" customFormat="false" ht="15" hidden="false" customHeight="false" outlineLevel="0" collapsed="false">
      <c r="A44" s="13" t="n">
        <v>39</v>
      </c>
      <c r="B44" s="14" t="str">
        <f aca="false">Calendar!D44</f>
        <v>P9</v>
      </c>
      <c r="C44" s="57" t="n">
        <f aca="false">IFERROR(N44/SUM($N$6:$N$57),0)</f>
        <v>0.0191544584455877</v>
      </c>
      <c r="D44" s="21" t="n">
        <f aca="false">'History Y-2'!$I$58*(1+$L$2)*C44</f>
        <v>315276.121548739</v>
      </c>
      <c r="E44" s="29" t="n">
        <f aca="false">IFERROR((Settings!$B$10*'History Y-2'!U44*('History Y-2'!$S44&lt;&gt;"Y")+Settings!$B$11*'History Y-3'!U44*('History Y-3'!$S44&lt;&gt;"Y")+Settings!$B$12*'History Y-4'!U44*('History Y-4'!$S44&lt;&gt;"Y"))/(Settings!$B$10*('History Y-2'!$S44&lt;&gt;"Y")+Settings!$B$11*('History Y-3'!$S44&lt;&gt;"Y")+Settings!$B$12*('History Y-4'!$S44&lt;&gt;"Y")),'History Y-2'!U44)</f>
        <v>0.0210146942532492</v>
      </c>
      <c r="F44" s="23" t="n">
        <f aca="false">IFERROR((Settings!$B$10*'History Y-2'!V44*('History Y-2'!$S44&lt;&gt;"Y")+Settings!$B$11*'History Y-3'!V44*('History Y-3'!$S44&lt;&gt;"Y")+Settings!$B$12*'History Y-4'!V44*('History Y-4'!$S44&lt;&gt;"Y"))/(Settings!$B$10*('History Y-2'!$S44&lt;&gt;"Y")+Settings!$B$11*('History Y-3'!$S44&lt;&gt;"Y")+Settings!$B$12*('History Y-4'!$S44&lt;&gt;"Y")),'History Y-2'!V44)</f>
        <v>72.7043875118552</v>
      </c>
      <c r="G44" s="31" t="n">
        <f aca="false">IFERROR((Settings!$B$10*'History Y-2'!Y44*('History Y-2'!$S44&lt;&gt;"Y")+Settings!$B$11*'History Y-3'!Y44*('History Y-3'!$S44&lt;&gt;"Y")+Settings!$B$12*'History Y-4'!Y44*('History Y-4'!$S44&lt;&gt;"Y"))/(Settings!$B$10*('History Y-2'!$S44&lt;&gt;"Y")+Settings!$B$11*('History Y-3'!$S44&lt;&gt;"Y")+Settings!$B$12*('History Y-4'!$S44&lt;&gt;"Y")),'History Y-2'!Y44)</f>
        <v>0.264969311670156</v>
      </c>
      <c r="H44" s="49" t="n">
        <f aca="false">D44*E44*(1+$L$3)*F44*(1+$L$4)*(1-G44)</f>
        <v>354062.75711986</v>
      </c>
      <c r="I44" s="20" t="n">
        <f aca="false">'History Y-1'!AJ44</f>
        <v>388033.63</v>
      </c>
      <c r="J44" s="77" t="n">
        <f aca="false">IFERROR(H44/I44-1,0)</f>
        <v>-0.087546207992695</v>
      </c>
      <c r="K44" s="20" t="n">
        <f aca="false">'History Y-2'!AJ44*(1+$E$62)</f>
        <v>393377.448667589</v>
      </c>
      <c r="L44" s="77" t="n">
        <f aca="false">IFERROR(K44/I44-1,0)</f>
        <v>0.0137715348733787</v>
      </c>
      <c r="M44" s="14" t="str">
        <f aca="false">'History Y-1'!S44&amp;""</f>
        <v/>
      </c>
      <c r="N44" s="29" t="n">
        <f aca="false">IFERROR((Settings!$B$10*'History Y-2'!AK44*('History Y-2'!$S44&lt;&gt;"Y")+Settings!$B$11*'History Y-3'!AK44*('History Y-3'!$S44&lt;&gt;"Y")+Settings!$B$12*'History Y-4'!AK44*('History Y-4'!$S44&lt;&gt;"Y"))/(Settings!$B$10*('History Y-2'!$S44&lt;&gt;"Y")+Settings!$B$11*('History Y-3'!$S44&lt;&gt;"Y")+Settings!$B$12*('History Y-4'!$S44&lt;&gt;"Y")),'History Y-2'!AK44)</f>
        <v>0.0191858347236716</v>
      </c>
    </row>
    <row r="45" customFormat="false" ht="15" hidden="false" customHeight="false" outlineLevel="0" collapsed="false">
      <c r="A45" s="13" t="n">
        <v>40</v>
      </c>
      <c r="B45" s="14" t="str">
        <f aca="false">Calendar!D45</f>
        <v>P10</v>
      </c>
      <c r="C45" s="57" t="n">
        <f aca="false">IFERROR(N45/SUM($N$6:$N$57),0)</f>
        <v>0.0183082646897392</v>
      </c>
      <c r="D45" s="21" t="n">
        <f aca="false">'History Y-2'!$I$58*(1+$L$2)*C45</f>
        <v>301348.049075141</v>
      </c>
      <c r="E45" s="29" t="n">
        <f aca="false">IFERROR((Settings!$B$10*'History Y-2'!U45*('History Y-2'!$S45&lt;&gt;"Y")+Settings!$B$11*'History Y-3'!U45*('History Y-3'!$S45&lt;&gt;"Y")+Settings!$B$12*'History Y-4'!U45*('History Y-4'!$S45&lt;&gt;"Y"))/(Settings!$B$10*('History Y-2'!$S45&lt;&gt;"Y")+Settings!$B$11*('History Y-3'!$S45&lt;&gt;"Y")+Settings!$B$12*('History Y-4'!$S45&lt;&gt;"Y")),'History Y-2'!U45)</f>
        <v>0.0216706218014565</v>
      </c>
      <c r="F45" s="23" t="n">
        <f aca="false">IFERROR((Settings!$B$10*'History Y-2'!V45*('History Y-2'!$S45&lt;&gt;"Y")+Settings!$B$11*'History Y-3'!V45*('History Y-3'!$S45&lt;&gt;"Y")+Settings!$B$12*'History Y-4'!V45*('History Y-4'!$S45&lt;&gt;"Y"))/(Settings!$B$10*('History Y-2'!$S45&lt;&gt;"Y")+Settings!$B$11*('History Y-3'!$S45&lt;&gt;"Y")+Settings!$B$12*('History Y-4'!$S45&lt;&gt;"Y")),'History Y-2'!V45)</f>
        <v>71.1349277096495</v>
      </c>
      <c r="G45" s="31" t="n">
        <f aca="false">IFERROR((Settings!$B$10*'History Y-2'!Y45*('History Y-2'!$S45&lt;&gt;"Y")+Settings!$B$11*'History Y-3'!Y45*('History Y-3'!$S45&lt;&gt;"Y")+Settings!$B$12*'History Y-4'!Y45*('History Y-4'!$S45&lt;&gt;"Y"))/(Settings!$B$10*('History Y-2'!$S45&lt;&gt;"Y")+Settings!$B$11*('History Y-3'!$S45&lt;&gt;"Y")+Settings!$B$12*('History Y-4'!$S45&lt;&gt;"Y")),'History Y-2'!Y45)</f>
        <v>0.267474007235989</v>
      </c>
      <c r="H45" s="49" t="n">
        <f aca="false">D45*E45*(1+$L$3)*F45*(1+$L$4)*(1-G45)</f>
        <v>340287.261061125</v>
      </c>
      <c r="I45" s="20" t="n">
        <f aca="false">'History Y-1'!AJ45</f>
        <v>383084.03</v>
      </c>
      <c r="J45" s="77" t="n">
        <f aca="false">IFERROR(H45/I45-1,0)</f>
        <v>-0.111716400547617</v>
      </c>
      <c r="K45" s="20" t="n">
        <f aca="false">'History Y-2'!AJ45*(1+$E$62)</f>
        <v>374401.635579541</v>
      </c>
      <c r="L45" s="77" t="n">
        <f aca="false">IFERROR(K45/I45-1,0)</f>
        <v>-0.0226644645574463</v>
      </c>
      <c r="M45" s="14" t="str">
        <f aca="false">'History Y-1'!S45&amp;""</f>
        <v/>
      </c>
      <c r="N45" s="29" t="n">
        <f aca="false">IFERROR((Settings!$B$10*'History Y-2'!AK45*('History Y-2'!$S45&lt;&gt;"Y")+Settings!$B$11*'History Y-3'!AK45*('History Y-3'!$S45&lt;&gt;"Y")+Settings!$B$12*'History Y-4'!AK45*('History Y-4'!$S45&lt;&gt;"Y"))/(Settings!$B$10*('History Y-2'!$S45&lt;&gt;"Y")+Settings!$B$11*('History Y-3'!$S45&lt;&gt;"Y")+Settings!$B$12*('History Y-4'!$S45&lt;&gt;"Y")),'History Y-2'!AK45)</f>
        <v>0.0183382548461183</v>
      </c>
    </row>
    <row r="46" customFormat="false" ht="15" hidden="false" customHeight="false" outlineLevel="0" collapsed="false">
      <c r="A46" s="13" t="n">
        <v>41</v>
      </c>
      <c r="B46" s="14" t="str">
        <f aca="false">Calendar!D46</f>
        <v>P10</v>
      </c>
      <c r="C46" s="57" t="n">
        <f aca="false">IFERROR(N46/SUM($N$6:$N$57),0)</f>
        <v>0.0194324231083778</v>
      </c>
      <c r="D46" s="21" t="n">
        <f aca="false">'History Y-2'!$I$58*(1+$L$2)*C46</f>
        <v>319851.328989921</v>
      </c>
      <c r="E46" s="29" t="n">
        <f aca="false">IFERROR((Settings!$B$10*'History Y-2'!U46*('History Y-2'!$S46&lt;&gt;"Y")+Settings!$B$11*'History Y-3'!U46*('History Y-3'!$S46&lt;&gt;"Y")+Settings!$B$12*'History Y-4'!U46*('History Y-4'!$S46&lt;&gt;"Y"))/(Settings!$B$10*('History Y-2'!$S46&lt;&gt;"Y")+Settings!$B$11*('History Y-3'!$S46&lt;&gt;"Y")+Settings!$B$12*('History Y-4'!$S46&lt;&gt;"Y")),'History Y-2'!U46)</f>
        <v>0.0213465099673547</v>
      </c>
      <c r="F46" s="23" t="n">
        <f aca="false">IFERROR((Settings!$B$10*'History Y-2'!V46*('History Y-2'!$S46&lt;&gt;"Y")+Settings!$B$11*'History Y-3'!V46*('History Y-3'!$S46&lt;&gt;"Y")+Settings!$B$12*'History Y-4'!V46*('History Y-4'!$S46&lt;&gt;"Y"))/(Settings!$B$10*('History Y-2'!$S46&lt;&gt;"Y")+Settings!$B$11*('History Y-3'!$S46&lt;&gt;"Y")+Settings!$B$12*('History Y-4'!$S46&lt;&gt;"Y")),'History Y-2'!V46)</f>
        <v>72.5330460693717</v>
      </c>
      <c r="G46" s="31" t="n">
        <f aca="false">IFERROR((Settings!$B$10*'History Y-2'!Y46*('History Y-2'!$S46&lt;&gt;"Y")+Settings!$B$11*'History Y-3'!Y46*('History Y-3'!$S46&lt;&gt;"Y")+Settings!$B$12*'History Y-4'!Y46*('History Y-4'!$S46&lt;&gt;"Y"))/(Settings!$B$10*('History Y-2'!$S46&lt;&gt;"Y")+Settings!$B$11*('History Y-3'!$S46&lt;&gt;"Y")+Settings!$B$12*('History Y-4'!$S46&lt;&gt;"Y")),'History Y-2'!Y46)</f>
        <v>0.264558546947399</v>
      </c>
      <c r="H46" s="49" t="n">
        <f aca="false">D46*E46*(1+$L$3)*F46*(1+$L$4)*(1-G46)</f>
        <v>364216.034472962</v>
      </c>
      <c r="I46" s="20" t="n">
        <f aca="false">'History Y-1'!AJ46</f>
        <v>391212.96</v>
      </c>
      <c r="J46" s="77" t="n">
        <f aca="false">IFERROR(H46/I46-1,0)</f>
        <v>-0.0690082596625581</v>
      </c>
      <c r="K46" s="20" t="n">
        <f aca="false">'History Y-2'!AJ46*(1+$E$62)</f>
        <v>415517.956548833</v>
      </c>
      <c r="L46" s="77" t="n">
        <f aca="false">IFERROR(K46/I46-1,0)</f>
        <v>0.06212727857695</v>
      </c>
      <c r="M46" s="14" t="str">
        <f aca="false">'History Y-1'!S46&amp;""</f>
        <v/>
      </c>
      <c r="N46" s="29" t="n">
        <f aca="false">IFERROR((Settings!$B$10*'History Y-2'!AK46*('History Y-2'!$S46&lt;&gt;"Y")+Settings!$B$11*'History Y-3'!AK46*('History Y-3'!$S46&lt;&gt;"Y")+Settings!$B$12*'History Y-4'!AK46*('History Y-4'!$S46&lt;&gt;"Y"))/(Settings!$B$10*('History Y-2'!$S46&lt;&gt;"Y")+Settings!$B$11*('History Y-3'!$S46&lt;&gt;"Y")+Settings!$B$12*('History Y-4'!$S46&lt;&gt;"Y")),'History Y-2'!AK46)</f>
        <v>0.019464254711084</v>
      </c>
    </row>
    <row r="47" customFormat="false" ht="15" hidden="false" customHeight="false" outlineLevel="0" collapsed="false">
      <c r="A47" s="13" t="n">
        <v>42</v>
      </c>
      <c r="B47" s="14" t="str">
        <f aca="false">Calendar!D47</f>
        <v>P10</v>
      </c>
      <c r="C47" s="57" t="n">
        <f aca="false">IFERROR(N47/SUM($N$6:$N$57),0)</f>
        <v>0.0188754388253277</v>
      </c>
      <c r="D47" s="21" t="n">
        <f aca="false">'History Y-2'!$I$58*(1+$L$2)*C47</f>
        <v>310683.549852626</v>
      </c>
      <c r="E47" s="29" t="n">
        <f aca="false">IFERROR((Settings!$B$10*'History Y-2'!U47*('History Y-2'!$S47&lt;&gt;"Y")+Settings!$B$11*'History Y-3'!U47*('History Y-3'!$S47&lt;&gt;"Y")+Settings!$B$12*'History Y-4'!U47*('History Y-4'!$S47&lt;&gt;"Y"))/(Settings!$B$10*('History Y-2'!$S47&lt;&gt;"Y")+Settings!$B$11*('History Y-3'!$S47&lt;&gt;"Y")+Settings!$B$12*('History Y-4'!$S47&lt;&gt;"Y")),'History Y-2'!U47)</f>
        <v>0.0213033556596797</v>
      </c>
      <c r="F47" s="23" t="n">
        <f aca="false">IFERROR((Settings!$B$10*'History Y-2'!V47*('History Y-2'!$S47&lt;&gt;"Y")+Settings!$B$11*'History Y-3'!V47*('History Y-3'!$S47&lt;&gt;"Y")+Settings!$B$12*'History Y-4'!V47*('History Y-4'!$S47&lt;&gt;"Y"))/(Settings!$B$10*('History Y-2'!$S47&lt;&gt;"Y")+Settings!$B$11*('History Y-3'!$S47&lt;&gt;"Y")+Settings!$B$12*('History Y-4'!$S47&lt;&gt;"Y")),'History Y-2'!V47)</f>
        <v>72.6075853387902</v>
      </c>
      <c r="G47" s="31" t="n">
        <f aca="false">IFERROR((Settings!$B$10*'History Y-2'!Y47*('History Y-2'!$S47&lt;&gt;"Y")+Settings!$B$11*'History Y-3'!Y47*('History Y-3'!$S47&lt;&gt;"Y")+Settings!$B$12*'History Y-4'!Y47*('History Y-4'!$S47&lt;&gt;"Y"))/(Settings!$B$10*('History Y-2'!$S47&lt;&gt;"Y")+Settings!$B$11*('History Y-3'!$S47&lt;&gt;"Y")+Settings!$B$12*('History Y-4'!$S47&lt;&gt;"Y")),'History Y-2'!Y47)</f>
        <v>0.256975060664867</v>
      </c>
      <c r="H47" s="49" t="n">
        <f aca="false">D47*E47*(1+$L$3)*F47*(1+$L$4)*(1-G47)</f>
        <v>357068.600690162</v>
      </c>
      <c r="I47" s="20" t="n">
        <f aca="false">'History Y-1'!AJ47</f>
        <v>368333.53</v>
      </c>
      <c r="J47" s="77" t="n">
        <f aca="false">IFERROR(H47/I47-1,0)</f>
        <v>-0.030583502158596</v>
      </c>
      <c r="K47" s="20" t="n">
        <f aca="false">'History Y-2'!AJ47*(1+$E$62)</f>
        <v>400978.81740833</v>
      </c>
      <c r="L47" s="77" t="n">
        <f aca="false">IFERROR(K47/I47-1,0)</f>
        <v>0.088629692247485</v>
      </c>
      <c r="M47" s="14" t="str">
        <f aca="false">'History Y-1'!S47&amp;""</f>
        <v/>
      </c>
      <c r="N47" s="29" t="n">
        <f aca="false">IFERROR((Settings!$B$10*'History Y-2'!AK47*('History Y-2'!$S47&lt;&gt;"Y")+Settings!$B$11*'History Y-3'!AK47*('History Y-3'!$S47&lt;&gt;"Y")+Settings!$B$12*'History Y-4'!AK47*('History Y-4'!$S47&lt;&gt;"Y"))/(Settings!$B$10*('History Y-2'!$S47&lt;&gt;"Y")+Settings!$B$11*('History Y-3'!$S47&lt;&gt;"Y")+Settings!$B$12*('History Y-4'!$S47&lt;&gt;"Y")),'History Y-2'!AK47)</f>
        <v>0.0189063580506987</v>
      </c>
    </row>
    <row r="48" customFormat="false" ht="15" hidden="false" customHeight="false" outlineLevel="0" collapsed="false">
      <c r="A48" s="13" t="n">
        <v>43</v>
      </c>
      <c r="B48" s="14" t="str">
        <f aca="false">Calendar!D48</f>
        <v>P10</v>
      </c>
      <c r="C48" s="57" t="n">
        <f aca="false">IFERROR(N48/SUM($N$6:$N$57),0)</f>
        <v>0.0377496246317868</v>
      </c>
      <c r="D48" s="21" t="n">
        <f aca="false">'History Y-2'!$I$58*(1+$L$2)*C48</f>
        <v>621346.475424475</v>
      </c>
      <c r="E48" s="29" t="n">
        <f aca="false">IFERROR((Settings!$B$10*'History Y-2'!U48*('History Y-2'!$S48&lt;&gt;"Y")+Settings!$B$11*'History Y-3'!U48*('History Y-3'!$S48&lt;&gt;"Y")+Settings!$B$12*'History Y-4'!U48*('History Y-4'!$S48&lt;&gt;"Y"))/(Settings!$B$10*('History Y-2'!$S48&lt;&gt;"Y")+Settings!$B$11*('History Y-3'!$S48&lt;&gt;"Y")+Settings!$B$12*('History Y-4'!$S48&lt;&gt;"Y")),'History Y-2'!U48)</f>
        <v>0.0299971025361991</v>
      </c>
      <c r="F48" s="23" t="n">
        <f aca="false">IFERROR((Settings!$B$10*'History Y-2'!V48*('History Y-2'!$S48&lt;&gt;"Y")+Settings!$B$11*'History Y-3'!V48*('History Y-3'!$S48&lt;&gt;"Y")+Settings!$B$12*'History Y-4'!V48*('History Y-4'!$S48&lt;&gt;"Y"))/(Settings!$B$10*('History Y-2'!$S48&lt;&gt;"Y")+Settings!$B$11*('History Y-3'!$S48&lt;&gt;"Y")+Settings!$B$12*('History Y-4'!$S48&lt;&gt;"Y")),'History Y-2'!V48)</f>
        <v>70.260694379961</v>
      </c>
      <c r="G48" s="31" t="n">
        <f aca="false">IFERROR((Settings!$B$10*'History Y-2'!Y48*('History Y-2'!$S48&lt;&gt;"Y")+Settings!$B$11*'History Y-3'!Y48*('History Y-3'!$S48&lt;&gt;"Y")+Settings!$B$12*'History Y-4'!Y48*('History Y-4'!$S48&lt;&gt;"Y"))/(Settings!$B$10*('History Y-2'!$S48&lt;&gt;"Y")+Settings!$B$11*('History Y-3'!$S48&lt;&gt;"Y")+Settings!$B$12*('History Y-4'!$S48&lt;&gt;"Y")),'History Y-2'!Y48)</f>
        <v>0.278867426965123</v>
      </c>
      <c r="H48" s="49" t="n">
        <f aca="false">D48*E48*(1+$L$3)*F48*(1+$L$4)*(1-G48)</f>
        <v>944366.770449038</v>
      </c>
      <c r="I48" s="20" t="n">
        <f aca="false">'History Y-1'!AJ48</f>
        <v>1016847.86</v>
      </c>
      <c r="J48" s="77" t="n">
        <f aca="false">IFERROR(H48/I48-1,0)</f>
        <v>-0.0712801712057122</v>
      </c>
      <c r="K48" s="20" t="n">
        <f aca="false">'History Y-2'!AJ48*(1+$E$62)</f>
        <v>1066525.50229946</v>
      </c>
      <c r="L48" s="77" t="n">
        <f aca="false">IFERROR(K48/I48-1,0)</f>
        <v>0.0488545477191209</v>
      </c>
      <c r="M48" s="14" t="str">
        <f aca="false">'History Y-1'!S48&amp;""</f>
        <v/>
      </c>
      <c r="N48" s="29" t="n">
        <f aca="false">IFERROR((Settings!$B$10*'History Y-2'!AK48*('History Y-2'!$S48&lt;&gt;"Y")+Settings!$B$11*'History Y-3'!AK48*('History Y-3'!$S48&lt;&gt;"Y")+Settings!$B$12*'History Y-4'!AK48*('History Y-4'!$S48&lt;&gt;"Y"))/(Settings!$B$10*('History Y-2'!$S48&lt;&gt;"Y")+Settings!$B$11*('History Y-3'!$S48&lt;&gt;"Y")+Settings!$B$12*('History Y-4'!$S48&lt;&gt;"Y")),'History Y-2'!AK48)</f>
        <v>0.0378114610300005</v>
      </c>
    </row>
    <row r="49" customFormat="false" ht="15" hidden="false" customHeight="false" outlineLevel="0" collapsed="false">
      <c r="A49" s="13" t="n">
        <v>44</v>
      </c>
      <c r="B49" s="14" t="str">
        <f aca="false">Calendar!D49</f>
        <v>P11</v>
      </c>
      <c r="C49" s="57" t="n">
        <f aca="false">IFERROR(N49/SUM($N$6:$N$57),0)</f>
        <v>0.0308713646779099</v>
      </c>
      <c r="D49" s="21" t="n">
        <f aca="false">'History Y-2'!$I$58*(1+$L$2)*C49</f>
        <v>508132.566118579</v>
      </c>
      <c r="E49" s="29" t="n">
        <f aca="false">IFERROR((Settings!$B$10*'History Y-2'!U49*('History Y-2'!$S49&lt;&gt;"Y")+Settings!$B$11*'History Y-3'!U49*('History Y-3'!$S49&lt;&gt;"Y")+Settings!$B$12*'History Y-4'!U49*('History Y-4'!$S49&lt;&gt;"Y"))/(Settings!$B$10*('History Y-2'!$S49&lt;&gt;"Y")+Settings!$B$11*('History Y-3'!$S49&lt;&gt;"Y")+Settings!$B$12*('History Y-4'!$S49&lt;&gt;"Y")),'History Y-2'!U49)</f>
        <v>0.0268764028544273</v>
      </c>
      <c r="F49" s="23" t="n">
        <f aca="false">IFERROR((Settings!$B$10*'History Y-2'!V49*('History Y-2'!$S49&lt;&gt;"Y")+Settings!$B$11*'History Y-3'!V49*('History Y-3'!$S49&lt;&gt;"Y")+Settings!$B$12*'History Y-4'!V49*('History Y-4'!$S49&lt;&gt;"Y"))/(Settings!$B$10*('History Y-2'!$S49&lt;&gt;"Y")+Settings!$B$11*('History Y-3'!$S49&lt;&gt;"Y")+Settings!$B$12*('History Y-4'!$S49&lt;&gt;"Y")),'History Y-2'!V49)</f>
        <v>70.329101948661</v>
      </c>
      <c r="G49" s="31" t="n">
        <f aca="false">IFERROR((Settings!$B$10*'History Y-2'!Y49*('History Y-2'!$S49&lt;&gt;"Y")+Settings!$B$11*'History Y-3'!Y49*('History Y-3'!$S49&lt;&gt;"Y")+Settings!$B$12*'History Y-4'!Y49*('History Y-4'!$S49&lt;&gt;"Y"))/(Settings!$B$10*('History Y-2'!$S49&lt;&gt;"Y")+Settings!$B$11*('History Y-3'!$S49&lt;&gt;"Y")+Settings!$B$12*('History Y-4'!$S49&lt;&gt;"Y")),'History Y-2'!Y49)</f>
        <v>0.287093932886765</v>
      </c>
      <c r="H49" s="49" t="n">
        <f aca="false">D49*E49*(1+$L$3)*F49*(1+$L$4)*(1-G49)</f>
        <v>684724.006261084</v>
      </c>
      <c r="I49" s="20" t="n">
        <f aca="false">'History Y-1'!AJ49</f>
        <v>726816.04</v>
      </c>
      <c r="J49" s="77" t="n">
        <f aca="false">IFERROR(H49/I49-1,0)</f>
        <v>-0.0579129125148582</v>
      </c>
      <c r="K49" s="20" t="n">
        <f aca="false">'History Y-2'!AJ49*(1+$E$62)</f>
        <v>741116.467337421</v>
      </c>
      <c r="L49" s="77" t="n">
        <f aca="false">IFERROR(K49/I49-1,0)</f>
        <v>0.0196754426848105</v>
      </c>
      <c r="M49" s="14" t="str">
        <f aca="false">'History Y-1'!S49&amp;""</f>
        <v/>
      </c>
      <c r="N49" s="29" t="n">
        <f aca="false">IFERROR((Settings!$B$10*'History Y-2'!AK49*('History Y-2'!$S49&lt;&gt;"Y")+Settings!$B$11*'History Y-3'!AK49*('History Y-3'!$S49&lt;&gt;"Y")+Settings!$B$12*'History Y-4'!AK49*('History Y-4'!$S49&lt;&gt;"Y"))/(Settings!$B$10*('History Y-2'!$S49&lt;&gt;"Y")+Settings!$B$11*('History Y-3'!$S49&lt;&gt;"Y")+Settings!$B$12*('History Y-4'!$S49&lt;&gt;"Y")),'History Y-2'!AK49)</f>
        <v>0.0309219340284199</v>
      </c>
    </row>
    <row r="50" customFormat="false" ht="15" hidden="false" customHeight="false" outlineLevel="0" collapsed="false">
      <c r="A50" s="13" t="n">
        <v>45</v>
      </c>
      <c r="B50" s="14" t="str">
        <f aca="false">Calendar!D50</f>
        <v>P11</v>
      </c>
      <c r="C50" s="57" t="n">
        <f aca="false">IFERROR(N50/SUM($N$6:$N$57),0)</f>
        <v>0.0249502010902938</v>
      </c>
      <c r="D50" s="21" t="n">
        <f aca="false">'History Y-2'!$I$58*(1+$L$2)*C50</f>
        <v>410672.149982969</v>
      </c>
      <c r="E50" s="29" t="n">
        <f aca="false">IFERROR((Settings!$B$10*'History Y-2'!U50*('History Y-2'!$S50&lt;&gt;"Y")+Settings!$B$11*'History Y-3'!U50*('History Y-3'!$S50&lt;&gt;"Y")+Settings!$B$12*'History Y-4'!U50*('History Y-4'!$S50&lt;&gt;"Y"))/(Settings!$B$10*('History Y-2'!$S50&lt;&gt;"Y")+Settings!$B$11*('History Y-3'!$S50&lt;&gt;"Y")+Settings!$B$12*('History Y-4'!$S50&lt;&gt;"Y")),'History Y-2'!U50)</f>
        <v>0.0236496656230679</v>
      </c>
      <c r="F50" s="23" t="n">
        <f aca="false">IFERROR((Settings!$B$10*'History Y-2'!V50*('History Y-2'!$S50&lt;&gt;"Y")+Settings!$B$11*'History Y-3'!V50*('History Y-3'!$S50&lt;&gt;"Y")+Settings!$B$12*'History Y-4'!V50*('History Y-4'!$S50&lt;&gt;"Y"))/(Settings!$B$10*('History Y-2'!$S50&lt;&gt;"Y")+Settings!$B$11*('History Y-3'!$S50&lt;&gt;"Y")+Settings!$B$12*('History Y-4'!$S50&lt;&gt;"Y")),'History Y-2'!V50)</f>
        <v>79.1125956440887</v>
      </c>
      <c r="G50" s="31" t="n">
        <f aca="false">IFERROR((Settings!$B$10*'History Y-2'!Y50*('History Y-2'!$S50&lt;&gt;"Y")+Settings!$B$11*'History Y-3'!Y50*('History Y-3'!$S50&lt;&gt;"Y")+Settings!$B$12*'History Y-4'!Y50*('History Y-4'!$S50&lt;&gt;"Y"))/(Settings!$B$10*('History Y-2'!$S50&lt;&gt;"Y")+Settings!$B$11*('History Y-3'!$S50&lt;&gt;"Y")+Settings!$B$12*('History Y-4'!$S50&lt;&gt;"Y")),'History Y-2'!Y50)</f>
        <v>0.278969535933205</v>
      </c>
      <c r="H50" s="49" t="n">
        <f aca="false">D50*E50*(1+$L$3)*F50*(1+$L$4)*(1-G50)</f>
        <v>554012.424758435</v>
      </c>
      <c r="I50" s="20" t="n">
        <f aca="false">'History Y-1'!AJ50</f>
        <v>632383.35</v>
      </c>
      <c r="J50" s="77" t="n">
        <f aca="false">IFERROR(H50/I50-1,0)</f>
        <v>-0.123929457095234</v>
      </c>
      <c r="K50" s="20" t="n">
        <f aca="false">'History Y-2'!AJ50*(1+$E$62)</f>
        <v>659550.376667509</v>
      </c>
      <c r="L50" s="77" t="n">
        <f aca="false">IFERROR(K50/I50-1,0)</f>
        <v>0.0429597437495926</v>
      </c>
      <c r="M50" s="14" t="str">
        <f aca="false">'History Y-1'!S50&amp;""</f>
        <v/>
      </c>
      <c r="N50" s="29" t="n">
        <f aca="false">IFERROR((Settings!$B$10*'History Y-2'!AK50*('History Y-2'!$S50&lt;&gt;"Y")+Settings!$B$11*'History Y-3'!AK50*('History Y-3'!$S50&lt;&gt;"Y")+Settings!$B$12*'History Y-4'!AK50*('History Y-4'!$S50&lt;&gt;"Y"))/(Settings!$B$10*('History Y-2'!$S50&lt;&gt;"Y")+Settings!$B$11*('History Y-3'!$S50&lt;&gt;"Y")+Settings!$B$12*('History Y-4'!$S50&lt;&gt;"Y")),'History Y-2'!AK50)</f>
        <v>0.0249910711806637</v>
      </c>
    </row>
    <row r="51" customFormat="false" ht="15" hidden="false" customHeight="false" outlineLevel="0" collapsed="false">
      <c r="A51" s="13" t="n">
        <v>46</v>
      </c>
      <c r="B51" s="14" t="str">
        <f aca="false">Calendar!D51</f>
        <v>P11</v>
      </c>
      <c r="C51" s="57" t="n">
        <f aca="false">IFERROR(N51/SUM($N$6:$N$57),0)</f>
        <v>0.0231703106877506</v>
      </c>
      <c r="D51" s="21" t="n">
        <f aca="false">'History Y-2'!$I$58*(1+$L$2)*C51</f>
        <v>381375.736070264</v>
      </c>
      <c r="E51" s="29" t="n">
        <f aca="false">IFERROR((Settings!$B$10*'History Y-2'!U51*('History Y-2'!$S51&lt;&gt;"Y")+Settings!$B$11*'History Y-3'!U51*('History Y-3'!$S51&lt;&gt;"Y")+Settings!$B$12*'History Y-4'!U51*('History Y-4'!$S51&lt;&gt;"Y"))/(Settings!$B$10*('History Y-2'!$S51&lt;&gt;"Y")+Settings!$B$11*('History Y-3'!$S51&lt;&gt;"Y")+Settings!$B$12*('History Y-4'!$S51&lt;&gt;"Y")),'History Y-2'!U51)</f>
        <v>0.0230029057909258</v>
      </c>
      <c r="F51" s="23" t="n">
        <f aca="false">IFERROR((Settings!$B$10*'History Y-2'!V51*('History Y-2'!$S51&lt;&gt;"Y")+Settings!$B$11*'History Y-3'!V51*('History Y-3'!$S51&lt;&gt;"Y")+Settings!$B$12*'History Y-4'!V51*('History Y-4'!$S51&lt;&gt;"Y"))/(Settings!$B$10*('History Y-2'!$S51&lt;&gt;"Y")+Settings!$B$11*('History Y-3'!$S51&lt;&gt;"Y")+Settings!$B$12*('History Y-4'!$S51&lt;&gt;"Y")),'History Y-2'!V51)</f>
        <v>80.8055982697147</v>
      </c>
      <c r="G51" s="31" t="n">
        <f aca="false">IFERROR((Settings!$B$10*'History Y-2'!Y51*('History Y-2'!$S51&lt;&gt;"Y")+Settings!$B$11*'History Y-3'!Y51*('History Y-3'!$S51&lt;&gt;"Y")+Settings!$B$12*'History Y-4'!Y51*('History Y-4'!$S51&lt;&gt;"Y"))/(Settings!$B$10*('History Y-2'!$S51&lt;&gt;"Y")+Settings!$B$11*('History Y-3'!$S51&lt;&gt;"Y")+Settings!$B$12*('History Y-4'!$S51&lt;&gt;"Y")),'History Y-2'!Y51)</f>
        <v>0.276559190446598</v>
      </c>
      <c r="H51" s="49" t="n">
        <f aca="false">D51*E51*(1+$L$3)*F51*(1+$L$4)*(1-G51)</f>
        <v>512838.018504179</v>
      </c>
      <c r="I51" s="20" t="n">
        <f aca="false">'History Y-1'!AJ51</f>
        <v>554652.97</v>
      </c>
      <c r="J51" s="77" t="n">
        <f aca="false">IFERROR(H51/I51-1,0)</f>
        <v>-0.0753893943736038</v>
      </c>
      <c r="K51" s="20" t="n">
        <f aca="false">'History Y-2'!AJ51*(1+$E$62)</f>
        <v>568684.351063199</v>
      </c>
      <c r="L51" s="77" t="n">
        <f aca="false">IFERROR(K51/I51-1,0)</f>
        <v>0.0252975857376179</v>
      </c>
      <c r="M51" s="14" t="str">
        <f aca="false">'History Y-1'!S51&amp;""</f>
        <v/>
      </c>
      <c r="N51" s="29" t="n">
        <f aca="false">IFERROR((Settings!$B$10*'History Y-2'!AK51*('History Y-2'!$S51&lt;&gt;"Y")+Settings!$B$11*'History Y-3'!AK51*('History Y-3'!$S51&lt;&gt;"Y")+Settings!$B$12*'History Y-4'!AK51*('History Y-4'!$S51&lt;&gt;"Y"))/(Settings!$B$10*('History Y-2'!$S51&lt;&gt;"Y")+Settings!$B$11*('History Y-3'!$S51&lt;&gt;"Y")+Settings!$B$12*('History Y-4'!$S51&lt;&gt;"Y")),'History Y-2'!AK51)</f>
        <v>0.0232082651991504</v>
      </c>
    </row>
    <row r="52" customFormat="false" ht="15" hidden="false" customHeight="false" outlineLevel="0" collapsed="false">
      <c r="A52" s="13" t="n">
        <v>47</v>
      </c>
      <c r="B52" s="14" t="str">
        <f aca="false">Calendar!D52</f>
        <v>P11</v>
      </c>
      <c r="C52" s="57" t="n">
        <f aca="false">IFERROR(N52/SUM($N$6:$N$57),0)</f>
        <v>0.017081590426904</v>
      </c>
      <c r="D52" s="21" t="n">
        <f aca="false">'History Y-2'!$I$58*(1+$L$2)*C52</f>
        <v>281157.391892691</v>
      </c>
      <c r="E52" s="29" t="n">
        <f aca="false">IFERROR((Settings!$B$10*'History Y-2'!U52*('History Y-2'!$S52&lt;&gt;"Y")+Settings!$B$11*'History Y-3'!U52*('History Y-3'!$S52&lt;&gt;"Y")+Settings!$B$12*'History Y-4'!U52*('History Y-4'!$S52&lt;&gt;"Y"))/(Settings!$B$10*('History Y-2'!$S52&lt;&gt;"Y")+Settings!$B$11*('History Y-3'!$S52&lt;&gt;"Y")+Settings!$B$12*('History Y-4'!$S52&lt;&gt;"Y")),'History Y-2'!U52)</f>
        <v>0.0207946700505286</v>
      </c>
      <c r="F52" s="23" t="n">
        <f aca="false">IFERROR((Settings!$B$10*'History Y-2'!V52*('History Y-2'!$S52&lt;&gt;"Y")+Settings!$B$11*'History Y-3'!V52*('History Y-3'!$S52&lt;&gt;"Y")+Settings!$B$12*'History Y-4'!V52*('History Y-4'!$S52&lt;&gt;"Y"))/(Settings!$B$10*('History Y-2'!$S52&lt;&gt;"Y")+Settings!$B$11*('History Y-3'!$S52&lt;&gt;"Y")+Settings!$B$12*('History Y-4'!$S52&lt;&gt;"Y")),'History Y-2'!V52)</f>
        <v>73.0565427321774</v>
      </c>
      <c r="G52" s="31" t="n">
        <f aca="false">IFERROR((Settings!$B$10*'History Y-2'!Y52*('History Y-2'!$S52&lt;&gt;"Y")+Settings!$B$11*'History Y-3'!Y52*('History Y-3'!$S52&lt;&gt;"Y")+Settings!$B$12*'History Y-4'!Y52*('History Y-4'!$S52&lt;&gt;"Y"))/(Settings!$B$10*('History Y-2'!$S52&lt;&gt;"Y")+Settings!$B$11*('History Y-3'!$S52&lt;&gt;"Y")+Settings!$B$12*('History Y-4'!$S52&lt;&gt;"Y")),'History Y-2'!Y52)</f>
        <v>0.253736040346423</v>
      </c>
      <c r="H52" s="49" t="n">
        <f aca="false">D52*E52*(1+$L$3)*F52*(1+$L$4)*(1-G52)</f>
        <v>318752.150974319</v>
      </c>
      <c r="I52" s="20" t="n">
        <f aca="false">'History Y-1'!AJ52</f>
        <v>360412.57</v>
      </c>
      <c r="J52" s="77" t="n">
        <f aca="false">IFERROR(H52/I52-1,0)</f>
        <v>-0.115590915782102</v>
      </c>
      <c r="K52" s="20" t="n">
        <f aca="false">'History Y-2'!AJ52*(1+$E$62)</f>
        <v>357244.393002295</v>
      </c>
      <c r="L52" s="77" t="n">
        <f aca="false">IFERROR(K52/I52-1,0)</f>
        <v>-0.00879041759754595</v>
      </c>
      <c r="M52" s="14" t="str">
        <f aca="false">'History Y-1'!S52&amp;""</f>
        <v/>
      </c>
      <c r="N52" s="29" t="n">
        <f aca="false">IFERROR((Settings!$B$10*'History Y-2'!AK52*('History Y-2'!$S52&lt;&gt;"Y")+Settings!$B$11*'History Y-3'!AK52*('History Y-3'!$S52&lt;&gt;"Y")+Settings!$B$12*'History Y-4'!AK52*('History Y-4'!$S52&lt;&gt;"Y"))/(Settings!$B$10*('History Y-2'!$S52&lt;&gt;"Y")+Settings!$B$11*('History Y-3'!$S52&lt;&gt;"Y")+Settings!$B$12*('History Y-4'!$S52&lt;&gt;"Y")),'History Y-2'!AK52)</f>
        <v>0.0171095712091784</v>
      </c>
    </row>
    <row r="53" customFormat="false" ht="15" hidden="false" customHeight="false" outlineLevel="0" collapsed="false">
      <c r="A53" s="13" t="n">
        <v>48</v>
      </c>
      <c r="B53" s="14" t="str">
        <f aca="false">Calendar!D53</f>
        <v>P12</v>
      </c>
      <c r="C53" s="57" t="n">
        <f aca="false">IFERROR(N53/SUM($N$6:$N$57),0)</f>
        <v>0.0311272457476908</v>
      </c>
      <c r="D53" s="21" t="n">
        <f aca="false">'History Y-2'!$I$58*(1+$L$2)*C53</f>
        <v>512344.284841269</v>
      </c>
      <c r="E53" s="29" t="n">
        <f aca="false">IFERROR((Settings!$B$10*'History Y-2'!U53*('History Y-2'!$S53&lt;&gt;"Y")+Settings!$B$11*'History Y-3'!U53*('History Y-3'!$S53&lt;&gt;"Y")+Settings!$B$12*'History Y-4'!U53*('History Y-4'!$S53&lt;&gt;"Y"))/(Settings!$B$10*('History Y-2'!$S53&lt;&gt;"Y")+Settings!$B$11*('History Y-3'!$S53&lt;&gt;"Y")+Settings!$B$12*('History Y-4'!$S53&lt;&gt;"Y")),'History Y-2'!U53)</f>
        <v>0.0271587145391352</v>
      </c>
      <c r="F53" s="23" t="n">
        <f aca="false">IFERROR((Settings!$B$10*'History Y-2'!V53*('History Y-2'!$S53&lt;&gt;"Y")+Settings!$B$11*'History Y-3'!V53*('History Y-3'!$S53&lt;&gt;"Y")+Settings!$B$12*'History Y-4'!V53*('History Y-4'!$S53&lt;&gt;"Y"))/(Settings!$B$10*('History Y-2'!$S53&lt;&gt;"Y")+Settings!$B$11*('History Y-3'!$S53&lt;&gt;"Y")+Settings!$B$12*('History Y-4'!$S53&lt;&gt;"Y")),'History Y-2'!V53)</f>
        <v>64.9724839226836</v>
      </c>
      <c r="G53" s="31" t="n">
        <f aca="false">IFERROR((Settings!$B$10*'History Y-2'!Y53*('History Y-2'!$S53&lt;&gt;"Y")+Settings!$B$11*'History Y-3'!Y53*('History Y-3'!$S53&lt;&gt;"Y")+Settings!$B$12*'History Y-4'!Y53*('History Y-4'!$S53&lt;&gt;"Y"))/(Settings!$B$10*('History Y-2'!$S53&lt;&gt;"Y")+Settings!$B$11*('History Y-3'!$S53&lt;&gt;"Y")+Settings!$B$12*('History Y-4'!$S53&lt;&gt;"Y")),'History Y-2'!Y53)</f>
        <v>0.244463750629322</v>
      </c>
      <c r="H53" s="49" t="n">
        <f aca="false">D53*E53*(1+$L$3)*F53*(1+$L$4)*(1-G53)</f>
        <v>683055.326902297</v>
      </c>
      <c r="I53" s="20" t="n">
        <f aca="false">'History Y-1'!AJ53</f>
        <v>748528.73</v>
      </c>
      <c r="J53" s="77" t="n">
        <f aca="false">IFERROR(H53/I53-1,0)</f>
        <v>-0.0874694590516291</v>
      </c>
      <c r="K53" s="20" t="n">
        <f aca="false">'History Y-2'!AJ53*(1+$E$62)</f>
        <v>753178.866128557</v>
      </c>
      <c r="L53" s="77" t="n">
        <f aca="false">IFERROR(K53/I53-1,0)</f>
        <v>0.00621236826615434</v>
      </c>
      <c r="M53" s="14" t="str">
        <f aca="false">'History Y-1'!S53&amp;""</f>
        <v/>
      </c>
      <c r="N53" s="29" t="n">
        <f aca="false">IFERROR((Settings!$B$10*'History Y-2'!AK53*('History Y-2'!$S53&lt;&gt;"Y")+Settings!$B$11*'History Y-3'!AK53*('History Y-3'!$S53&lt;&gt;"Y")+Settings!$B$12*'History Y-4'!AK53*('History Y-4'!$S53&lt;&gt;"Y"))/(Settings!$B$10*('History Y-2'!$S53&lt;&gt;"Y")+Settings!$B$11*('History Y-3'!$S53&lt;&gt;"Y")+Settings!$B$12*('History Y-4'!$S53&lt;&gt;"Y")),'History Y-2'!AK53)</f>
        <v>0.0311782342484276</v>
      </c>
    </row>
    <row r="54" customFormat="false" ht="15" hidden="false" customHeight="false" outlineLevel="0" collapsed="false">
      <c r="A54" s="13" t="n">
        <v>49</v>
      </c>
      <c r="B54" s="14" t="str">
        <f aca="false">Calendar!D54</f>
        <v>P12</v>
      </c>
      <c r="C54" s="57" t="n">
        <f aca="false">IFERROR(N54/SUM($N$6:$N$57),0)</f>
        <v>0.0261608310266105</v>
      </c>
      <c r="D54" s="21" t="n">
        <f aca="false">'History Y-2'!$I$58*(1+$L$2)*C54</f>
        <v>430598.722798222</v>
      </c>
      <c r="E54" s="29" t="n">
        <f aca="false">IFERROR((Settings!$B$10*'History Y-2'!U54*('History Y-2'!$S54&lt;&gt;"Y")+Settings!$B$11*'History Y-3'!U54*('History Y-3'!$S54&lt;&gt;"Y")+Settings!$B$12*'History Y-4'!U54*('History Y-4'!$S54&lt;&gt;"Y"))/(Settings!$B$10*('History Y-2'!$S54&lt;&gt;"Y")+Settings!$B$11*('History Y-3'!$S54&lt;&gt;"Y")+Settings!$B$12*('History Y-4'!$S54&lt;&gt;"Y")),'History Y-2'!U54)</f>
        <v>0.0252262560397189</v>
      </c>
      <c r="F54" s="23" t="n">
        <f aca="false">IFERROR((Settings!$B$10*'History Y-2'!V54*('History Y-2'!$S54&lt;&gt;"Y")+Settings!$B$11*'History Y-3'!V54*('History Y-3'!$S54&lt;&gt;"Y")+Settings!$B$12*'History Y-4'!V54*('History Y-4'!$S54&lt;&gt;"Y"))/(Settings!$B$10*('History Y-2'!$S54&lt;&gt;"Y")+Settings!$B$11*('History Y-3'!$S54&lt;&gt;"Y")+Settings!$B$12*('History Y-4'!$S54&lt;&gt;"Y")),'History Y-2'!V54)</f>
        <v>65.1847989102032</v>
      </c>
      <c r="G54" s="31" t="n">
        <f aca="false">IFERROR((Settings!$B$10*'History Y-2'!Y54*('History Y-2'!$S54&lt;&gt;"Y")+Settings!$B$11*'History Y-3'!Y54*('History Y-3'!$S54&lt;&gt;"Y")+Settings!$B$12*'History Y-4'!Y54*('History Y-4'!$S54&lt;&gt;"Y"))/(Settings!$B$10*('History Y-2'!$S54&lt;&gt;"Y")+Settings!$B$11*('History Y-3'!$S54&lt;&gt;"Y")+Settings!$B$12*('History Y-4'!$S54&lt;&gt;"Y")),'History Y-2'!Y54)</f>
        <v>0.233080581833183</v>
      </c>
      <c r="H54" s="49" t="n">
        <f aca="false">D54*E54*(1+$L$3)*F54*(1+$L$4)*(1-G54)</f>
        <v>543027.221471109</v>
      </c>
      <c r="I54" s="20" t="n">
        <f aca="false">'History Y-1'!AJ54</f>
        <v>561461.68</v>
      </c>
      <c r="J54" s="77" t="n">
        <f aca="false">IFERROR(H54/I54-1,0)</f>
        <v>-0.0328329771835741</v>
      </c>
      <c r="K54" s="20" t="n">
        <f aca="false">'History Y-2'!AJ54*(1+$E$62)</f>
        <v>592468.118800633</v>
      </c>
      <c r="L54" s="77" t="n">
        <f aca="false">IFERROR(K54/I54-1,0)</f>
        <v>0.0552244968893214</v>
      </c>
      <c r="M54" s="14" t="str">
        <f aca="false">'History Y-1'!S54&amp;""</f>
        <v/>
      </c>
      <c r="N54" s="29" t="n">
        <f aca="false">IFERROR((Settings!$B$10*'History Y-2'!AK54*('History Y-2'!$S54&lt;&gt;"Y")+Settings!$B$11*'History Y-3'!AK54*('History Y-3'!$S54&lt;&gt;"Y")+Settings!$B$12*'History Y-4'!AK54*('History Y-4'!$S54&lt;&gt;"Y"))/(Settings!$B$10*('History Y-2'!$S54&lt;&gt;"Y")+Settings!$B$11*('History Y-3'!$S54&lt;&gt;"Y")+Settings!$B$12*('History Y-4'!$S54&lt;&gt;"Y")),'History Y-2'!AK54)</f>
        <v>0.0262036842094102</v>
      </c>
    </row>
    <row r="55" customFormat="false" ht="15" hidden="false" customHeight="false" outlineLevel="0" collapsed="false">
      <c r="A55" s="13" t="n">
        <v>50</v>
      </c>
      <c r="B55" s="14" t="str">
        <f aca="false">Calendar!D55</f>
        <v>P12</v>
      </c>
      <c r="C55" s="57" t="n">
        <f aca="false">IFERROR(N55/SUM($N$6:$N$57),0)</f>
        <v>0.0206749198197042</v>
      </c>
      <c r="D55" s="21" t="n">
        <f aca="false">'History Y-2'!$I$58*(1+$L$2)*C55</f>
        <v>340302.418499804</v>
      </c>
      <c r="E55" s="29" t="n">
        <f aca="false">IFERROR((Settings!$B$10*'History Y-2'!U55*('History Y-2'!$S55&lt;&gt;"Y")+Settings!$B$11*'History Y-3'!U55*('History Y-3'!$S55&lt;&gt;"Y")+Settings!$B$12*'History Y-4'!U55*('History Y-4'!$S55&lt;&gt;"Y"))/(Settings!$B$10*('History Y-2'!$S55&lt;&gt;"Y")+Settings!$B$11*('History Y-3'!$S55&lt;&gt;"Y")+Settings!$B$12*('History Y-4'!$S55&lt;&gt;"Y")),'History Y-2'!U55)</f>
        <v>0.0226069296822007</v>
      </c>
      <c r="F55" s="23" t="n">
        <f aca="false">IFERROR((Settings!$B$10*'History Y-2'!V55*('History Y-2'!$S55&lt;&gt;"Y")+Settings!$B$11*'History Y-3'!V55*('History Y-3'!$S55&lt;&gt;"Y")+Settings!$B$12*'History Y-4'!V55*('History Y-4'!$S55&lt;&gt;"Y"))/(Settings!$B$10*('History Y-2'!$S55&lt;&gt;"Y")+Settings!$B$11*('History Y-3'!$S55&lt;&gt;"Y")+Settings!$B$12*('History Y-4'!$S55&lt;&gt;"Y")),'History Y-2'!V55)</f>
        <v>66.9872196645671</v>
      </c>
      <c r="G55" s="31" t="n">
        <f aca="false">IFERROR((Settings!$B$10*'History Y-2'!Y55*('History Y-2'!$S55&lt;&gt;"Y")+Settings!$B$11*'History Y-3'!Y55*('History Y-3'!$S55&lt;&gt;"Y")+Settings!$B$12*'History Y-4'!Y55*('History Y-4'!$S55&lt;&gt;"Y"))/(Settings!$B$10*('History Y-2'!$S55&lt;&gt;"Y")+Settings!$B$11*('History Y-3'!$S55&lt;&gt;"Y")+Settings!$B$12*('History Y-4'!$S55&lt;&gt;"Y")),'History Y-2'!Y55)</f>
        <v>0.245421571837118</v>
      </c>
      <c r="H55" s="49" t="n">
        <f aca="false">D55*E55*(1+$L$3)*F55*(1+$L$4)*(1-G55)</f>
        <v>388868.672112416</v>
      </c>
      <c r="I55" s="20" t="n">
        <f aca="false">'History Y-1'!AJ55</f>
        <v>415572.96</v>
      </c>
      <c r="J55" s="77" t="n">
        <f aca="false">IFERROR(H55/I55-1,0)</f>
        <v>-0.0642589640278417</v>
      </c>
      <c r="K55" s="20" t="n">
        <f aca="false">'History Y-2'!AJ55*(1+$E$62)</f>
        <v>439979.521102883</v>
      </c>
      <c r="L55" s="77" t="n">
        <f aca="false">IFERROR(K55/I55-1,0)</f>
        <v>0.0587299065436853</v>
      </c>
      <c r="M55" s="14" t="str">
        <f aca="false">'History Y-1'!S55&amp;""</f>
        <v/>
      </c>
      <c r="N55" s="29" t="n">
        <f aca="false">IFERROR((Settings!$B$10*'History Y-2'!AK55*('History Y-2'!$S55&lt;&gt;"Y")+Settings!$B$11*'History Y-3'!AK55*('History Y-3'!$S55&lt;&gt;"Y")+Settings!$B$12*'History Y-4'!AK55*('History Y-4'!$S55&lt;&gt;"Y"))/(Settings!$B$10*('History Y-2'!$S55&lt;&gt;"Y")+Settings!$B$11*('History Y-3'!$S55&lt;&gt;"Y")+Settings!$B$12*('History Y-4'!$S55&lt;&gt;"Y")),'History Y-2'!AK55)</f>
        <v>0.020708786714739</v>
      </c>
    </row>
    <row r="56" customFormat="false" ht="15" hidden="false" customHeight="false" outlineLevel="0" collapsed="false">
      <c r="A56" s="13" t="n">
        <v>51</v>
      </c>
      <c r="B56" s="14" t="str">
        <f aca="false">Calendar!D56</f>
        <v>P12</v>
      </c>
      <c r="C56" s="57" t="n">
        <f aca="false">IFERROR(N56/SUM($N$6:$N$57),0)</f>
        <v>0.0160358880735813</v>
      </c>
      <c r="D56" s="21" t="n">
        <f aca="false">'History Y-2'!$I$58*(1+$L$2)*C56</f>
        <v>263945.473153954</v>
      </c>
      <c r="E56" s="29" t="n">
        <f aca="false">IFERROR((Settings!$B$10*'History Y-2'!U56*('History Y-2'!$S56&lt;&gt;"Y")+Settings!$B$11*'History Y-3'!U56*('History Y-3'!$S56&lt;&gt;"Y")+Settings!$B$12*'History Y-4'!U56*('History Y-4'!$S56&lt;&gt;"Y"))/(Settings!$B$10*('History Y-2'!$S56&lt;&gt;"Y")+Settings!$B$11*('History Y-3'!$S56&lt;&gt;"Y")+Settings!$B$12*('History Y-4'!$S56&lt;&gt;"Y")),'History Y-2'!U56)</f>
        <v>0.0214865194665763</v>
      </c>
      <c r="F56" s="23" t="n">
        <f aca="false">IFERROR((Settings!$B$10*'History Y-2'!V56*('History Y-2'!$S56&lt;&gt;"Y")+Settings!$B$11*'History Y-3'!V56*('History Y-3'!$S56&lt;&gt;"Y")+Settings!$B$12*'History Y-4'!V56*('History Y-4'!$S56&lt;&gt;"Y"))/(Settings!$B$10*('History Y-2'!$S56&lt;&gt;"Y")+Settings!$B$11*('History Y-3'!$S56&lt;&gt;"Y")+Settings!$B$12*('History Y-4'!$S56&lt;&gt;"Y")),'History Y-2'!V56)</f>
        <v>72.5351412557762</v>
      </c>
      <c r="G56" s="31" t="n">
        <f aca="false">IFERROR((Settings!$B$10*'History Y-2'!Y56*('History Y-2'!$S56&lt;&gt;"Y")+Settings!$B$11*'History Y-3'!Y56*('History Y-3'!$S56&lt;&gt;"Y")+Settings!$B$12*'History Y-4'!Y56*('History Y-4'!$S56&lt;&gt;"Y"))/(Settings!$B$10*('History Y-2'!$S56&lt;&gt;"Y")+Settings!$B$11*('History Y-3'!$S56&lt;&gt;"Y")+Settings!$B$12*('History Y-4'!$S56&lt;&gt;"Y")),'History Y-2'!Y56)</f>
        <v>0.266017346537641</v>
      </c>
      <c r="H56" s="49" t="n">
        <f aca="false">D56*E56*(1+$L$3)*F56*(1+$L$4)*(1-G56)</f>
        <v>301935.756085675</v>
      </c>
      <c r="I56" s="20" t="n">
        <f aca="false">'History Y-1'!AJ56</f>
        <v>343622.68</v>
      </c>
      <c r="J56" s="77" t="n">
        <f aca="false">IFERROR(H56/I56-1,0)</f>
        <v>-0.121315985063398</v>
      </c>
      <c r="K56" s="20" t="n">
        <f aca="false">'History Y-2'!AJ56*(1+$E$62)</f>
        <v>338502.649389456</v>
      </c>
      <c r="L56" s="77" t="n">
        <f aca="false">IFERROR(K56/I56-1,0)</f>
        <v>-0.0149001533034537</v>
      </c>
      <c r="M56" s="14" t="str">
        <f aca="false">'History Y-1'!S56&amp;""</f>
        <v/>
      </c>
      <c r="N56" s="29" t="n">
        <f aca="false">IFERROR((Settings!$B$10*'History Y-2'!AK56*('History Y-2'!$S56&lt;&gt;"Y")+Settings!$B$11*'History Y-3'!AK56*('History Y-3'!$S56&lt;&gt;"Y")+Settings!$B$12*'History Y-4'!AK56*('History Y-4'!$S56&lt;&gt;"Y"))/(Settings!$B$10*('History Y-2'!$S56&lt;&gt;"Y")+Settings!$B$11*('History Y-3'!$S56&lt;&gt;"Y")+Settings!$B$12*('History Y-4'!$S56&lt;&gt;"Y")),'History Y-2'!AK56)</f>
        <v>0.0160621559257865</v>
      </c>
    </row>
    <row r="57" customFormat="false" ht="15" hidden="false" customHeight="false" outlineLevel="0" collapsed="false">
      <c r="A57" s="13" t="n">
        <v>52</v>
      </c>
      <c r="B57" s="14" t="str">
        <f aca="false">Calendar!D57</f>
        <v>P12</v>
      </c>
      <c r="C57" s="57" t="n">
        <f aca="false">IFERROR(N57/SUM($N$6:$N$57),0)</f>
        <v>0.0152252933609578</v>
      </c>
      <c r="D57" s="21" t="n">
        <f aca="false">'History Y-2'!$I$58*(1+$L$2)*C57</f>
        <v>250603.349289172</v>
      </c>
      <c r="E57" s="29" t="n">
        <f aca="false">IFERROR((Settings!$B$10*'History Y-2'!U57*('History Y-2'!$S57&lt;&gt;"Y")+Settings!$B$11*'History Y-3'!U57*('History Y-3'!$S57&lt;&gt;"Y")+Settings!$B$12*'History Y-4'!U57*('History Y-4'!$S57&lt;&gt;"Y"))/(Settings!$B$10*('History Y-2'!$S57&lt;&gt;"Y")+Settings!$B$11*('History Y-3'!$S57&lt;&gt;"Y")+Settings!$B$12*('History Y-4'!$S57&lt;&gt;"Y")),'History Y-2'!U57)</f>
        <v>0.0217201660124234</v>
      </c>
      <c r="F57" s="23" t="n">
        <f aca="false">IFERROR((Settings!$B$10*'History Y-2'!V57*('History Y-2'!$S57&lt;&gt;"Y")+Settings!$B$11*'History Y-3'!V57*('History Y-3'!$S57&lt;&gt;"Y")+Settings!$B$12*'History Y-4'!V57*('History Y-4'!$S57&lt;&gt;"Y"))/(Settings!$B$10*('History Y-2'!$S57&lt;&gt;"Y")+Settings!$B$11*('History Y-3'!$S57&lt;&gt;"Y")+Settings!$B$12*('History Y-4'!$S57&lt;&gt;"Y")),'History Y-2'!V57)</f>
        <v>74.2518071441312</v>
      </c>
      <c r="G57" s="31" t="n">
        <f aca="false">IFERROR((Settings!$B$10*'History Y-2'!Y57*('History Y-2'!$S57&lt;&gt;"Y")+Settings!$B$11*'History Y-3'!Y57*('History Y-3'!$S57&lt;&gt;"Y")+Settings!$B$12*'History Y-4'!Y57*('History Y-4'!$S57&lt;&gt;"Y"))/(Settings!$B$10*('History Y-2'!$S57&lt;&gt;"Y")+Settings!$B$11*('History Y-3'!$S57&lt;&gt;"Y")+Settings!$B$12*('History Y-4'!$S57&lt;&gt;"Y")),'History Y-2'!Y57)</f>
        <v>0.259542516070919</v>
      </c>
      <c r="H57" s="49" t="n">
        <f aca="false">D57*E57*(1+$L$3)*F57*(1+$L$4)*(1-G57)</f>
        <v>299265.853522885</v>
      </c>
      <c r="I57" s="20" t="n">
        <f aca="false">'History Y-1'!AJ57</f>
        <v>302068.5</v>
      </c>
      <c r="J57" s="77" t="n">
        <f aca="false">IFERROR(H57/I57-1,0)</f>
        <v>-0.0092781818597949</v>
      </c>
      <c r="K57" s="20" t="n">
        <f aca="false">'History Y-2'!AJ57*(1+$E$62)</f>
        <v>324940.363152485</v>
      </c>
      <c r="L57" s="77" t="n">
        <f aca="false">IFERROR(K57/I57-1,0)</f>
        <v>0.0757174718730533</v>
      </c>
      <c r="M57" s="14" t="str">
        <f aca="false">'History Y-1'!S57&amp;""</f>
        <v/>
      </c>
      <c r="N57" s="29" t="n">
        <f aca="false">IFERROR((Settings!$B$10*'History Y-2'!AK57*('History Y-2'!$S57&lt;&gt;"Y")+Settings!$B$11*'History Y-3'!AK57*('History Y-3'!$S57&lt;&gt;"Y")+Settings!$B$12*'History Y-4'!AK57*('History Y-4'!$S57&lt;&gt;"Y"))/(Settings!$B$10*('History Y-2'!$S57&lt;&gt;"Y")+Settings!$B$11*('History Y-3'!$S57&lt;&gt;"Y")+Settings!$B$12*('History Y-4'!$S57&lt;&gt;"Y")),'History Y-2'!AK57)</f>
        <v>0.0152502334050609</v>
      </c>
    </row>
    <row r="58" customFormat="false" ht="15" hidden="false" customHeight="false" outlineLevel="0" collapsed="false">
      <c r="A58" s="60" t="s">
        <v>483</v>
      </c>
      <c r="B58" s="61"/>
      <c r="C58" s="68"/>
      <c r="D58" s="62" t="n">
        <f aca="false">SUM(D6:D57)</f>
        <v>16459672.95</v>
      </c>
      <c r="E58" s="68"/>
      <c r="F58" s="94"/>
      <c r="G58" s="76"/>
      <c r="H58" s="63" t="n">
        <f aca="false">SUM(H6:H57)</f>
        <v>19519899.4969146</v>
      </c>
      <c r="I58" s="63" t="n">
        <f aca="false">SUM(I6:I57)</f>
        <v>21425109.97</v>
      </c>
      <c r="J58" s="95" t="n">
        <f aca="false">IFERROR(H58/I58-1,0)</f>
        <v>-0.0889241864220582</v>
      </c>
      <c r="K58" s="63" t="n">
        <f aca="false">SUM(K6:K57)</f>
        <v>21456076.8685178</v>
      </c>
      <c r="L58" s="95" t="n">
        <f aca="false">IFERROR(K58/I58-1,0)</f>
        <v>0.0014453554059306</v>
      </c>
      <c r="M58" s="61"/>
      <c r="N58" s="68"/>
    </row>
    <row r="60" customFormat="false" ht="15" hidden="false" customHeight="false" outlineLevel="0" collapsed="false">
      <c r="A60" s="15" t="s">
        <v>231</v>
      </c>
      <c r="B60" s="15"/>
      <c r="C60" s="15"/>
      <c r="D60" s="15"/>
      <c r="E60" s="15"/>
      <c r="F60" s="15"/>
    </row>
    <row r="61" customFormat="false" ht="42" hidden="false" customHeight="true" outlineLevel="0" collapsed="false">
      <c r="A61" s="19" t="s">
        <v>82</v>
      </c>
      <c r="B61" s="19"/>
      <c r="C61" s="19"/>
      <c r="D61" s="19"/>
      <c r="E61" s="19" t="s">
        <v>792</v>
      </c>
      <c r="F61" s="19" t="s">
        <v>793</v>
      </c>
    </row>
    <row r="62" customFormat="false" ht="15" hidden="false" customHeight="false" outlineLevel="0" collapsed="false">
      <c r="A62" s="13" t="s">
        <v>794</v>
      </c>
      <c r="E62" s="31" t="n">
        <f aca="false">IFERROR(('History Y-2'!AJ58/'History Y-4'!AJ58)^(1/2)-1,0)</f>
        <v>0.11012319283183</v>
      </c>
      <c r="F62" s="22" t="n">
        <f aca="false">E62</f>
        <v>0.11012319283183</v>
      </c>
    </row>
    <row r="63" customFormat="false" ht="15" hidden="false" customHeight="false" outlineLevel="0" collapsed="false">
      <c r="A63" s="13" t="s">
        <v>795</v>
      </c>
      <c r="E63" s="77" t="n">
        <f aca="false">J58</f>
        <v>-0.0889241864220582</v>
      </c>
      <c r="F63" s="77" t="n">
        <f aca="false">L58</f>
        <v>0.0014453554059306</v>
      </c>
    </row>
    <row r="64" customFormat="false" ht="15" hidden="false" customHeight="false" outlineLevel="0" collapsed="false">
      <c r="A64" s="13" t="s">
        <v>796</v>
      </c>
      <c r="E64" s="22" t="n">
        <f aca="false">SUMPRODUCT(ABS(J6:J57))/52</f>
        <v>0.0923952417876898</v>
      </c>
      <c r="F64" s="22" t="n">
        <f aca="false">SUMPRODUCT(ABS(L6:L57))/52</f>
        <v>0.0640911215300452</v>
      </c>
    </row>
    <row r="65" customFormat="false" ht="15" hidden="false" customHeight="false" outlineLevel="0" collapsed="false">
      <c r="A65" s="13" t="s">
        <v>797</v>
      </c>
      <c r="E65" s="22" t="n">
        <f aca="false">IFERROR(SUMPRODUCT(ABS(J6:J57)*(M6:M57&lt;&gt;"Y"))/SUMPRODUCT(--(M6:M57&lt;&gt;"Y")),0)</f>
        <v>0.0881800038909716</v>
      </c>
      <c r="F65" s="22" t="n">
        <f aca="false">IFERROR(SUMPRODUCT(ABS(L6:L57)*(M6:M57&lt;&gt;"Y"))/SUMPRODUCT(--(M6:M57&lt;&gt;"Y")),0)</f>
        <v>0.0575450810941444</v>
      </c>
    </row>
    <row r="66" customFormat="false" ht="15" hidden="false" customHeight="false" outlineLevel="0" collapsed="false">
      <c r="A66" s="13" t="s">
        <v>798</v>
      </c>
      <c r="E66" s="44" t="n">
        <f aca="false">SUMPRODUCT(--(ABS(J6:J57)&lt;ABS(L6:L57)))</f>
        <v>13</v>
      </c>
      <c r="F66" s="44" t="n">
        <f aca="false">52-E66</f>
        <v>39</v>
      </c>
    </row>
    <row r="68" customFormat="false" ht="15" hidden="false" customHeight="false" outlineLevel="0" collapsed="false">
      <c r="A68" s="13" t="s">
        <v>799</v>
      </c>
    </row>
    <row r="69" customFormat="false" ht="15" hidden="false" customHeight="false" outlineLevel="0" collapsed="false">
      <c r="A69" s="13" t="s">
        <v>800</v>
      </c>
    </row>
  </sheetData>
  <sheetProtection sheet="true" formatColumns="false" formatRows="false"/>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C5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7.35" hidden="false" customHeight="false" outlineLevel="0" collapsed="false">
      <c r="A1" s="1" t="s">
        <v>801</v>
      </c>
    </row>
    <row r="2" customFormat="false" ht="15" hidden="false" customHeight="false" outlineLevel="0" collapsed="false">
      <c r="A2" s="2" t="s">
        <v>802</v>
      </c>
    </row>
    <row r="5" customFormat="false" ht="42" hidden="false" customHeight="true" outlineLevel="0" collapsed="false">
      <c r="A5" s="19" t="s">
        <v>410</v>
      </c>
      <c r="B5" s="19" t="s">
        <v>413</v>
      </c>
      <c r="C5" s="19" t="s">
        <v>803</v>
      </c>
      <c r="D5" s="19" t="s">
        <v>551</v>
      </c>
      <c r="E5" s="19" t="s">
        <v>804</v>
      </c>
      <c r="F5" s="19" t="s">
        <v>557</v>
      </c>
      <c r="G5" s="19" t="s">
        <v>805</v>
      </c>
      <c r="H5" s="19" t="s">
        <v>563</v>
      </c>
      <c r="I5" s="19" t="s">
        <v>806</v>
      </c>
      <c r="J5" s="19" t="s">
        <v>807</v>
      </c>
      <c r="K5" s="19" t="s">
        <v>663</v>
      </c>
      <c r="L5" s="19" t="s">
        <v>454</v>
      </c>
      <c r="M5" s="19" t="s">
        <v>601</v>
      </c>
      <c r="N5" s="19" t="s">
        <v>467</v>
      </c>
      <c r="O5" s="19" t="s">
        <v>468</v>
      </c>
      <c r="P5" s="19" t="s">
        <v>603</v>
      </c>
      <c r="Q5" s="19" t="s">
        <v>87</v>
      </c>
      <c r="R5" s="19" t="s">
        <v>456</v>
      </c>
      <c r="S5" s="19" t="s">
        <v>576</v>
      </c>
      <c r="T5" s="19" t="s">
        <v>604</v>
      </c>
      <c r="U5" s="19" t="s">
        <v>605</v>
      </c>
      <c r="V5" s="19" t="s">
        <v>606</v>
      </c>
      <c r="W5" s="19" t="s">
        <v>608</v>
      </c>
      <c r="X5" s="19" t="s">
        <v>596</v>
      </c>
      <c r="Y5" s="19" t="s">
        <v>808</v>
      </c>
      <c r="Z5" s="19" t="s">
        <v>89</v>
      </c>
      <c r="AA5" s="19" t="s">
        <v>490</v>
      </c>
      <c r="AB5" s="19" t="s">
        <v>90</v>
      </c>
      <c r="AC5" s="19" t="s">
        <v>91</v>
      </c>
    </row>
    <row r="6" customFormat="false" ht="15" hidden="false" customHeight="false" outlineLevel="0" collapsed="false">
      <c r="A6" s="13" t="n">
        <v>1</v>
      </c>
      <c r="B6" s="14" t="str">
        <f aca="false">Calendar!D6</f>
        <v>P1</v>
      </c>
      <c r="C6" s="20" t="n">
        <f aca="false">IF('Media Plan'!D6&lt;&gt;"",'Media Plan'!D6,Assumptions!$D$10*Baseline!T6)</f>
        <v>29843.9706136967</v>
      </c>
      <c r="D6" s="21" t="n">
        <f aca="false">IFERROR(C6/(Baseline!H6*(1+Assumptions!$D$13)*IFERROR(MAX(0,C6)/'History Y-1'!P6,1)^Assumptions!$D$14),0)</f>
        <v>62450.2667659094</v>
      </c>
      <c r="E6" s="20" t="n">
        <f aca="false">IF('Media Plan'!J6&lt;&gt;"",'Media Plan'!J6,Assumptions!$D$11*Baseline!U6)</f>
        <v>14158.9060511355</v>
      </c>
      <c r="F6" s="21" t="n">
        <f aca="false">IFERROR(E6/(Baseline!I6*(1+Assumptions!$D$13)*IFERROR(MAX(0,E6)/'History Y-1'!Q6,1)^Assumptions!$D$15),0)</f>
        <v>38498.1068283715</v>
      </c>
      <c r="G6" s="20" t="n">
        <f aca="false">IF('Media Plan'!P6&lt;&gt;"",'Media Plan'!P6,Assumptions!$D$12*Baseline!V6)</f>
        <v>3261.09273756347</v>
      </c>
      <c r="H6" s="21" t="n">
        <f aca="false">IFERROR(G6/(Baseline!J6*(1+Assumptions!$D$13)*IFERROR(MAX(0,G6)/'History Y-1'!R6,1)^Assumptions!$D$16),0)</f>
        <v>12947.8694258626</v>
      </c>
      <c r="I6" s="21" t="n">
        <f aca="false">'History Y-1'!$F$58*(1+Assumptions!$D$6)*Baseline!Q6+'History Y-1'!$G$58*(1+Assumptions!$D$7)*Baseline!R6+J6</f>
        <v>156440.274850338</v>
      </c>
      <c r="J6" s="21" t="n">
        <f aca="false">'History Y-1'!$H$58*(1+Assumptions!$D$8)*Baseline!S6</f>
        <v>17370.834307353</v>
      </c>
      <c r="K6" s="55" t="n">
        <f aca="false">D6+F6+H6+I6</f>
        <v>270336.517870481</v>
      </c>
      <c r="L6" s="21" t="n">
        <f aca="false">K6*Baseline!B6*(1+Assumptions!$D$18)*(1+Calendar!G6)</f>
        <v>5748.92572428871</v>
      </c>
      <c r="M6" s="20" t="n">
        <f aca="false">L6*Baseline!C6*(1+Assumptions!$D$19)</f>
        <v>441910.07171365</v>
      </c>
      <c r="N6" s="31" t="n">
        <f aca="false">MAX(0,MIN(0.9,Baseline!E6+Assumptions!$D$20))</f>
        <v>0.077110324454184</v>
      </c>
      <c r="O6" s="31" t="n">
        <f aca="false">MAX(0,Baseline!F6+Assumptions!$D$21)</f>
        <v>0.254153851431718</v>
      </c>
      <c r="P6" s="49" t="n">
        <f aca="false">M6*O6</f>
        <v>112313.146712491</v>
      </c>
      <c r="Q6" s="49" t="n">
        <f aca="false">M6-P6</f>
        <v>329596.92500116</v>
      </c>
      <c r="R6" s="21" t="n">
        <f aca="false">L6*Baseline!D6</f>
        <v>10990.3878504921</v>
      </c>
      <c r="S6" s="21" t="n">
        <f aca="false">IFERROR(P6/(Baseline!C6*(1+Assumptions!$D$19)),0)</f>
        <v>1461.11161442285</v>
      </c>
      <c r="T6" s="20" t="n">
        <f aca="false">Q6/(1-N6)*(1-Assumptions!$D$23)</f>
        <v>135711.596758699</v>
      </c>
      <c r="U6" s="20" t="n">
        <f aca="false">P6/(1-N6)*(1-Assumptions!$D$23)*Assumptions!$D$24</f>
        <v>2312.24797945135</v>
      </c>
      <c r="V6" s="49" t="n">
        <f aca="false">Q6-T6-U6</f>
        <v>191573.080263009</v>
      </c>
      <c r="W6" s="20" t="n">
        <f aca="false">T6*Assumptions!$D$25+L6*(Assumptions!$D$27-Assumptions!$D$28+Assumptions!$D$29+Assumptions!$D$36*Assumptions!$D$37)+R6*Assumptions!$D$30+S6*(Assumptions!$D$31+Assumptions!$D$32)+M6*(Assumptions!$D$33+Assumptions!$D$38)+IFERROR(M6*J6/K6,0)*Assumptions!$D$35*Assumptions!$D$34</f>
        <v>52962.5941702251</v>
      </c>
      <c r="X6" s="49" t="n">
        <f aca="false">V6-W6</f>
        <v>138610.486092784</v>
      </c>
      <c r="Y6" s="49" t="n">
        <f aca="false">C6+E6+G6</f>
        <v>47263.9694023958</v>
      </c>
      <c r="Z6" s="49" t="n">
        <f aca="false">X6-Y6</f>
        <v>91346.516690388</v>
      </c>
      <c r="AA6" s="20" t="n">
        <f aca="false">'Fixed Costs'!$G$31/52</f>
        <v>25332.6923076923</v>
      </c>
      <c r="AB6" s="49" t="n">
        <f aca="false">Z6-AA6</f>
        <v>66013.8243826957</v>
      </c>
      <c r="AC6" s="21" t="n">
        <f aca="false">L6*Baseline!G6</f>
        <v>2052.21399510606</v>
      </c>
    </row>
    <row r="7" customFormat="false" ht="15" hidden="false" customHeight="false" outlineLevel="0" collapsed="false">
      <c r="A7" s="13" t="n">
        <v>2</v>
      </c>
      <c r="B7" s="14" t="str">
        <f aca="false">Calendar!D7</f>
        <v>P1</v>
      </c>
      <c r="C7" s="20" t="n">
        <f aca="false">IF('Media Plan'!D7&lt;&gt;"",'Media Plan'!D7,Assumptions!$D$10*Baseline!T7)</f>
        <v>31667.3056326564</v>
      </c>
      <c r="D7" s="21" t="n">
        <f aca="false">IFERROR(C7/(Baseline!H7*(1+Assumptions!$D$13)*IFERROR(MAX(0,C7)/'History Y-1'!P7,1)^Assumptions!$D$14),0)</f>
        <v>67493.3762060362</v>
      </c>
      <c r="E7" s="20" t="n">
        <f aca="false">IF('Media Plan'!J7&lt;&gt;"",'Media Plan'!J7,Assumptions!$D$11*Baseline!U7)</f>
        <v>15621.4411940626</v>
      </c>
      <c r="F7" s="21" t="n">
        <f aca="false">IFERROR(E7/(Baseline!I7*(1+Assumptions!$D$13)*IFERROR(MAX(0,E7)/'History Y-1'!Q7,1)^Assumptions!$D$15),0)</f>
        <v>42302.7914293994</v>
      </c>
      <c r="G7" s="20" t="n">
        <f aca="false">IF('Media Plan'!P7&lt;&gt;"",'Media Plan'!P7,Assumptions!$D$12*Baseline!V7)</f>
        <v>3290.79568627744</v>
      </c>
      <c r="H7" s="21" t="n">
        <f aca="false">IFERROR(G7/(Baseline!J7*(1+Assumptions!$D$13)*IFERROR(MAX(0,G7)/'History Y-1'!R7,1)^Assumptions!$D$16),0)</f>
        <v>13319.3004459641</v>
      </c>
      <c r="I7" s="21" t="n">
        <f aca="false">'History Y-1'!$F$58*(1+Assumptions!$D$6)*Baseline!Q7+'History Y-1'!$G$58*(1+Assumptions!$D$7)*Baseline!R7+J7</f>
        <v>161667.572518958</v>
      </c>
      <c r="J7" s="21" t="n">
        <f aca="false">'History Y-1'!$H$58*(1+Assumptions!$D$8)*Baseline!S7</f>
        <v>18994.0301664573</v>
      </c>
      <c r="K7" s="55" t="n">
        <f aca="false">D7+F7+H7+I7</f>
        <v>284783.040600358</v>
      </c>
      <c r="L7" s="21" t="n">
        <f aca="false">K7*Baseline!B7*(1+Assumptions!$D$18)*(1+Calendar!G7)</f>
        <v>6151.63161496623</v>
      </c>
      <c r="M7" s="20" t="n">
        <f aca="false">L7*Baseline!C7*(1+Assumptions!$D$19)</f>
        <v>472028.710858371</v>
      </c>
      <c r="N7" s="31" t="n">
        <f aca="false">MAX(0,MIN(0.9,Baseline!E7+Assumptions!$D$20))</f>
        <v>0.0763282292155085</v>
      </c>
      <c r="O7" s="31" t="n">
        <f aca="false">MAX(0,Baseline!F7+Assumptions!$D$21)</f>
        <v>0.260498513514979</v>
      </c>
      <c r="P7" s="49" t="n">
        <f aca="false">M7*O7</f>
        <v>122962.777514997</v>
      </c>
      <c r="Q7" s="49" t="n">
        <f aca="false">M7-P7</f>
        <v>349065.933343374</v>
      </c>
      <c r="R7" s="21" t="n">
        <f aca="false">L7*Baseline!D7</f>
        <v>11888.3175092445</v>
      </c>
      <c r="S7" s="21" t="n">
        <f aca="false">IFERROR(P7/(Baseline!C7*(1+Assumptions!$D$19)),0)</f>
        <v>1602.49089139045</v>
      </c>
      <c r="T7" s="20" t="n">
        <f aca="false">Q7/(1-N7)*(1-Assumptions!$D$23)</f>
        <v>143606.26671293</v>
      </c>
      <c r="U7" s="20" t="n">
        <f aca="false">P7/(1-N7)*(1-Assumptions!$D$23)*Assumptions!$D$24</f>
        <v>2529.35387513325</v>
      </c>
      <c r="V7" s="49" t="n">
        <f aca="false">Q7-T7-U7</f>
        <v>202930.31275531</v>
      </c>
      <c r="W7" s="20" t="n">
        <f aca="false">T7*Assumptions!$D$25+L7*(Assumptions!$D$27-Assumptions!$D$28+Assumptions!$D$29+Assumptions!$D$36*Assumptions!$D$37)+R7*Assumptions!$D$30+S7*(Assumptions!$D$31+Assumptions!$D$32)+M7*(Assumptions!$D$33+Assumptions!$D$38)+IFERROR(M7*J7/K7,0)*Assumptions!$D$35*Assumptions!$D$34</f>
        <v>56985.8087171148</v>
      </c>
      <c r="X7" s="49" t="n">
        <f aca="false">V7-W7</f>
        <v>145944.504038196</v>
      </c>
      <c r="Y7" s="49" t="n">
        <f aca="false">C7+E7+G7</f>
        <v>50579.5425129965</v>
      </c>
      <c r="Z7" s="49" t="n">
        <f aca="false">X7-Y7</f>
        <v>95364.9615251991</v>
      </c>
      <c r="AA7" s="20" t="n">
        <f aca="false">'Fixed Costs'!$G$31/52</f>
        <v>25332.6923076923</v>
      </c>
      <c r="AB7" s="49" t="n">
        <f aca="false">Z7-AA7</f>
        <v>70032.2692175068</v>
      </c>
      <c r="AC7" s="21" t="n">
        <f aca="false">L7*Baseline!G7</f>
        <v>2216.62218502162</v>
      </c>
    </row>
    <row r="8" customFormat="false" ht="15" hidden="false" customHeight="false" outlineLevel="0" collapsed="false">
      <c r="A8" s="13" t="n">
        <v>3</v>
      </c>
      <c r="B8" s="14" t="str">
        <f aca="false">Calendar!D8</f>
        <v>P1</v>
      </c>
      <c r="C8" s="20" t="n">
        <f aca="false">IF('Media Plan'!D8&lt;&gt;"",'Media Plan'!D8,Assumptions!$D$10*Baseline!T8)</f>
        <v>32378.0219160128</v>
      </c>
      <c r="D8" s="21" t="n">
        <f aca="false">IFERROR(C8/(Baseline!H8*(1+Assumptions!$D$13)*IFERROR(MAX(0,C8)/'History Y-1'!P8,1)^Assumptions!$D$14),0)</f>
        <v>68508.7213891986</v>
      </c>
      <c r="E8" s="20" t="n">
        <f aca="false">IF('Media Plan'!J8&lt;&gt;"",'Media Plan'!J8,Assumptions!$D$11*Baseline!U8)</f>
        <v>15731.2873382783</v>
      </c>
      <c r="F8" s="21" t="n">
        <f aca="false">IFERROR(E8/(Baseline!I8*(1+Assumptions!$D$13)*IFERROR(MAX(0,E8)/'History Y-1'!Q8,1)^Assumptions!$D$15),0)</f>
        <v>41717.3170882031</v>
      </c>
      <c r="G8" s="20" t="n">
        <f aca="false">IF('Media Plan'!P8&lt;&gt;"",'Media Plan'!P8,Assumptions!$D$12*Baseline!V8)</f>
        <v>3358.8378536477</v>
      </c>
      <c r="H8" s="21" t="n">
        <f aca="false">IFERROR(G8/(Baseline!J8*(1+Assumptions!$D$13)*IFERROR(MAX(0,G8)/'History Y-1'!R8,1)^Assumptions!$D$16),0)</f>
        <v>13638.4290599076</v>
      </c>
      <c r="I8" s="21" t="n">
        <f aca="false">'History Y-1'!$F$58*(1+Assumptions!$D$6)*Baseline!Q8+'History Y-1'!$G$58*(1+Assumptions!$D$7)*Baseline!R8+J8</f>
        <v>163918.328500922</v>
      </c>
      <c r="J8" s="21" t="n">
        <f aca="false">'History Y-1'!$H$58*(1+Assumptions!$D$8)*Baseline!S8</f>
        <v>19664.5154289109</v>
      </c>
      <c r="K8" s="55" t="n">
        <f aca="false">D8+F8+H8+I8</f>
        <v>287782.796038232</v>
      </c>
      <c r="L8" s="21" t="n">
        <f aca="false">K8*Baseline!B8*(1+Assumptions!$D$18)*(1+Calendar!G8)</f>
        <v>6283.58072243636</v>
      </c>
      <c r="M8" s="20" t="n">
        <f aca="false">L8*Baseline!C8*(1+Assumptions!$D$19)</f>
        <v>489363.481839283</v>
      </c>
      <c r="N8" s="31" t="n">
        <f aca="false">MAX(0,MIN(0.9,Baseline!E8+Assumptions!$D$20))</f>
        <v>0.0825000239061912</v>
      </c>
      <c r="O8" s="31" t="n">
        <f aca="false">MAX(0,Baseline!F8+Assumptions!$D$21)</f>
        <v>0.253393127812901</v>
      </c>
      <c r="P8" s="49" t="n">
        <f aca="false">M8*O8</f>
        <v>124001.343300668</v>
      </c>
      <c r="Q8" s="49" t="n">
        <f aca="false">M8-P8</f>
        <v>365362.138538616</v>
      </c>
      <c r="R8" s="21" t="n">
        <f aca="false">L8*Baseline!D8</f>
        <v>11885.4358068983</v>
      </c>
      <c r="S8" s="21" t="n">
        <f aca="false">IFERROR(P8/(Baseline!C8*(1+Assumptions!$D$19)),0)</f>
        <v>1592.216173123</v>
      </c>
      <c r="T8" s="20" t="n">
        <f aca="false">Q8/(1-N8)*(1-Assumptions!$D$23)</f>
        <v>151321.652601851</v>
      </c>
      <c r="U8" s="20" t="n">
        <f aca="false">P8/(1-N8)*(1-Assumptions!$D$23)*Assumptions!$D$24</f>
        <v>2567.87529602267</v>
      </c>
      <c r="V8" s="49" t="n">
        <f aca="false">Q8-T8-U8</f>
        <v>211472.610640742</v>
      </c>
      <c r="W8" s="20" t="n">
        <f aca="false">T8*Assumptions!$D$25+L8*(Assumptions!$D$27-Assumptions!$D$28+Assumptions!$D$29+Assumptions!$D$36*Assumptions!$D$37)+R8*Assumptions!$D$30+S8*(Assumptions!$D$31+Assumptions!$D$32)+M8*(Assumptions!$D$33+Assumptions!$D$38)+IFERROR(M8*J8/K8,0)*Assumptions!$D$35*Assumptions!$D$34</f>
        <v>58151.2404680504</v>
      </c>
      <c r="X8" s="49" t="n">
        <f aca="false">V8-W8</f>
        <v>153321.370172692</v>
      </c>
      <c r="Y8" s="49" t="n">
        <f aca="false">C8+E8+G8</f>
        <v>51468.1471079387</v>
      </c>
      <c r="Z8" s="49" t="n">
        <f aca="false">X8-Y8</f>
        <v>101853.223064753</v>
      </c>
      <c r="AA8" s="20" t="n">
        <f aca="false">'Fixed Costs'!$G$31/52</f>
        <v>25332.6923076923</v>
      </c>
      <c r="AB8" s="49" t="n">
        <f aca="false">Z8-AA8</f>
        <v>76520.5307570605</v>
      </c>
      <c r="AC8" s="21" t="n">
        <f aca="false">L8*Baseline!G8</f>
        <v>2261.41476862223</v>
      </c>
    </row>
    <row r="9" customFormat="false" ht="15" hidden="false" customHeight="false" outlineLevel="0" collapsed="false">
      <c r="A9" s="13" t="n">
        <v>4</v>
      </c>
      <c r="B9" s="14" t="str">
        <f aca="false">Calendar!D9</f>
        <v>P1</v>
      </c>
      <c r="C9" s="20" t="n">
        <f aca="false">IF('Media Plan'!D9&lt;&gt;"",'Media Plan'!D9,Assumptions!$D$10*Baseline!T9)</f>
        <v>29692.201959479</v>
      </c>
      <c r="D9" s="21" t="n">
        <f aca="false">IFERROR(C9/(Baseline!H9*(1+Assumptions!$D$13)*IFERROR(MAX(0,C9)/'History Y-1'!P9,1)^Assumptions!$D$14),0)</f>
        <v>60157.123704439</v>
      </c>
      <c r="E9" s="20" t="n">
        <f aca="false">IF('Media Plan'!J9&lt;&gt;"",'Media Plan'!J9,Assumptions!$D$11*Baseline!U9)</f>
        <v>14429.7250475181</v>
      </c>
      <c r="F9" s="21" t="n">
        <f aca="false">IFERROR(E9/(Baseline!I9*(1+Assumptions!$D$13)*IFERROR(MAX(0,E9)/'History Y-1'!Q9,1)^Assumptions!$D$15),0)</f>
        <v>38687.1810577072</v>
      </c>
      <c r="G9" s="20" t="n">
        <f aca="false">IF('Media Plan'!P9&lt;&gt;"",'Media Plan'!P9,Assumptions!$D$12*Baseline!V9)</f>
        <v>3161.0594073568</v>
      </c>
      <c r="H9" s="21" t="n">
        <f aca="false">IFERROR(G9/(Baseline!J9*(1+Assumptions!$D$13)*IFERROR(MAX(0,G9)/'History Y-1'!R9,1)^Assumptions!$D$16),0)</f>
        <v>12527.5451030819</v>
      </c>
      <c r="I9" s="21" t="n">
        <f aca="false">'History Y-1'!$F$58*(1+Assumptions!$D$6)*Baseline!Q9+'History Y-1'!$G$58*(1+Assumptions!$D$7)*Baseline!R9+J9</f>
        <v>153115.477756233</v>
      </c>
      <c r="J9" s="21" t="n">
        <f aca="false">'History Y-1'!$H$58*(1+Assumptions!$D$8)*Baseline!S9</f>
        <v>17687.0990680388</v>
      </c>
      <c r="K9" s="55" t="n">
        <f aca="false">D9+F9+H9+I9</f>
        <v>264487.327621461</v>
      </c>
      <c r="L9" s="21" t="n">
        <f aca="false">K9*Baseline!B9*(1+Assumptions!$D$18)*(1+Calendar!G9)</f>
        <v>5624.81140674786</v>
      </c>
      <c r="M9" s="20" t="n">
        <f aca="false">L9*Baseline!C9*(1+Assumptions!$D$19)</f>
        <v>438868.499132812</v>
      </c>
      <c r="N9" s="31" t="n">
        <f aca="false">MAX(0,MIN(0.9,Baseline!E9+Assumptions!$D$20))</f>
        <v>0.0833619544337161</v>
      </c>
      <c r="O9" s="31" t="n">
        <f aca="false">MAX(0,Baseline!F9+Assumptions!$D$21)</f>
        <v>0.251372841126127</v>
      </c>
      <c r="P9" s="49" t="n">
        <f aca="false">M9*O9</f>
        <v>110319.621507774</v>
      </c>
      <c r="Q9" s="49" t="n">
        <f aca="false">M9-P9</f>
        <v>328548.877625037</v>
      </c>
      <c r="R9" s="21" t="n">
        <f aca="false">L9*Baseline!D9</f>
        <v>10821.0702380851</v>
      </c>
      <c r="S9" s="21" t="n">
        <f aca="false">IFERROR(P9/(Baseline!C9*(1+Assumptions!$D$19)),0)</f>
        <v>1413.92482411286</v>
      </c>
      <c r="T9" s="20" t="n">
        <f aca="false">Q9/(1-N9)*(1-Assumptions!$D$23)</f>
        <v>136202.696474795</v>
      </c>
      <c r="U9" s="20" t="n">
        <f aca="false">P9/(1-N9)*(1-Assumptions!$D$23)*Assumptions!$D$24</f>
        <v>2286.69627972161</v>
      </c>
      <c r="V9" s="49" t="n">
        <f aca="false">Q9-T9-U9</f>
        <v>190059.48487052</v>
      </c>
      <c r="W9" s="20" t="n">
        <f aca="false">T9*Assumptions!$D$25+L9*(Assumptions!$D$27-Assumptions!$D$28+Assumptions!$D$29+Assumptions!$D$36*Assumptions!$D$37)+R9*Assumptions!$D$30+S9*(Assumptions!$D$31+Assumptions!$D$32)+M9*(Assumptions!$D$33+Assumptions!$D$38)+IFERROR(M9*J9/K9,0)*Assumptions!$D$35*Assumptions!$D$34</f>
        <v>52146.6261039381</v>
      </c>
      <c r="X9" s="49" t="n">
        <f aca="false">V9-W9</f>
        <v>137912.858766582</v>
      </c>
      <c r="Y9" s="49" t="n">
        <f aca="false">C9+E9+G9</f>
        <v>47282.9864143538</v>
      </c>
      <c r="Z9" s="49" t="n">
        <f aca="false">X9-Y9</f>
        <v>90629.8723522284</v>
      </c>
      <c r="AA9" s="20" t="n">
        <f aca="false">'Fixed Costs'!$G$31/52</f>
        <v>25332.6923076923</v>
      </c>
      <c r="AB9" s="49" t="n">
        <f aca="false">Z9-AA9</f>
        <v>65297.1800445361</v>
      </c>
      <c r="AC9" s="21" t="n">
        <f aca="false">L9*Baseline!G9</f>
        <v>1917.88990031231</v>
      </c>
    </row>
    <row r="10" customFormat="false" ht="15" hidden="false" customHeight="false" outlineLevel="0" collapsed="false">
      <c r="A10" s="13" t="n">
        <v>5</v>
      </c>
      <c r="B10" s="14" t="str">
        <f aca="false">Calendar!D10</f>
        <v>P2</v>
      </c>
      <c r="C10" s="20" t="n">
        <f aca="false">IF('Media Plan'!D10&lt;&gt;"",'Media Plan'!D10,Assumptions!$D$10*Baseline!T10)</f>
        <v>30559.1759165065</v>
      </c>
      <c r="D10" s="21" t="n">
        <f aca="false">IFERROR(C10/(Baseline!H10*(1+Assumptions!$D$13)*IFERROR(MAX(0,C10)/'History Y-1'!P10,1)^Assumptions!$D$14),0)</f>
        <v>66401.9083507024</v>
      </c>
      <c r="E10" s="20" t="n">
        <f aca="false">IF('Media Plan'!J10&lt;&gt;"",'Media Plan'!J10,Assumptions!$D$11*Baseline!U10)</f>
        <v>15326.2258797078</v>
      </c>
      <c r="F10" s="21" t="n">
        <f aca="false">IFERROR(E10/(Baseline!I10*(1+Assumptions!$D$13)*IFERROR(MAX(0,E10)/'History Y-1'!Q10,1)^Assumptions!$D$15),0)</f>
        <v>40933.6557723986</v>
      </c>
      <c r="G10" s="20" t="n">
        <f aca="false">IF('Media Plan'!P10&lt;&gt;"",'Media Plan'!P10,Assumptions!$D$12*Baseline!V10)</f>
        <v>3351.2699990457</v>
      </c>
      <c r="H10" s="21" t="n">
        <f aca="false">IFERROR(G10/(Baseline!J10*(1+Assumptions!$D$13)*IFERROR(MAX(0,G10)/'History Y-1'!R10,1)^Assumptions!$D$16),0)</f>
        <v>13377.2037689949</v>
      </c>
      <c r="I10" s="21" t="n">
        <f aca="false">'History Y-1'!$F$58*(1+Assumptions!$D$6)*Baseline!Q10+'History Y-1'!$G$58*(1+Assumptions!$D$7)*Baseline!R10+J10</f>
        <v>155402.084233496</v>
      </c>
      <c r="J10" s="21" t="n">
        <f aca="false">'History Y-1'!$H$58*(1+Assumptions!$D$8)*Baseline!S10</f>
        <v>18426.8380814973</v>
      </c>
      <c r="K10" s="55" t="n">
        <f aca="false">D10+F10+H10+I10</f>
        <v>276114.852125592</v>
      </c>
      <c r="L10" s="21" t="n">
        <f aca="false">K10*Baseline!B10*(1+Assumptions!$D$18)*(1+Calendar!G10)</f>
        <v>5883.59555007816</v>
      </c>
      <c r="M10" s="20" t="n">
        <f aca="false">L10*Baseline!C10*(1+Assumptions!$D$19)</f>
        <v>443731.711258721</v>
      </c>
      <c r="N10" s="31" t="n">
        <f aca="false">MAX(0,MIN(0.9,Baseline!E10+Assumptions!$D$20))</f>
        <v>0.0829063407147102</v>
      </c>
      <c r="O10" s="31" t="n">
        <f aca="false">MAX(0,Baseline!F10+Assumptions!$D$21)</f>
        <v>0.262005503131197</v>
      </c>
      <c r="P10" s="49" t="n">
        <f aca="false">M10*O10</f>
        <v>116260.150263608</v>
      </c>
      <c r="Q10" s="49" t="n">
        <f aca="false">M10-P10</f>
        <v>327471.560995113</v>
      </c>
      <c r="R10" s="21" t="n">
        <f aca="false">L10*Baseline!D10</f>
        <v>11074.860246366</v>
      </c>
      <c r="S10" s="21" t="n">
        <f aca="false">IFERROR(P10/(Baseline!C10*(1+Assumptions!$D$19)),0)</f>
        <v>1541.5344123187</v>
      </c>
      <c r="T10" s="20" t="n">
        <f aca="false">Q10/(1-N10)*(1-Assumptions!$D$23)</f>
        <v>135688.641959558</v>
      </c>
      <c r="U10" s="20" t="n">
        <f aca="false">P10/(1-N10)*(1-Assumptions!$D$23)*Assumptions!$D$24</f>
        <v>2408.63387577015</v>
      </c>
      <c r="V10" s="49" t="n">
        <f aca="false">Q10-T10-U10</f>
        <v>189374.285159785</v>
      </c>
      <c r="W10" s="20" t="n">
        <f aca="false">T10*Assumptions!$D$25+L10*(Assumptions!$D$27-Assumptions!$D$28+Assumptions!$D$29+Assumptions!$D$36*Assumptions!$D$37)+R10*Assumptions!$D$30+S10*(Assumptions!$D$31+Assumptions!$D$32)+M10*(Assumptions!$D$33+Assumptions!$D$38)+IFERROR(M10*J10/K10,0)*Assumptions!$D$35*Assumptions!$D$34</f>
        <v>54067.5632010497</v>
      </c>
      <c r="X10" s="49" t="n">
        <f aca="false">V10-W10</f>
        <v>135306.721958735</v>
      </c>
      <c r="Y10" s="49" t="n">
        <f aca="false">C10+E10+G10</f>
        <v>49236.6717952601</v>
      </c>
      <c r="Z10" s="49" t="n">
        <f aca="false">X10-Y10</f>
        <v>86070.0501634748</v>
      </c>
      <c r="AA10" s="20" t="n">
        <f aca="false">'Fixed Costs'!$G$31/52</f>
        <v>25332.6923076923</v>
      </c>
      <c r="AB10" s="49" t="n">
        <f aca="false">Z10-AA10</f>
        <v>60737.3578557825</v>
      </c>
      <c r="AC10" s="21" t="n">
        <f aca="false">L10*Baseline!G10</f>
        <v>2098.42510400781</v>
      </c>
    </row>
    <row r="11" customFormat="false" ht="15" hidden="false" customHeight="false" outlineLevel="0" collapsed="false">
      <c r="A11" s="13" t="n">
        <v>6</v>
      </c>
      <c r="B11" s="14" t="str">
        <f aca="false">Calendar!D11</f>
        <v>P2</v>
      </c>
      <c r="C11" s="20" t="n">
        <f aca="false">IF('Media Plan'!D11&lt;&gt;"",'Media Plan'!D11,Assumptions!$D$10*Baseline!T11)</f>
        <v>31124.0544495008</v>
      </c>
      <c r="D11" s="21" t="n">
        <f aca="false">IFERROR(C11/(Baseline!H11*(1+Assumptions!$D$13)*IFERROR(MAX(0,C11)/'History Y-1'!P11,1)^Assumptions!$D$14),0)</f>
        <v>65069.2012259543</v>
      </c>
      <c r="E11" s="20" t="n">
        <f aca="false">IF('Media Plan'!J11&lt;&gt;"",'Media Plan'!J11,Assumptions!$D$11*Baseline!U11)</f>
        <v>15099.6506677947</v>
      </c>
      <c r="F11" s="21" t="n">
        <f aca="false">IFERROR(E11/(Baseline!I11*(1+Assumptions!$D$13)*IFERROR(MAX(0,E11)/'History Y-1'!Q11,1)^Assumptions!$D$15),0)</f>
        <v>40659.4484276064</v>
      </c>
      <c r="G11" s="20" t="n">
        <f aca="false">IF('Media Plan'!P11&lt;&gt;"",'Media Plan'!P11,Assumptions!$D$12*Baseline!V11)</f>
        <v>3185.85643170693</v>
      </c>
      <c r="H11" s="21" t="n">
        <f aca="false">IFERROR(G11/(Baseline!J11*(1+Assumptions!$D$13)*IFERROR(MAX(0,G11)/'History Y-1'!R11,1)^Assumptions!$D$16),0)</f>
        <v>12952.4433708033</v>
      </c>
      <c r="I11" s="21" t="n">
        <f aca="false">'History Y-1'!$F$58*(1+Assumptions!$D$6)*Baseline!Q11+'History Y-1'!$G$58*(1+Assumptions!$D$7)*Baseline!R11+J11</f>
        <v>158742.057694462</v>
      </c>
      <c r="J11" s="21" t="n">
        <f aca="false">'History Y-1'!$H$58*(1+Assumptions!$D$8)*Baseline!S11</f>
        <v>18865.6202627451</v>
      </c>
      <c r="K11" s="55" t="n">
        <f aca="false">D11+F11+H11+I11</f>
        <v>277423.150718826</v>
      </c>
      <c r="L11" s="21" t="n">
        <f aca="false">K11*Baseline!B11*(1+Assumptions!$D$18)*(1+Calendar!G11)</f>
        <v>6156.86945637407</v>
      </c>
      <c r="M11" s="20" t="n">
        <f aca="false">L11*Baseline!C11*(1+Assumptions!$D$19)</f>
        <v>477049.052456998</v>
      </c>
      <c r="N11" s="31" t="n">
        <f aca="false">MAX(0,MIN(0.9,Baseline!E11+Assumptions!$D$20))</f>
        <v>0.0782325313472703</v>
      </c>
      <c r="O11" s="31" t="n">
        <f aca="false">MAX(0,Baseline!F11+Assumptions!$D$21)</f>
        <v>0.257710082310918</v>
      </c>
      <c r="P11" s="49" t="n">
        <f aca="false">M11*O11</f>
        <v>122940.350575039</v>
      </c>
      <c r="Q11" s="49" t="n">
        <f aca="false">M11-P11</f>
        <v>354108.70188196</v>
      </c>
      <c r="R11" s="21" t="n">
        <f aca="false">L11*Baseline!D11</f>
        <v>11935.6929082621</v>
      </c>
      <c r="S11" s="21" t="n">
        <f aca="false">IFERROR(P11/(Baseline!C11*(1+Assumptions!$D$19)),0)</f>
        <v>1586.68733437974</v>
      </c>
      <c r="T11" s="20" t="n">
        <f aca="false">Q11/(1-N11)*(1-Assumptions!$D$23)</f>
        <v>145981.835214712</v>
      </c>
      <c r="U11" s="20" t="n">
        <f aca="false">P11/(1-N11)*(1-Assumptions!$D$23)*Assumptions!$D$24</f>
        <v>2534.11705268778</v>
      </c>
      <c r="V11" s="49" t="n">
        <f aca="false">Q11-T11-U11</f>
        <v>205592.74961456</v>
      </c>
      <c r="W11" s="20" t="n">
        <f aca="false">T11*Assumptions!$D$25+L11*(Assumptions!$D$27-Assumptions!$D$28+Assumptions!$D$29+Assumptions!$D$36*Assumptions!$D$37)+R11*Assumptions!$D$30+S11*(Assumptions!$D$31+Assumptions!$D$32)+M11*(Assumptions!$D$33+Assumptions!$D$38)+IFERROR(M11*J11/K11,0)*Assumptions!$D$35*Assumptions!$D$34</f>
        <v>57209.9491543126</v>
      </c>
      <c r="X11" s="49" t="n">
        <f aca="false">V11-W11</f>
        <v>148382.800460248</v>
      </c>
      <c r="Y11" s="49" t="n">
        <f aca="false">C11+E11+G11</f>
        <v>49409.5615490024</v>
      </c>
      <c r="Z11" s="49" t="n">
        <f aca="false">X11-Y11</f>
        <v>98973.2389112452</v>
      </c>
      <c r="AA11" s="20" t="n">
        <f aca="false">'Fixed Costs'!$G$31/52</f>
        <v>25332.6923076923</v>
      </c>
      <c r="AB11" s="49" t="n">
        <f aca="false">Z11-AA11</f>
        <v>73640.5466035529</v>
      </c>
      <c r="AC11" s="21" t="n">
        <f aca="false">L11*Baseline!G11</f>
        <v>2133.38842105225</v>
      </c>
    </row>
    <row r="12" customFormat="false" ht="15" hidden="false" customHeight="false" outlineLevel="0" collapsed="false">
      <c r="A12" s="13" t="n">
        <v>7</v>
      </c>
      <c r="B12" s="14" t="str">
        <f aca="false">Calendar!D12</f>
        <v>P2</v>
      </c>
      <c r="C12" s="20" t="n">
        <f aca="false">IF('Media Plan'!D12&lt;&gt;"",'Media Plan'!D12,Assumptions!$D$10*Baseline!T12)</f>
        <v>29790.698918644</v>
      </c>
      <c r="D12" s="21" t="n">
        <f aca="false">IFERROR(C12/(Baseline!H12*(1+Assumptions!$D$13)*IFERROR(MAX(0,C12)/'History Y-1'!P12,1)^Assumptions!$D$14),0)</f>
        <v>64169.7723199088</v>
      </c>
      <c r="E12" s="20" t="n">
        <f aca="false">IF('Media Plan'!J12&lt;&gt;"",'Media Plan'!J12,Assumptions!$D$11*Baseline!U12)</f>
        <v>15753.121148499</v>
      </c>
      <c r="F12" s="21" t="n">
        <f aca="false">IFERROR(E12/(Baseline!I12*(1+Assumptions!$D$13)*IFERROR(MAX(0,E12)/'History Y-1'!Q12,1)^Assumptions!$D$15),0)</f>
        <v>41930.5900884359</v>
      </c>
      <c r="G12" s="20" t="n">
        <f aca="false">IF('Media Plan'!P12&lt;&gt;"",'Media Plan'!P12,Assumptions!$D$12*Baseline!V12)</f>
        <v>3189.21514235856</v>
      </c>
      <c r="H12" s="21" t="n">
        <f aca="false">IFERROR(G12/(Baseline!J12*(1+Assumptions!$D$13)*IFERROR(MAX(0,G12)/'History Y-1'!R12,1)^Assumptions!$D$16),0)</f>
        <v>13567.4818735846</v>
      </c>
      <c r="I12" s="21" t="n">
        <f aca="false">'History Y-1'!$F$58*(1+Assumptions!$D$6)*Baseline!Q12+'History Y-1'!$G$58*(1+Assumptions!$D$7)*Baseline!R12+J12</f>
        <v>161890.09726589</v>
      </c>
      <c r="J12" s="21" t="n">
        <f aca="false">'History Y-1'!$H$58*(1+Assumptions!$D$8)*Baseline!S12</f>
        <v>18811.0620056125</v>
      </c>
      <c r="K12" s="55" t="n">
        <f aca="false">D12+F12+H12+I12</f>
        <v>281557.94154782</v>
      </c>
      <c r="L12" s="21" t="n">
        <f aca="false">K12*Baseline!B12*(1+Assumptions!$D$18)*(1+Calendar!G12)</f>
        <v>6034.15399720814</v>
      </c>
      <c r="M12" s="20" t="n">
        <f aca="false">L12*Baseline!C12*(1+Assumptions!$D$19)</f>
        <v>458944.476959368</v>
      </c>
      <c r="N12" s="31" t="n">
        <f aca="false">MAX(0,MIN(0.9,Baseline!E12+Assumptions!$D$20))</f>
        <v>0.0796188438534106</v>
      </c>
      <c r="O12" s="31" t="n">
        <f aca="false">MAX(0,Baseline!F12+Assumptions!$D$21)</f>
        <v>0.259534122550686</v>
      </c>
      <c r="P12" s="49" t="n">
        <f aca="false">M12*O12</f>
        <v>119111.752127133</v>
      </c>
      <c r="Q12" s="49" t="n">
        <f aca="false">M12-P12</f>
        <v>339832.724832235</v>
      </c>
      <c r="R12" s="21" t="n">
        <f aca="false">L12*Baseline!D12</f>
        <v>11512.5269255934</v>
      </c>
      <c r="S12" s="21" t="n">
        <f aca="false">IFERROR(P12/(Baseline!C12*(1+Assumptions!$D$19)),0)</f>
        <v>1566.06886300113</v>
      </c>
      <c r="T12" s="20" t="n">
        <f aca="false">Q12/(1-N12)*(1-Assumptions!$D$23)</f>
        <v>140307.561246595</v>
      </c>
      <c r="U12" s="20" t="n">
        <f aca="false">P12/(1-N12)*(1-Assumptions!$D$23)*Assumptions!$D$24</f>
        <v>2458.89789822585</v>
      </c>
      <c r="V12" s="49" t="n">
        <f aca="false">Q12-T12-U12</f>
        <v>197066.265687414</v>
      </c>
      <c r="W12" s="20" t="n">
        <f aca="false">T12*Assumptions!$D$25+L12*(Assumptions!$D$27-Assumptions!$D$28+Assumptions!$D$29+Assumptions!$D$36*Assumptions!$D$37)+R12*Assumptions!$D$30+S12*(Assumptions!$D$31+Assumptions!$D$32)+M12*(Assumptions!$D$33+Assumptions!$D$38)+IFERROR(M12*J12/K12,0)*Assumptions!$D$35*Assumptions!$D$34</f>
        <v>55638.9005917433</v>
      </c>
      <c r="X12" s="49" t="n">
        <f aca="false">V12-W12</f>
        <v>141427.365095671</v>
      </c>
      <c r="Y12" s="49" t="n">
        <f aca="false">C12+E12+G12</f>
        <v>48733.0352095015</v>
      </c>
      <c r="Z12" s="49" t="n">
        <f aca="false">X12-Y12</f>
        <v>92694.3298861694</v>
      </c>
      <c r="AA12" s="20" t="n">
        <f aca="false">'Fixed Costs'!$G$31/52</f>
        <v>25332.6923076923</v>
      </c>
      <c r="AB12" s="49" t="n">
        <f aca="false">Z12-AA12</f>
        <v>67361.6375784771</v>
      </c>
      <c r="AC12" s="21" t="n">
        <f aca="false">L12*Baseline!G12</f>
        <v>2079.56389059521</v>
      </c>
    </row>
    <row r="13" customFormat="false" ht="15" hidden="false" customHeight="false" outlineLevel="0" collapsed="false">
      <c r="A13" s="13" t="n">
        <v>8</v>
      </c>
      <c r="B13" s="14" t="str">
        <f aca="false">Calendar!D13</f>
        <v>P2</v>
      </c>
      <c r="C13" s="20" t="n">
        <f aca="false">IF('Media Plan'!D13&lt;&gt;"",'Media Plan'!D13,Assumptions!$D$10*Baseline!T13)</f>
        <v>29139.3401526713</v>
      </c>
      <c r="D13" s="21" t="n">
        <f aca="false">IFERROR(C13/(Baseline!H13*(1+Assumptions!$D$13)*IFERROR(MAX(0,C13)/'History Y-1'!P13,1)^Assumptions!$D$14),0)</f>
        <v>61480.7624251421</v>
      </c>
      <c r="E13" s="20" t="n">
        <f aca="false">IF('Media Plan'!J13&lt;&gt;"",'Media Plan'!J13,Assumptions!$D$11*Baseline!U13)</f>
        <v>15069.5675376726</v>
      </c>
      <c r="F13" s="21" t="n">
        <f aca="false">IFERROR(E13/(Baseline!I13*(1+Assumptions!$D$13)*IFERROR(MAX(0,E13)/'History Y-1'!Q13,1)^Assumptions!$D$15),0)</f>
        <v>40728.9896233956</v>
      </c>
      <c r="G13" s="20" t="n">
        <f aca="false">IF('Media Plan'!P13&lt;&gt;"",'Media Plan'!P13,Assumptions!$D$12*Baseline!V13)</f>
        <v>3285.21753493564</v>
      </c>
      <c r="H13" s="21" t="n">
        <f aca="false">IFERROR(G13/(Baseline!J13*(1+Assumptions!$D$13)*IFERROR(MAX(0,G13)/'History Y-1'!R13,1)^Assumptions!$D$16),0)</f>
        <v>13136.4544686534</v>
      </c>
      <c r="I13" s="21" t="n">
        <f aca="false">'History Y-1'!$F$58*(1+Assumptions!$D$6)*Baseline!Q13+'History Y-1'!$G$58*(1+Assumptions!$D$7)*Baseline!R13+J13</f>
        <v>154261.272057678</v>
      </c>
      <c r="J13" s="21" t="n">
        <f aca="false">'History Y-1'!$H$58*(1+Assumptions!$D$8)*Baseline!S13</f>
        <v>18615.1116467082</v>
      </c>
      <c r="K13" s="55" t="n">
        <f aca="false">D13+F13+H13+I13</f>
        <v>269607.478574869</v>
      </c>
      <c r="L13" s="21" t="n">
        <f aca="false">K13*Baseline!B13*(1+Assumptions!$D$18)*(1+Calendar!G13)</f>
        <v>5809.98499399281</v>
      </c>
      <c r="M13" s="20" t="n">
        <f aca="false">L13*Baseline!C13*(1+Assumptions!$D$19)</f>
        <v>448198.810652096</v>
      </c>
      <c r="N13" s="31" t="n">
        <f aca="false">MAX(0,MIN(0.9,Baseline!E13+Assumptions!$D$20))</f>
        <v>0.0794971979963994</v>
      </c>
      <c r="O13" s="31" t="n">
        <f aca="false">MAX(0,Baseline!F13+Assumptions!$D$21)</f>
        <v>0.254978271906444</v>
      </c>
      <c r="P13" s="49" t="n">
        <f aca="false">M13*O13</f>
        <v>114280.958210595</v>
      </c>
      <c r="Q13" s="49" t="n">
        <f aca="false">M13-P13</f>
        <v>333917.852441501</v>
      </c>
      <c r="R13" s="21" t="n">
        <f aca="false">L13*Baseline!D13</f>
        <v>10816.406551244</v>
      </c>
      <c r="S13" s="21" t="n">
        <f aca="false">IFERROR(P13/(Baseline!C13*(1+Assumptions!$D$19)),0)</f>
        <v>1481.41993357066</v>
      </c>
      <c r="T13" s="20" t="n">
        <f aca="false">Q13/(1-N13)*(1-Assumptions!$D$23)</f>
        <v>137847.254404418</v>
      </c>
      <c r="U13" s="20" t="n">
        <f aca="false">P13/(1-N13)*(1-Assumptions!$D$23)*Assumptions!$D$24</f>
        <v>2358.86104993389</v>
      </c>
      <c r="V13" s="49" t="n">
        <f aca="false">Q13-T13-U13</f>
        <v>193711.736987149</v>
      </c>
      <c r="W13" s="20" t="n">
        <f aca="false">T13*Assumptions!$D$25+L13*(Assumptions!$D$27-Assumptions!$D$28+Assumptions!$D$29+Assumptions!$D$36*Assumptions!$D$37)+R13*Assumptions!$D$30+S13*(Assumptions!$D$31+Assumptions!$D$32)+M13*(Assumptions!$D$33+Assumptions!$D$38)+IFERROR(M13*J13/K13,0)*Assumptions!$D$35*Assumptions!$D$34</f>
        <v>53528.6938751238</v>
      </c>
      <c r="X13" s="49" t="n">
        <f aca="false">V13-W13</f>
        <v>140183.043112025</v>
      </c>
      <c r="Y13" s="49" t="n">
        <f aca="false">C13+E13+G13</f>
        <v>47494.1252252796</v>
      </c>
      <c r="Z13" s="49" t="n">
        <f aca="false">X13-Y13</f>
        <v>92688.9178867452</v>
      </c>
      <c r="AA13" s="20" t="n">
        <f aca="false">'Fixed Costs'!$G$31/52</f>
        <v>25332.6923076923</v>
      </c>
      <c r="AB13" s="49" t="n">
        <f aca="false">Z13-AA13</f>
        <v>67356.2255790528</v>
      </c>
      <c r="AC13" s="21" t="n">
        <f aca="false">L13*Baseline!G13</f>
        <v>2106.81116047092</v>
      </c>
    </row>
    <row r="14" customFormat="false" ht="15" hidden="false" customHeight="false" outlineLevel="0" collapsed="false">
      <c r="A14" s="13" t="n">
        <v>9</v>
      </c>
      <c r="B14" s="14" t="str">
        <f aca="false">Calendar!D14</f>
        <v>P3</v>
      </c>
      <c r="C14" s="20" t="n">
        <f aca="false">IF('Media Plan'!D14&lt;&gt;"",'Media Plan'!D14,Assumptions!$D$10*Baseline!T14)</f>
        <v>35373.2913586265</v>
      </c>
      <c r="D14" s="21" t="n">
        <f aca="false">IFERROR(C14/(Baseline!H14*(1+Assumptions!$D$13)*IFERROR(MAX(0,C14)/'History Y-1'!P14,1)^Assumptions!$D$14),0)</f>
        <v>73383.1600686382</v>
      </c>
      <c r="E14" s="20" t="n">
        <f aca="false">IF('Media Plan'!J14&lt;&gt;"",'Media Plan'!J14,Assumptions!$D$11*Baseline!U14)</f>
        <v>17349.9960567643</v>
      </c>
      <c r="F14" s="21" t="n">
        <f aca="false">IFERROR(E14/(Baseline!I14*(1+Assumptions!$D$13)*IFERROR(MAX(0,E14)/'History Y-1'!Q14,1)^Assumptions!$D$15),0)</f>
        <v>47110.3090789765</v>
      </c>
      <c r="G14" s="20" t="n">
        <f aca="false">IF('Media Plan'!P14&lt;&gt;"",'Media Plan'!P14,Assumptions!$D$12*Baseline!V14)</f>
        <v>3597.61209854914</v>
      </c>
      <c r="H14" s="21" t="n">
        <f aca="false">IFERROR(G14/(Baseline!J14*(1+Assumptions!$D$13)*IFERROR(MAX(0,G14)/'History Y-1'!R14,1)^Assumptions!$D$16),0)</f>
        <v>14448.3865752162</v>
      </c>
      <c r="I14" s="21" t="n">
        <f aca="false">'History Y-1'!$F$58*(1+Assumptions!$D$6)*Baseline!Q14+'History Y-1'!$G$58*(1+Assumptions!$D$7)*Baseline!R14+J14</f>
        <v>183600.992948091</v>
      </c>
      <c r="J14" s="21" t="n">
        <f aca="false">'History Y-1'!$H$58*(1+Assumptions!$D$8)*Baseline!S14</f>
        <v>21533.5250243501</v>
      </c>
      <c r="K14" s="55" t="n">
        <f aca="false">D14+F14+H14+I14</f>
        <v>318542.848670922</v>
      </c>
      <c r="L14" s="21" t="n">
        <f aca="false">K14*Baseline!B14*(1+Assumptions!$D$18)*(1+Calendar!G14)</f>
        <v>6896.1623944002</v>
      </c>
      <c r="M14" s="20" t="n">
        <f aca="false">L14*Baseline!C14*(1+Assumptions!$D$19)</f>
        <v>526145.719986598</v>
      </c>
      <c r="N14" s="31" t="n">
        <f aca="false">MAX(0,MIN(0.9,Baseline!E14+Assumptions!$D$20))</f>
        <v>0.082405820674153</v>
      </c>
      <c r="O14" s="31" t="n">
        <f aca="false">MAX(0,Baseline!F14+Assumptions!$D$21)</f>
        <v>0.253287307330355</v>
      </c>
      <c r="P14" s="49" t="n">
        <f aca="false">M14*O14</f>
        <v>133266.032678796</v>
      </c>
      <c r="Q14" s="49" t="n">
        <f aca="false">M14-P14</f>
        <v>392879.687307802</v>
      </c>
      <c r="R14" s="21" t="n">
        <f aca="false">L14*Baseline!D14</f>
        <v>13191.5497851945</v>
      </c>
      <c r="S14" s="21" t="n">
        <f aca="false">IFERROR(P14/(Baseline!C14*(1+Assumptions!$D$19)),0)</f>
        <v>1746.71040379048</v>
      </c>
      <c r="T14" s="20" t="n">
        <f aca="false">Q14/(1-N14)*(1-Assumptions!$D$23)</f>
        <v>162701.861607983</v>
      </c>
      <c r="U14" s="20" t="n">
        <f aca="false">P14/(1-N14)*(1-Assumptions!$D$23)*Assumptions!$D$24</f>
        <v>2759.44930552787</v>
      </c>
      <c r="V14" s="49" t="n">
        <f aca="false">Q14-T14-U14</f>
        <v>227418.376394291</v>
      </c>
      <c r="W14" s="20" t="n">
        <f aca="false">T14*Assumptions!$D$25+L14*(Assumptions!$D$27-Assumptions!$D$28+Assumptions!$D$29+Assumptions!$D$36*Assumptions!$D$37)+R14*Assumptions!$D$30+S14*(Assumptions!$D$31+Assumptions!$D$32)+M14*(Assumptions!$D$33+Assumptions!$D$38)+IFERROR(M14*J14/K14,0)*Assumptions!$D$35*Assumptions!$D$34</f>
        <v>63559.4556421971</v>
      </c>
      <c r="X14" s="49" t="n">
        <f aca="false">V14-W14</f>
        <v>163858.920752094</v>
      </c>
      <c r="Y14" s="49" t="n">
        <f aca="false">C14+E14+G14</f>
        <v>56320.8995139399</v>
      </c>
      <c r="Z14" s="49" t="n">
        <f aca="false">X14-Y14</f>
        <v>107538.021238154</v>
      </c>
      <c r="AA14" s="20" t="n">
        <f aca="false">'Fixed Costs'!$G$31/52</f>
        <v>25332.6923076923</v>
      </c>
      <c r="AB14" s="49" t="n">
        <f aca="false">Z14-AA14</f>
        <v>82205.3289304618</v>
      </c>
      <c r="AC14" s="21" t="n">
        <f aca="false">L14*Baseline!G14</f>
        <v>2375.78299278424</v>
      </c>
    </row>
    <row r="15" customFormat="false" ht="15" hidden="false" customHeight="false" outlineLevel="0" collapsed="false">
      <c r="A15" s="13" t="n">
        <v>10</v>
      </c>
      <c r="B15" s="14" t="str">
        <f aca="false">Calendar!D15</f>
        <v>P3</v>
      </c>
      <c r="C15" s="20" t="n">
        <f aca="false">IF('Media Plan'!D15&lt;&gt;"",'Media Plan'!D15,Assumptions!$D$10*Baseline!T15)</f>
        <v>33783.5581494527</v>
      </c>
      <c r="D15" s="21" t="n">
        <f aca="false">IFERROR(C15/(Baseline!H15*(1+Assumptions!$D$13)*IFERROR(MAX(0,C15)/'History Y-1'!P15,1)^Assumptions!$D$14),0)</f>
        <v>71000.763036394</v>
      </c>
      <c r="E15" s="20" t="n">
        <f aca="false">IF('Media Plan'!J15&lt;&gt;"",'Media Plan'!J15,Assumptions!$D$11*Baseline!U15)</f>
        <v>17395.15141007</v>
      </c>
      <c r="F15" s="21" t="n">
        <f aca="false">IFERROR(E15/(Baseline!I15*(1+Assumptions!$D$13)*IFERROR(MAX(0,E15)/'History Y-1'!Q15,1)^Assumptions!$D$15),0)</f>
        <v>46603.4602001548</v>
      </c>
      <c r="G15" s="20" t="n">
        <f aca="false">IF('Media Plan'!P15&lt;&gt;"",'Media Plan'!P15,Assumptions!$D$12*Baseline!V15)</f>
        <v>3661.9743122712</v>
      </c>
      <c r="H15" s="21" t="n">
        <f aca="false">IFERROR(G15/(Baseline!J15*(1+Assumptions!$D$13)*IFERROR(MAX(0,G15)/'History Y-1'!R15,1)^Assumptions!$D$16),0)</f>
        <v>15289.157566247</v>
      </c>
      <c r="I15" s="21" t="n">
        <f aca="false">'History Y-1'!$F$58*(1+Assumptions!$D$6)*Baseline!Q15+'History Y-1'!$G$58*(1+Assumptions!$D$7)*Baseline!R15+J15</f>
        <v>173337.944579835</v>
      </c>
      <c r="J15" s="21" t="n">
        <f aca="false">'History Y-1'!$H$58*(1+Assumptions!$D$8)*Baseline!S15</f>
        <v>20144.0689465106</v>
      </c>
      <c r="K15" s="55" t="n">
        <f aca="false">D15+F15+H15+I15</f>
        <v>306231.32538263</v>
      </c>
      <c r="L15" s="21" t="n">
        <f aca="false">K15*Baseline!B15*(1+Assumptions!$D$18)*(1+Calendar!G15)</f>
        <v>6684.96286766148</v>
      </c>
      <c r="M15" s="20" t="n">
        <f aca="false">L15*Baseline!C15*(1+Assumptions!$D$19)</f>
        <v>515595.688751488</v>
      </c>
      <c r="N15" s="31" t="n">
        <f aca="false">MAX(0,MIN(0.9,Baseline!E15+Assumptions!$D$20))</f>
        <v>0.0789715642970281</v>
      </c>
      <c r="O15" s="31" t="n">
        <f aca="false">MAX(0,Baseline!F15+Assumptions!$D$21)</f>
        <v>0.259779330718454</v>
      </c>
      <c r="P15" s="49" t="n">
        <f aca="false">M15*O15</f>
        <v>133941.102945182</v>
      </c>
      <c r="Q15" s="49" t="n">
        <f aca="false">M15-P15</f>
        <v>381654.585806306</v>
      </c>
      <c r="R15" s="21" t="n">
        <f aca="false">L15*Baseline!D15</f>
        <v>12905.4112716424</v>
      </c>
      <c r="S15" s="21" t="n">
        <f aca="false">IFERROR(P15/(Baseline!C15*(1+Assumptions!$D$19)),0)</f>
        <v>1736.61517963881</v>
      </c>
      <c r="T15" s="20" t="n">
        <f aca="false">Q15/(1-N15)*(1-Assumptions!$D$23)</f>
        <v>157463.91423377</v>
      </c>
      <c r="U15" s="20" t="n">
        <f aca="false">P15/(1-N15)*(1-Assumptions!$D$23)*Assumptions!$D$24</f>
        <v>2763.08619507071</v>
      </c>
      <c r="V15" s="49" t="n">
        <f aca="false">Q15-T15-U15</f>
        <v>221427.585377465</v>
      </c>
      <c r="W15" s="20" t="n">
        <f aca="false">T15*Assumptions!$D$25+L15*(Assumptions!$D$27-Assumptions!$D$28+Assumptions!$D$29+Assumptions!$D$36*Assumptions!$D$37)+R15*Assumptions!$D$30+S15*(Assumptions!$D$31+Assumptions!$D$32)+M15*(Assumptions!$D$33+Assumptions!$D$38)+IFERROR(M15*J15/K15,0)*Assumptions!$D$35*Assumptions!$D$34</f>
        <v>61957.467940816</v>
      </c>
      <c r="X15" s="49" t="n">
        <f aca="false">V15-W15</f>
        <v>159470.117436649</v>
      </c>
      <c r="Y15" s="49" t="n">
        <f aca="false">C15+E15+G15</f>
        <v>54840.6838717939</v>
      </c>
      <c r="Z15" s="49" t="n">
        <f aca="false">X15-Y15</f>
        <v>104629.433564855</v>
      </c>
      <c r="AA15" s="20" t="n">
        <f aca="false">'Fixed Costs'!$G$31/52</f>
        <v>25332.6923076923</v>
      </c>
      <c r="AB15" s="49" t="n">
        <f aca="false">Z15-AA15</f>
        <v>79296.741257163</v>
      </c>
      <c r="AC15" s="21" t="n">
        <f aca="false">L15*Baseline!G15</f>
        <v>3082.03218661037</v>
      </c>
    </row>
    <row r="16" customFormat="false" ht="15" hidden="false" customHeight="false" outlineLevel="0" collapsed="false">
      <c r="A16" s="13" t="n">
        <v>11</v>
      </c>
      <c r="B16" s="14" t="str">
        <f aca="false">Calendar!D16</f>
        <v>P3</v>
      </c>
      <c r="C16" s="20" t="n">
        <f aca="false">IF('Media Plan'!D16&lt;&gt;"",'Media Plan'!D16,Assumptions!$D$10*Baseline!T16)</f>
        <v>35511.5735769819</v>
      </c>
      <c r="D16" s="21" t="n">
        <f aca="false">IFERROR(C16/(Baseline!H16*(1+Assumptions!$D$13)*IFERROR(MAX(0,C16)/'History Y-1'!P16,1)^Assumptions!$D$14),0)</f>
        <v>75982.3003959198</v>
      </c>
      <c r="E16" s="20" t="n">
        <f aca="false">IF('Media Plan'!J16&lt;&gt;"",'Media Plan'!J16,Assumptions!$D$11*Baseline!U16)</f>
        <v>16870.3018746646</v>
      </c>
      <c r="F16" s="21" t="n">
        <f aca="false">IFERROR(E16/(Baseline!I16*(1+Assumptions!$D$13)*IFERROR(MAX(0,E16)/'History Y-1'!Q16,1)^Assumptions!$D$15),0)</f>
        <v>46481.9155662576</v>
      </c>
      <c r="G16" s="20" t="n">
        <f aca="false">IF('Media Plan'!P16&lt;&gt;"",'Media Plan'!P16,Assumptions!$D$12*Baseline!V16)</f>
        <v>3733.38962982644</v>
      </c>
      <c r="H16" s="21" t="n">
        <f aca="false">IFERROR(G16/(Baseline!J16*(1+Assumptions!$D$13)*IFERROR(MAX(0,G16)/'History Y-1'!R16,1)^Assumptions!$D$16),0)</f>
        <v>15112.3537128333</v>
      </c>
      <c r="I16" s="21" t="n">
        <f aca="false">'History Y-1'!$F$58*(1+Assumptions!$D$6)*Baseline!Q16+'History Y-1'!$G$58*(1+Assumptions!$D$7)*Baseline!R16+J16</f>
        <v>180398.163273439</v>
      </c>
      <c r="J16" s="21" t="n">
        <f aca="false">'History Y-1'!$H$58*(1+Assumptions!$D$8)*Baseline!S16</f>
        <v>21382.4566255976</v>
      </c>
      <c r="K16" s="55" t="n">
        <f aca="false">D16+F16+H16+I16</f>
        <v>317974.73294845</v>
      </c>
      <c r="L16" s="21" t="n">
        <f aca="false">K16*Baseline!B16*(1+Assumptions!$D$18)*(1+Calendar!G16)</f>
        <v>7009.65939155658</v>
      </c>
      <c r="M16" s="20" t="n">
        <f aca="false">L16*Baseline!C16*(1+Assumptions!$D$19)</f>
        <v>531839.203381046</v>
      </c>
      <c r="N16" s="31" t="n">
        <f aca="false">MAX(0,MIN(0.9,Baseline!E16+Assumptions!$D$20))</f>
        <v>0.0797780632675516</v>
      </c>
      <c r="O16" s="31" t="n">
        <f aca="false">MAX(0,Baseline!F16+Assumptions!$D$21)</f>
        <v>0.267338092206024</v>
      </c>
      <c r="P16" s="49" t="n">
        <f aca="false">M16*O16</f>
        <v>142180.87799226</v>
      </c>
      <c r="Q16" s="49" t="n">
        <f aca="false">M16-P16</f>
        <v>389658.325388786</v>
      </c>
      <c r="R16" s="21" t="n">
        <f aca="false">L16*Baseline!D16</f>
        <v>13065.5654257733</v>
      </c>
      <c r="S16" s="21" t="n">
        <f aca="false">IFERROR(P16/(Baseline!C16*(1+Assumptions!$D$19)),0)</f>
        <v>1873.94896875277</v>
      </c>
      <c r="T16" s="20" t="n">
        <f aca="false">Q16/(1-N16)*(1-Assumptions!$D$23)</f>
        <v>160907.01355535</v>
      </c>
      <c r="U16" s="20" t="n">
        <f aca="false">P16/(1-N16)*(1-Assumptions!$D$23)*Assumptions!$D$24</f>
        <v>2935.63603954638</v>
      </c>
      <c r="V16" s="49" t="n">
        <f aca="false">Q16-T16-U16</f>
        <v>225815.675793889</v>
      </c>
      <c r="W16" s="20" t="n">
        <f aca="false">T16*Assumptions!$D$25+L16*(Assumptions!$D$27-Assumptions!$D$28+Assumptions!$D$29+Assumptions!$D$36*Assumptions!$D$37)+R16*Assumptions!$D$30+S16*(Assumptions!$D$31+Assumptions!$D$32)+M16*(Assumptions!$D$33+Assumptions!$D$38)+IFERROR(M16*J16/K16,0)*Assumptions!$D$35*Assumptions!$D$34</f>
        <v>64549.7551744175</v>
      </c>
      <c r="X16" s="49" t="n">
        <f aca="false">V16-W16</f>
        <v>161265.920619472</v>
      </c>
      <c r="Y16" s="49" t="n">
        <f aca="false">C16+E16+G16</f>
        <v>56115.2650814729</v>
      </c>
      <c r="Z16" s="49" t="n">
        <f aca="false">X16-Y16</f>
        <v>105150.655537999</v>
      </c>
      <c r="AA16" s="20" t="n">
        <f aca="false">'Fixed Costs'!$G$31/52</f>
        <v>25332.6923076923</v>
      </c>
      <c r="AB16" s="49" t="n">
        <f aca="false">Z16-AA16</f>
        <v>79817.9632303065</v>
      </c>
      <c r="AC16" s="21" t="n">
        <f aca="false">L16*Baseline!G16</f>
        <v>2454.68862599201</v>
      </c>
    </row>
    <row r="17" customFormat="false" ht="15" hidden="false" customHeight="false" outlineLevel="0" collapsed="false">
      <c r="A17" s="13" t="n">
        <v>12</v>
      </c>
      <c r="B17" s="14" t="str">
        <f aca="false">Calendar!D17</f>
        <v>P3</v>
      </c>
      <c r="C17" s="20" t="n">
        <f aca="false">IF('Media Plan'!D17&lt;&gt;"",'Media Plan'!D17,Assumptions!$D$10*Baseline!T17)</f>
        <v>31340.8478779938</v>
      </c>
      <c r="D17" s="21" t="n">
        <f aca="false">IFERROR(C17/(Baseline!H17*(1+Assumptions!$D$13)*IFERROR(MAX(0,C17)/'History Y-1'!P17,1)^Assumptions!$D$14),0)</f>
        <v>75263.555166307</v>
      </c>
      <c r="E17" s="20" t="n">
        <f aca="false">IF('Media Plan'!J17&lt;&gt;"",'Media Plan'!J17,Assumptions!$D$11*Baseline!U17)</f>
        <v>17774.0249623235</v>
      </c>
      <c r="F17" s="21" t="n">
        <f aca="false">IFERROR(E17/(Baseline!I17*(1+Assumptions!$D$13)*IFERROR(MAX(0,E17)/'History Y-1'!Q17,1)^Assumptions!$D$15),0)</f>
        <v>50977.2134953181</v>
      </c>
      <c r="G17" s="20" t="n">
        <f aca="false">IF('Media Plan'!P17&lt;&gt;"",'Media Plan'!P17,Assumptions!$D$12*Baseline!V17)</f>
        <v>3600.97822408256</v>
      </c>
      <c r="H17" s="21" t="n">
        <f aca="false">IFERROR(G17/(Baseline!J17*(1+Assumptions!$D$13)*IFERROR(MAX(0,G17)/'History Y-1'!R17,1)^Assumptions!$D$16),0)</f>
        <v>15550.5692173859</v>
      </c>
      <c r="I17" s="21" t="n">
        <f aca="false">'History Y-1'!$F$58*(1+Assumptions!$D$6)*Baseline!Q17+'History Y-1'!$G$58*(1+Assumptions!$D$7)*Baseline!R17+J17</f>
        <v>175457.548797497</v>
      </c>
      <c r="J17" s="21" t="n">
        <f aca="false">'History Y-1'!$H$58*(1+Assumptions!$D$8)*Baseline!S17</f>
        <v>20261.7978265486</v>
      </c>
      <c r="K17" s="55" t="n">
        <f aca="false">D17+F17+H17+I17</f>
        <v>317248.886676508</v>
      </c>
      <c r="L17" s="21" t="n">
        <f aca="false">K17*Baseline!B17*(1+Assumptions!$D$18)*(1+Calendar!G17)</f>
        <v>6837.81276339661</v>
      </c>
      <c r="M17" s="20" t="n">
        <f aca="false">L17*Baseline!C17*(1+Assumptions!$D$19)</f>
        <v>507266.275933672</v>
      </c>
      <c r="N17" s="31" t="n">
        <f aca="false">MAX(0,MIN(0.9,Baseline!E17+Assumptions!$D$20))</f>
        <v>0.0820858914901117</v>
      </c>
      <c r="O17" s="31" t="n">
        <f aca="false">MAX(0,Baseline!F17+Assumptions!$D$21)</f>
        <v>0.267646799119499</v>
      </c>
      <c r="P17" s="49" t="n">
        <f aca="false">M17*O17</f>
        <v>135768.195054916</v>
      </c>
      <c r="Q17" s="49" t="n">
        <f aca="false">M17-P17</f>
        <v>371498.080878756</v>
      </c>
      <c r="R17" s="21" t="n">
        <f aca="false">L17*Baseline!D17</f>
        <v>12835.8864640317</v>
      </c>
      <c r="S17" s="21" t="n">
        <f aca="false">IFERROR(P17/(Baseline!C17*(1+Assumptions!$D$19)),0)</f>
        <v>1830.11869910156</v>
      </c>
      <c r="T17" s="20" t="n">
        <f aca="false">Q17/(1-N17)*(1-Assumptions!$D$23)</f>
        <v>153793.551515508</v>
      </c>
      <c r="U17" s="20" t="n">
        <f aca="false">P17/(1-N17)*(1-Assumptions!$D$23)*Assumptions!$D$24</f>
        <v>2810.28004922055</v>
      </c>
      <c r="V17" s="49" t="n">
        <f aca="false">Q17-T17-U17</f>
        <v>214894.249314027</v>
      </c>
      <c r="W17" s="20" t="n">
        <f aca="false">T17*Assumptions!$D$25+L17*(Assumptions!$D$27-Assumptions!$D$28+Assumptions!$D$29+Assumptions!$D$36*Assumptions!$D$37)+R17*Assumptions!$D$30+S17*(Assumptions!$D$31+Assumptions!$D$32)+M17*(Assumptions!$D$33+Assumptions!$D$38)+IFERROR(M17*J17/K17,0)*Assumptions!$D$35*Assumptions!$D$34</f>
        <v>62557.9466567901</v>
      </c>
      <c r="X17" s="49" t="n">
        <f aca="false">V17-W17</f>
        <v>152336.302657237</v>
      </c>
      <c r="Y17" s="49" t="n">
        <f aca="false">C17+E17+G17</f>
        <v>52715.8510643999</v>
      </c>
      <c r="Z17" s="49" t="n">
        <f aca="false">X17-Y17</f>
        <v>99620.4515928374</v>
      </c>
      <c r="AA17" s="20" t="n">
        <f aca="false">'Fixed Costs'!$G$31/52</f>
        <v>25332.6923076923</v>
      </c>
      <c r="AB17" s="49" t="n">
        <f aca="false">Z17-AA17</f>
        <v>74287.7592851451</v>
      </c>
      <c r="AC17" s="21" t="n">
        <f aca="false">L17*Baseline!G17</f>
        <v>2314.04386934036</v>
      </c>
    </row>
    <row r="18" customFormat="false" ht="15" hidden="false" customHeight="false" outlineLevel="0" collapsed="false">
      <c r="A18" s="13" t="n">
        <v>13</v>
      </c>
      <c r="B18" s="14" t="str">
        <f aca="false">Calendar!D18</f>
        <v>P3</v>
      </c>
      <c r="C18" s="20" t="n">
        <f aca="false">IF('Media Plan'!D18&lt;&gt;"",'Media Plan'!D18,Assumptions!$D$10*Baseline!T18)</f>
        <v>34773.3477515073</v>
      </c>
      <c r="D18" s="21" t="n">
        <f aca="false">IFERROR(C18/(Baseline!H18*(1+Assumptions!$D$13)*IFERROR(MAX(0,C18)/'History Y-1'!P18,1)^Assumptions!$D$14),0)</f>
        <v>70042.5268738253</v>
      </c>
      <c r="E18" s="20" t="n">
        <f aca="false">IF('Media Plan'!J18&lt;&gt;"",'Media Plan'!J18,Assumptions!$D$11*Baseline!U18)</f>
        <v>17448.7378308273</v>
      </c>
      <c r="F18" s="21" t="n">
        <f aca="false">IFERROR(E18/(Baseline!I18*(1+Assumptions!$D$13)*IFERROR(MAX(0,E18)/'History Y-1'!Q18,1)^Assumptions!$D$15),0)</f>
        <v>47813.6502540685</v>
      </c>
      <c r="G18" s="20" t="n">
        <f aca="false">IF('Media Plan'!P18&lt;&gt;"",'Media Plan'!P18,Assumptions!$D$12*Baseline!V18)</f>
        <v>3523.00338888481</v>
      </c>
      <c r="H18" s="21" t="n">
        <f aca="false">IFERROR(G18/(Baseline!J18*(1+Assumptions!$D$13)*IFERROR(MAX(0,G18)/'History Y-1'!R18,1)^Assumptions!$D$16),0)</f>
        <v>14492.7514501193</v>
      </c>
      <c r="I18" s="21" t="n">
        <f aca="false">'History Y-1'!$F$58*(1+Assumptions!$D$6)*Baseline!Q18+'History Y-1'!$G$58*(1+Assumptions!$D$7)*Baseline!R18+J18</f>
        <v>177814.482491819</v>
      </c>
      <c r="J18" s="21" t="n">
        <f aca="false">'History Y-1'!$H$58*(1+Assumptions!$D$8)*Baseline!S18</f>
        <v>21287.0337439565</v>
      </c>
      <c r="K18" s="55" t="n">
        <f aca="false">D18+F18+H18+I18</f>
        <v>310163.411069832</v>
      </c>
      <c r="L18" s="21" t="n">
        <f aca="false">K18*Baseline!B18*(1+Assumptions!$D$18)*(1+Calendar!G18)</f>
        <v>6661.79765921482</v>
      </c>
      <c r="M18" s="20" t="n">
        <f aca="false">L18*Baseline!C18*(1+Assumptions!$D$19)</f>
        <v>511351.577478925</v>
      </c>
      <c r="N18" s="31" t="n">
        <f aca="false">MAX(0,MIN(0.9,Baseline!E18+Assumptions!$D$20))</f>
        <v>0.0826368635711652</v>
      </c>
      <c r="O18" s="31" t="n">
        <f aca="false">MAX(0,Baseline!F18+Assumptions!$D$21)</f>
        <v>0.256998513757347</v>
      </c>
      <c r="P18" s="49" t="n">
        <f aca="false">M18*O18</f>
        <v>131416.595419558</v>
      </c>
      <c r="Q18" s="49" t="n">
        <f aca="false">M18-P18</f>
        <v>379934.982059367</v>
      </c>
      <c r="R18" s="21" t="n">
        <f aca="false">L18*Baseline!D18</f>
        <v>12539.0318796518</v>
      </c>
      <c r="S18" s="21" t="n">
        <f aca="false">IFERROR(P18/(Baseline!C18*(1+Assumptions!$D$19)),0)</f>
        <v>1712.07209737038</v>
      </c>
      <c r="T18" s="20" t="n">
        <f aca="false">Q18/(1-N18)*(1-Assumptions!$D$23)</f>
        <v>157380.744276026</v>
      </c>
      <c r="U18" s="20" t="n">
        <f aca="false">P18/(1-N18)*(1-Assumptions!$D$23)*Assumptions!$D$24</f>
        <v>2721.83960071881</v>
      </c>
      <c r="V18" s="49" t="n">
        <f aca="false">Q18-T18-U18</f>
        <v>219832.398182622</v>
      </c>
      <c r="W18" s="20" t="n">
        <f aca="false">T18*Assumptions!$D$25+L18*(Assumptions!$D$27-Assumptions!$D$28+Assumptions!$D$29+Assumptions!$D$36*Assumptions!$D$37)+R18*Assumptions!$D$30+S18*(Assumptions!$D$31+Assumptions!$D$32)+M18*(Assumptions!$D$33+Assumptions!$D$38)+IFERROR(M18*J18/K18,0)*Assumptions!$D$35*Assumptions!$D$34</f>
        <v>61458.7135190724</v>
      </c>
      <c r="X18" s="49" t="n">
        <f aca="false">V18-W18</f>
        <v>158373.68466355</v>
      </c>
      <c r="Y18" s="49" t="n">
        <f aca="false">C18+E18+G18</f>
        <v>55745.0889712194</v>
      </c>
      <c r="Z18" s="49" t="n">
        <f aca="false">X18-Y18</f>
        <v>102628.59569233</v>
      </c>
      <c r="AA18" s="20" t="n">
        <f aca="false">'Fixed Costs'!$G$31/52</f>
        <v>25332.6923076923</v>
      </c>
      <c r="AB18" s="49" t="n">
        <f aca="false">Z18-AA18</f>
        <v>77295.9033846381</v>
      </c>
      <c r="AC18" s="21" t="n">
        <f aca="false">L18*Baseline!G18</f>
        <v>2320.04709670982</v>
      </c>
    </row>
    <row r="19" customFormat="false" ht="15" hidden="false" customHeight="false" outlineLevel="0" collapsed="false">
      <c r="A19" s="13" t="n">
        <v>14</v>
      </c>
      <c r="B19" s="14" t="str">
        <f aca="false">Calendar!D19</f>
        <v>P4</v>
      </c>
      <c r="C19" s="20" t="n">
        <f aca="false">IF('Media Plan'!D19&lt;&gt;"",'Media Plan'!D19,Assumptions!$D$10*Baseline!T19)</f>
        <v>36839.1504478545</v>
      </c>
      <c r="D19" s="21" t="n">
        <f aca="false">IFERROR(C19/(Baseline!H19*(1+Assumptions!$D$13)*IFERROR(MAX(0,C19)/'History Y-1'!P19,1)^Assumptions!$D$14),0)</f>
        <v>78010.6431896612</v>
      </c>
      <c r="E19" s="20" t="n">
        <f aca="false">IF('Media Plan'!J19&lt;&gt;"",'Media Plan'!J19,Assumptions!$D$11*Baseline!U19)</f>
        <v>18327.7336585697</v>
      </c>
      <c r="F19" s="21" t="n">
        <f aca="false">IFERROR(E19/(Baseline!I19*(1+Assumptions!$D$13)*IFERROR(MAX(0,E19)/'History Y-1'!Q19,1)^Assumptions!$D$15),0)</f>
        <v>48413.5945747601</v>
      </c>
      <c r="G19" s="20" t="n">
        <f aca="false">IF('Media Plan'!P19&lt;&gt;"",'Media Plan'!P19,Assumptions!$D$12*Baseline!V19)</f>
        <v>3854.86851213136</v>
      </c>
      <c r="H19" s="21" t="n">
        <f aca="false">IFERROR(G19/(Baseline!J19*(1+Assumptions!$D$13)*IFERROR(MAX(0,G19)/'History Y-1'!R19,1)^Assumptions!$D$16),0)</f>
        <v>15430.5541188875</v>
      </c>
      <c r="I19" s="21" t="n">
        <f aca="false">'History Y-1'!$F$58*(1+Assumptions!$D$6)*Baseline!Q19+'History Y-1'!$G$58*(1+Assumptions!$D$7)*Baseline!R19+J19</f>
        <v>188657.158485932</v>
      </c>
      <c r="J19" s="21" t="n">
        <f aca="false">'History Y-1'!$H$58*(1+Assumptions!$D$8)*Baseline!S19</f>
        <v>22359.1459059554</v>
      </c>
      <c r="K19" s="55" t="n">
        <f aca="false">D19+F19+H19+I19</f>
        <v>330511.950369241</v>
      </c>
      <c r="L19" s="21" t="n">
        <f aca="false">K19*Baseline!B19*(1+Assumptions!$D$18)*(1+Calendar!G19)</f>
        <v>7257.04092174014</v>
      </c>
      <c r="M19" s="20" t="n">
        <f aca="false">L19*Baseline!C19*(1+Assumptions!$D$19)</f>
        <v>558317.234080011</v>
      </c>
      <c r="N19" s="31" t="n">
        <f aca="false">MAX(0,MIN(0.9,Baseline!E19+Assumptions!$D$20))</f>
        <v>0.0782264682320803</v>
      </c>
      <c r="O19" s="31" t="n">
        <f aca="false">MAX(0,Baseline!F19+Assumptions!$D$21)</f>
        <v>0.258401284826854</v>
      </c>
      <c r="P19" s="49" t="n">
        <f aca="false">M19*O19</f>
        <v>144269.89062725</v>
      </c>
      <c r="Q19" s="49" t="n">
        <f aca="false">M19-P19</f>
        <v>414047.343452761</v>
      </c>
      <c r="R19" s="21" t="n">
        <f aca="false">L19*Baseline!D19</f>
        <v>13537.6675875071</v>
      </c>
      <c r="S19" s="21" t="n">
        <f aca="false">IFERROR(P19/(Baseline!C19*(1+Assumptions!$D$19)),0)</f>
        <v>1875.22869821871</v>
      </c>
      <c r="T19" s="20" t="n">
        <f aca="false">Q19/(1-N19)*(1-Assumptions!$D$23)</f>
        <v>170690.505953542</v>
      </c>
      <c r="U19" s="20" t="n">
        <f aca="false">P19/(1-N19)*(1-Assumptions!$D$23)*Assumptions!$D$24</f>
        <v>2973.75421125447</v>
      </c>
      <c r="V19" s="49" t="n">
        <f aca="false">Q19-T19-U19</f>
        <v>240383.083287965</v>
      </c>
      <c r="W19" s="20" t="n">
        <f aca="false">T19*Assumptions!$D$25+L19*(Assumptions!$D$27-Assumptions!$D$28+Assumptions!$D$29+Assumptions!$D$36*Assumptions!$D$37)+R19*Assumptions!$D$30+S19*(Assumptions!$D$31+Assumptions!$D$32)+M19*(Assumptions!$D$33+Assumptions!$D$38)+IFERROR(M19*J19/K19,0)*Assumptions!$D$35*Assumptions!$D$34</f>
        <v>66856.4032506569</v>
      </c>
      <c r="X19" s="49" t="n">
        <f aca="false">V19-W19</f>
        <v>173526.680037308</v>
      </c>
      <c r="Y19" s="49" t="n">
        <f aca="false">C19+E19+G19</f>
        <v>59021.7526185556</v>
      </c>
      <c r="Z19" s="49" t="n">
        <f aca="false">X19-Y19</f>
        <v>114504.927418752</v>
      </c>
      <c r="AA19" s="20" t="n">
        <f aca="false">'Fixed Costs'!$G$31/52</f>
        <v>25332.6923076923</v>
      </c>
      <c r="AB19" s="49" t="n">
        <f aca="false">Z19-AA19</f>
        <v>89172.2351110601</v>
      </c>
      <c r="AC19" s="21" t="n">
        <f aca="false">L19*Baseline!G19</f>
        <v>2532.25690131129</v>
      </c>
    </row>
    <row r="20" customFormat="false" ht="15" hidden="false" customHeight="false" outlineLevel="0" collapsed="false">
      <c r="A20" s="13" t="n">
        <v>15</v>
      </c>
      <c r="B20" s="14" t="str">
        <f aca="false">Calendar!D20</f>
        <v>P4</v>
      </c>
      <c r="C20" s="20" t="n">
        <f aca="false">IF('Media Plan'!D20&lt;&gt;"",'Media Plan'!D20,Assumptions!$D$10*Baseline!T20)</f>
        <v>37396.5265824609</v>
      </c>
      <c r="D20" s="21" t="n">
        <f aca="false">IFERROR(C20/(Baseline!H20*(1+Assumptions!$D$13)*IFERROR(MAX(0,C20)/'History Y-1'!P20,1)^Assumptions!$D$14),0)</f>
        <v>78297.7276022536</v>
      </c>
      <c r="E20" s="20" t="n">
        <f aca="false">IF('Media Plan'!J20&lt;&gt;"",'Media Plan'!J20,Assumptions!$D$11*Baseline!U20)</f>
        <v>17031.9175038038</v>
      </c>
      <c r="F20" s="21" t="n">
        <f aca="false">IFERROR(E20/(Baseline!I20*(1+Assumptions!$D$13)*IFERROR(MAX(0,E20)/'History Y-1'!Q20,1)^Assumptions!$D$15),0)</f>
        <v>47577.7277244027</v>
      </c>
      <c r="G20" s="20" t="n">
        <f aca="false">IF('Media Plan'!P20&lt;&gt;"",'Media Plan'!P20,Assumptions!$D$12*Baseline!V20)</f>
        <v>3796.08339136316</v>
      </c>
      <c r="H20" s="21" t="n">
        <f aca="false">IFERROR(G20/(Baseline!J20*(1+Assumptions!$D$13)*IFERROR(MAX(0,G20)/'History Y-1'!R20,1)^Assumptions!$D$16),0)</f>
        <v>15441.6680660964</v>
      </c>
      <c r="I20" s="21" t="n">
        <f aca="false">'History Y-1'!$F$58*(1+Assumptions!$D$6)*Baseline!Q20+'History Y-1'!$G$58*(1+Assumptions!$D$7)*Baseline!R20+J20</f>
        <v>183780.62337158</v>
      </c>
      <c r="J20" s="21" t="n">
        <f aca="false">'History Y-1'!$H$58*(1+Assumptions!$D$8)*Baseline!S20</f>
        <v>21455.2324251845</v>
      </c>
      <c r="K20" s="55" t="n">
        <f aca="false">D20+F20+H20+I20</f>
        <v>325097.746764333</v>
      </c>
      <c r="L20" s="21" t="n">
        <f aca="false">K20*Baseline!B20*(1+Assumptions!$D$18)*(1+Calendar!G20)</f>
        <v>7027.37124872031</v>
      </c>
      <c r="M20" s="20" t="n">
        <f aca="false">L20*Baseline!C20*(1+Assumptions!$D$19)</f>
        <v>546141.400814514</v>
      </c>
      <c r="N20" s="31" t="n">
        <f aca="false">MAX(0,MIN(0.9,Baseline!E20+Assumptions!$D$20))</f>
        <v>0.0775871775762531</v>
      </c>
      <c r="O20" s="31" t="n">
        <f aca="false">MAX(0,Baseline!F20+Assumptions!$D$21)</f>
        <v>0.257247648462997</v>
      </c>
      <c r="P20" s="49" t="n">
        <f aca="false">M20*O20</f>
        <v>140493.591087821</v>
      </c>
      <c r="Q20" s="49" t="n">
        <f aca="false">M20-P20</f>
        <v>405647.809726693</v>
      </c>
      <c r="R20" s="21" t="n">
        <f aca="false">L20*Baseline!D20</f>
        <v>13388.5563583249</v>
      </c>
      <c r="S20" s="21" t="n">
        <f aca="false">IFERROR(P20/(Baseline!C20*(1+Assumptions!$D$19)),0)</f>
        <v>1807.77472860977</v>
      </c>
      <c r="T20" s="20" t="n">
        <f aca="false">Q20/(1-N20)*(1-Assumptions!$D$23)</f>
        <v>167111.909059445</v>
      </c>
      <c r="U20" s="20" t="n">
        <f aca="false">P20/(1-N20)*(1-Assumptions!$D$23)*Assumptions!$D$24</f>
        <v>2893.90841690003</v>
      </c>
      <c r="V20" s="49" t="n">
        <f aca="false">Q20-T20-U20</f>
        <v>235641.992250348</v>
      </c>
      <c r="W20" s="20" t="n">
        <f aca="false">T20*Assumptions!$D$25+L20*(Assumptions!$D$27-Assumptions!$D$28+Assumptions!$D$29+Assumptions!$D$36*Assumptions!$D$37)+R20*Assumptions!$D$30+S20*(Assumptions!$D$31+Assumptions!$D$32)+M20*(Assumptions!$D$33+Assumptions!$D$38)+IFERROR(M20*J20/K20,0)*Assumptions!$D$35*Assumptions!$D$34</f>
        <v>65048.9950878279</v>
      </c>
      <c r="X20" s="49" t="n">
        <f aca="false">V20-W20</f>
        <v>170592.99716252</v>
      </c>
      <c r="Y20" s="49" t="n">
        <f aca="false">C20+E20+G20</f>
        <v>58224.5274776279</v>
      </c>
      <c r="Z20" s="49" t="n">
        <f aca="false">X20-Y20</f>
        <v>112368.469684892</v>
      </c>
      <c r="AA20" s="20" t="n">
        <f aca="false">'Fixed Costs'!$G$31/52</f>
        <v>25332.6923076923</v>
      </c>
      <c r="AB20" s="49" t="n">
        <f aca="false">Z20-AA20</f>
        <v>87035.7773771998</v>
      </c>
      <c r="AC20" s="21" t="n">
        <f aca="false">L20*Baseline!G20</f>
        <v>2432.60645375125</v>
      </c>
    </row>
    <row r="21" customFormat="false" ht="15" hidden="false" customHeight="false" outlineLevel="0" collapsed="false">
      <c r="A21" s="13" t="n">
        <v>16</v>
      </c>
      <c r="B21" s="14" t="str">
        <f aca="false">Calendar!D21</f>
        <v>P4</v>
      </c>
      <c r="C21" s="20" t="n">
        <f aca="false">IF('Media Plan'!D21&lt;&gt;"",'Media Plan'!D21,Assumptions!$D$10*Baseline!T21)</f>
        <v>36175.2427582191</v>
      </c>
      <c r="D21" s="21" t="n">
        <f aca="false">IFERROR(C21/(Baseline!H21*(1+Assumptions!$D$13)*IFERROR(MAX(0,C21)/'History Y-1'!P21,1)^Assumptions!$D$14),0)</f>
        <v>75699.1797108834</v>
      </c>
      <c r="E21" s="20" t="n">
        <f aca="false">IF('Media Plan'!J21&lt;&gt;"",'Media Plan'!J21,Assumptions!$D$11*Baseline!U21)</f>
        <v>17641.3661056998</v>
      </c>
      <c r="F21" s="21" t="n">
        <f aca="false">IFERROR(E21/(Baseline!I21*(1+Assumptions!$D$13)*IFERROR(MAX(0,E21)/'History Y-1'!Q21,1)^Assumptions!$D$15),0)</f>
        <v>48847.2305534634</v>
      </c>
      <c r="G21" s="20" t="n">
        <f aca="false">IF('Media Plan'!P21&lt;&gt;"",'Media Plan'!P21,Assumptions!$D$12*Baseline!V21)</f>
        <v>3985.89591871715</v>
      </c>
      <c r="H21" s="21" t="n">
        <f aca="false">IFERROR(G21/(Baseline!J21*(1+Assumptions!$D$13)*IFERROR(MAX(0,G21)/'History Y-1'!R21,1)^Assumptions!$D$16),0)</f>
        <v>16366.8867253368</v>
      </c>
      <c r="I21" s="21" t="n">
        <f aca="false">'History Y-1'!$F$58*(1+Assumptions!$D$6)*Baseline!Q21+'History Y-1'!$G$58*(1+Assumptions!$D$7)*Baseline!R21+J21</f>
        <v>190819.524535935</v>
      </c>
      <c r="J21" s="21" t="n">
        <f aca="false">'History Y-1'!$H$58*(1+Assumptions!$D$8)*Baseline!S21</f>
        <v>22854.8561462462</v>
      </c>
      <c r="K21" s="55" t="n">
        <f aca="false">D21+F21+H21+I21</f>
        <v>331732.821525619</v>
      </c>
      <c r="L21" s="21" t="n">
        <f aca="false">K21*Baseline!B21*(1+Assumptions!$D$18)*(1+Calendar!G21)</f>
        <v>7217.37020844998</v>
      </c>
      <c r="M21" s="20" t="n">
        <f aca="false">L21*Baseline!C21*(1+Assumptions!$D$19)</f>
        <v>561216.441578896</v>
      </c>
      <c r="N21" s="31" t="n">
        <f aca="false">MAX(0,MIN(0.9,Baseline!E21+Assumptions!$D$20))</f>
        <v>0.0824666775659074</v>
      </c>
      <c r="O21" s="31" t="n">
        <f aca="false">MAX(0,Baseline!F21+Assumptions!$D$21)</f>
        <v>0.257869977537873</v>
      </c>
      <c r="P21" s="49" t="n">
        <f aca="false">M21*O21</f>
        <v>144720.871183835</v>
      </c>
      <c r="Q21" s="49" t="n">
        <f aca="false">M21-P21</f>
        <v>416495.570395061</v>
      </c>
      <c r="R21" s="21" t="n">
        <f aca="false">L21*Baseline!D21</f>
        <v>13831.741864978</v>
      </c>
      <c r="S21" s="21" t="n">
        <f aca="false">IFERROR(P21/(Baseline!C21*(1+Assumptions!$D$19)),0)</f>
        <v>1861.14309353551</v>
      </c>
      <c r="T21" s="20" t="n">
        <f aca="false">Q21/(1-N21)*(1-Assumptions!$D$23)</f>
        <v>172493.26305693</v>
      </c>
      <c r="U21" s="20" t="n">
        <f aca="false">P21/(1-N21)*(1-Assumptions!$D$23)*Assumptions!$D$24</f>
        <v>2996.83563011999</v>
      </c>
      <c r="V21" s="49" t="n">
        <f aca="false">Q21-T21-U21</f>
        <v>241005.471708011</v>
      </c>
      <c r="W21" s="20" t="n">
        <f aca="false">T21*Assumptions!$D$25+L21*(Assumptions!$D$27-Assumptions!$D$28+Assumptions!$D$29+Assumptions!$D$36*Assumptions!$D$37)+R21*Assumptions!$D$30+S21*(Assumptions!$D$31+Assumptions!$D$32)+M21*(Assumptions!$D$33+Assumptions!$D$38)+IFERROR(M21*J21/K21,0)*Assumptions!$D$35*Assumptions!$D$34</f>
        <v>67060.501403943</v>
      </c>
      <c r="X21" s="49" t="n">
        <f aca="false">V21-W21</f>
        <v>173944.970304068</v>
      </c>
      <c r="Y21" s="49" t="n">
        <f aca="false">C21+E21+G21</f>
        <v>57802.5047826361</v>
      </c>
      <c r="Z21" s="49" t="n">
        <f aca="false">X21-Y21</f>
        <v>116142.465521432</v>
      </c>
      <c r="AA21" s="20" t="n">
        <f aca="false">'Fixed Costs'!$G$31/52</f>
        <v>25332.6923076923</v>
      </c>
      <c r="AB21" s="49" t="n">
        <f aca="false">Z21-AA21</f>
        <v>90809.7732137396</v>
      </c>
      <c r="AC21" s="21" t="n">
        <f aca="false">L21*Baseline!G21</f>
        <v>2490.35113887649</v>
      </c>
    </row>
    <row r="22" customFormat="false" ht="15" hidden="false" customHeight="false" outlineLevel="0" collapsed="false">
      <c r="A22" s="13" t="n">
        <v>17</v>
      </c>
      <c r="B22" s="14" t="str">
        <f aca="false">Calendar!D22</f>
        <v>P4</v>
      </c>
      <c r="C22" s="20" t="n">
        <f aca="false">IF('Media Plan'!D22&lt;&gt;"",'Media Plan'!D22,Assumptions!$D$10*Baseline!T22)</f>
        <v>36458.8665688794</v>
      </c>
      <c r="D22" s="21" t="n">
        <f aca="false">IFERROR(C22/(Baseline!H22*(1+Assumptions!$D$13)*IFERROR(MAX(0,C22)/'History Y-1'!P22,1)^Assumptions!$D$14),0)</f>
        <v>79264.0088437429</v>
      </c>
      <c r="E22" s="20" t="n">
        <f aca="false">IF('Media Plan'!J22&lt;&gt;"",'Media Plan'!J22,Assumptions!$D$11*Baseline!U22)</f>
        <v>18917.4757844456</v>
      </c>
      <c r="F22" s="21" t="n">
        <f aca="false">IFERROR(E22/(Baseline!I22*(1+Assumptions!$D$13)*IFERROR(MAX(0,E22)/'History Y-1'!Q22,1)^Assumptions!$D$15),0)</f>
        <v>51594.2872688899</v>
      </c>
      <c r="G22" s="20" t="n">
        <f aca="false">IF('Media Plan'!P22&lt;&gt;"",'Media Plan'!P22,Assumptions!$D$12*Baseline!V22)</f>
        <v>3722.98701959104</v>
      </c>
      <c r="H22" s="21" t="n">
        <f aca="false">IFERROR(G22/(Baseline!J22*(1+Assumptions!$D$13)*IFERROR(MAX(0,G22)/'History Y-1'!R22,1)^Assumptions!$D$16),0)</f>
        <v>15350.5628772451</v>
      </c>
      <c r="I22" s="21" t="n">
        <f aca="false">'History Y-1'!$F$58*(1+Assumptions!$D$6)*Baseline!Q22+'History Y-1'!$G$58*(1+Assumptions!$D$7)*Baseline!R22+J22</f>
        <v>187907.987924588</v>
      </c>
      <c r="J22" s="21" t="n">
        <f aca="false">'History Y-1'!$H$58*(1+Assumptions!$D$8)*Baseline!S22</f>
        <v>22383.6672524918</v>
      </c>
      <c r="K22" s="55" t="n">
        <f aca="false">D22+F22+H22+I22</f>
        <v>334116.846914466</v>
      </c>
      <c r="L22" s="21" t="n">
        <f aca="false">K22*Baseline!B22*(1+Assumptions!$D$18)*(1+Calendar!G22)</f>
        <v>7045.76654917659</v>
      </c>
      <c r="M22" s="20" t="n">
        <f aca="false">L22*Baseline!C22*(1+Assumptions!$D$19)</f>
        <v>534957.970441459</v>
      </c>
      <c r="N22" s="31" t="n">
        <f aca="false">MAX(0,MIN(0.9,Baseline!E22+Assumptions!$D$20))</f>
        <v>0.0791205885732181</v>
      </c>
      <c r="O22" s="31" t="n">
        <f aca="false">MAX(0,Baseline!F22+Assumptions!$D$21)</f>
        <v>0.26626757724974</v>
      </c>
      <c r="P22" s="49" t="n">
        <f aca="false">M22*O22</f>
        <v>142441.962719885</v>
      </c>
      <c r="Q22" s="49" t="n">
        <f aca="false">M22-P22</f>
        <v>392516.007721573</v>
      </c>
      <c r="R22" s="21" t="n">
        <f aca="false">L22*Baseline!D22</f>
        <v>13560.375178072</v>
      </c>
      <c r="S22" s="21" t="n">
        <f aca="false">IFERROR(P22/(Baseline!C22*(1+Assumptions!$D$19)),0)</f>
        <v>1876.05918891651</v>
      </c>
      <c r="T22" s="20" t="n">
        <f aca="false">Q22/(1-N22)*(1-Assumptions!$D$23)</f>
        <v>161971.351605201</v>
      </c>
      <c r="U22" s="20" t="n">
        <f aca="false">P22/(1-N22)*(1-Assumptions!$D$23)*Assumptions!$D$24</f>
        <v>2938.92691930707</v>
      </c>
      <c r="V22" s="49" t="n">
        <f aca="false">Q22-T22-U22</f>
        <v>227605.729197065</v>
      </c>
      <c r="W22" s="20" t="n">
        <f aca="false">T22*Assumptions!$D$25+L22*(Assumptions!$D$27-Assumptions!$D$28+Assumptions!$D$29+Assumptions!$D$36*Assumptions!$D$37)+R22*Assumptions!$D$30+S22*(Assumptions!$D$31+Assumptions!$D$32)+M22*(Assumptions!$D$33+Assumptions!$D$38)+IFERROR(M22*J22/K22,0)*Assumptions!$D$35*Assumptions!$D$34</f>
        <v>65215.8872602207</v>
      </c>
      <c r="X22" s="49" t="n">
        <f aca="false">V22-W22</f>
        <v>162389.841936845</v>
      </c>
      <c r="Y22" s="49" t="n">
        <f aca="false">C22+E22+G22</f>
        <v>59099.3293729161</v>
      </c>
      <c r="Z22" s="49" t="n">
        <f aca="false">X22-Y22</f>
        <v>103290.512563929</v>
      </c>
      <c r="AA22" s="20" t="n">
        <f aca="false">'Fixed Costs'!$G$31/52</f>
        <v>25332.6923076923</v>
      </c>
      <c r="AB22" s="49" t="n">
        <f aca="false">Z22-AA22</f>
        <v>77957.8202562362</v>
      </c>
      <c r="AC22" s="21" t="n">
        <f aca="false">L22*Baseline!G22</f>
        <v>2529.16106345176</v>
      </c>
    </row>
    <row r="23" customFormat="false" ht="15" hidden="false" customHeight="false" outlineLevel="0" collapsed="false">
      <c r="A23" s="13" t="n">
        <v>18</v>
      </c>
      <c r="B23" s="14" t="str">
        <f aca="false">Calendar!D23</f>
        <v>P5</v>
      </c>
      <c r="C23" s="20" t="n">
        <f aca="false">IF('Media Plan'!D23&lt;&gt;"",'Media Plan'!D23,Assumptions!$D$10*Baseline!T23)</f>
        <v>35608.171067611</v>
      </c>
      <c r="D23" s="21" t="n">
        <f aca="false">IFERROR(C23/(Baseline!H23*(1+Assumptions!$D$13)*IFERROR(MAX(0,C23)/'History Y-1'!P23,1)^Assumptions!$D$14),0)</f>
        <v>74062.5330995407</v>
      </c>
      <c r="E23" s="20" t="n">
        <f aca="false">IF('Media Plan'!J23&lt;&gt;"",'Media Plan'!J23,Assumptions!$D$11*Baseline!U23)</f>
        <v>17665.1448513091</v>
      </c>
      <c r="F23" s="21" t="n">
        <f aca="false">IFERROR(E23/(Baseline!I23*(1+Assumptions!$D$13)*IFERROR(MAX(0,E23)/'History Y-1'!Q23,1)^Assumptions!$D$15),0)</f>
        <v>47004.7098861165</v>
      </c>
      <c r="G23" s="20" t="n">
        <f aca="false">IF('Media Plan'!P23&lt;&gt;"",'Media Plan'!P23,Assumptions!$D$12*Baseline!V23)</f>
        <v>3832.09939394209</v>
      </c>
      <c r="H23" s="21" t="n">
        <f aca="false">IFERROR(G23/(Baseline!J23*(1+Assumptions!$D$13)*IFERROR(MAX(0,G23)/'History Y-1'!R23,1)^Assumptions!$D$16),0)</f>
        <v>15274.4998840372</v>
      </c>
      <c r="I23" s="21" t="n">
        <f aca="false">'History Y-1'!$F$58*(1+Assumptions!$D$6)*Baseline!Q23+'History Y-1'!$G$58*(1+Assumptions!$D$7)*Baseline!R23+J23</f>
        <v>185864.211580003</v>
      </c>
      <c r="J23" s="21" t="n">
        <f aca="false">'History Y-1'!$H$58*(1+Assumptions!$D$8)*Baseline!S23</f>
        <v>21285.1168801304</v>
      </c>
      <c r="K23" s="55" t="n">
        <f aca="false">D23+F23+H23+I23</f>
        <v>322205.954449697</v>
      </c>
      <c r="L23" s="21" t="n">
        <f aca="false">K23*Baseline!B23*(1+Assumptions!$D$18)*(1+Calendar!G23)</f>
        <v>6809.94553461879</v>
      </c>
      <c r="M23" s="20" t="n">
        <f aca="false">L23*Baseline!C23*(1+Assumptions!$D$19)</f>
        <v>529705.935933514</v>
      </c>
      <c r="N23" s="31" t="n">
        <f aca="false">MAX(0,MIN(0.9,Baseline!E23+Assumptions!$D$20))</f>
        <v>0.0787994209704977</v>
      </c>
      <c r="O23" s="31" t="n">
        <f aca="false">MAX(0,Baseline!F23+Assumptions!$D$21)</f>
        <v>0.255407042600766</v>
      </c>
      <c r="P23" s="49" t="n">
        <f aca="false">M23*O23</f>
        <v>135290.62654485</v>
      </c>
      <c r="Q23" s="49" t="n">
        <f aca="false">M23-P23</f>
        <v>394415.309388665</v>
      </c>
      <c r="R23" s="21" t="n">
        <f aca="false">L23*Baseline!D23</f>
        <v>13111.757011308</v>
      </c>
      <c r="S23" s="21" t="n">
        <f aca="false">IFERROR(P23/(Baseline!C23*(1+Assumptions!$D$19)),0)</f>
        <v>1739.30804926928</v>
      </c>
      <c r="T23" s="20" t="n">
        <f aca="false">Q23/(1-N23)*(1-Assumptions!$D$23)</f>
        <v>162698.353626298</v>
      </c>
      <c r="U23" s="20" t="n">
        <f aca="false">P23/(1-N23)*(1-Assumptions!$D$23)*Assumptions!$D$24</f>
        <v>2790.40413441796</v>
      </c>
      <c r="V23" s="49" t="n">
        <f aca="false">Q23-T23-U23</f>
        <v>228926.551627949</v>
      </c>
      <c r="W23" s="20" t="n">
        <f aca="false">T23*Assumptions!$D$25+L23*(Assumptions!$D$27-Assumptions!$D$28+Assumptions!$D$29+Assumptions!$D$36*Assumptions!$D$37)+R23*Assumptions!$D$30+S23*(Assumptions!$D$31+Assumptions!$D$32)+M23*(Assumptions!$D$33+Assumptions!$D$38)+IFERROR(M23*J23/K23,0)*Assumptions!$D$35*Assumptions!$D$34</f>
        <v>63131.5138664211</v>
      </c>
      <c r="X23" s="49" t="n">
        <f aca="false">V23-W23</f>
        <v>165795.037761527</v>
      </c>
      <c r="Y23" s="49" t="n">
        <f aca="false">C23+E23+G23</f>
        <v>57105.4153128622</v>
      </c>
      <c r="Z23" s="49" t="n">
        <f aca="false">X23-Y23</f>
        <v>108689.622448665</v>
      </c>
      <c r="AA23" s="20" t="n">
        <f aca="false">'Fixed Costs'!$G$31/52</f>
        <v>25332.6923076923</v>
      </c>
      <c r="AB23" s="49" t="n">
        <f aca="false">Z23-AA23</f>
        <v>83356.9301409729</v>
      </c>
      <c r="AC23" s="21" t="n">
        <f aca="false">L23*Baseline!G23</f>
        <v>2404.86120373582</v>
      </c>
    </row>
    <row r="24" customFormat="false" ht="15" hidden="false" customHeight="false" outlineLevel="0" collapsed="false">
      <c r="A24" s="13" t="n">
        <v>19</v>
      </c>
      <c r="B24" s="14" t="str">
        <f aca="false">Calendar!D24</f>
        <v>P5</v>
      </c>
      <c r="C24" s="20" t="n">
        <f aca="false">IF('Media Plan'!D24&lt;&gt;"",'Media Plan'!D24,Assumptions!$D$10*Baseline!T24)</f>
        <v>37785.5943594168</v>
      </c>
      <c r="D24" s="21" t="n">
        <f aca="false">IFERROR(C24/(Baseline!H24*(1+Assumptions!$D$13)*IFERROR(MAX(0,C24)/'History Y-1'!P24,1)^Assumptions!$D$14),0)</f>
        <v>77701.2778378229</v>
      </c>
      <c r="E24" s="20" t="n">
        <f aca="false">IF('Media Plan'!J24&lt;&gt;"",'Media Plan'!J24,Assumptions!$D$11*Baseline!U24)</f>
        <v>18324.959207282</v>
      </c>
      <c r="F24" s="21" t="n">
        <f aca="false">IFERROR(E24/(Baseline!I24*(1+Assumptions!$D$13)*IFERROR(MAX(0,E24)/'History Y-1'!Q24,1)^Assumptions!$D$15),0)</f>
        <v>51046.6844592384</v>
      </c>
      <c r="G24" s="20" t="n">
        <f aca="false">IF('Media Plan'!P24&lt;&gt;"",'Media Plan'!P24,Assumptions!$D$12*Baseline!V24)</f>
        <v>4064.82739976494</v>
      </c>
      <c r="H24" s="21" t="n">
        <f aca="false">IFERROR(G24/(Baseline!J24*(1+Assumptions!$D$13)*IFERROR(MAX(0,G24)/'History Y-1'!R24,1)^Assumptions!$D$16),0)</f>
        <v>16121.3135491004</v>
      </c>
      <c r="I24" s="21" t="n">
        <f aca="false">'History Y-1'!$F$58*(1+Assumptions!$D$6)*Baseline!Q24+'History Y-1'!$G$58*(1+Assumptions!$D$7)*Baseline!R24+J24</f>
        <v>191096.419882318</v>
      </c>
      <c r="J24" s="21" t="n">
        <f aca="false">'History Y-1'!$H$58*(1+Assumptions!$D$8)*Baseline!S24</f>
        <v>21884.7904790918</v>
      </c>
      <c r="K24" s="55" t="n">
        <f aca="false">D24+F24+H24+I24</f>
        <v>335965.695728479</v>
      </c>
      <c r="L24" s="21" t="n">
        <f aca="false">K24*Baseline!B24*(1+Assumptions!$D$18)*(1+Calendar!G24)</f>
        <v>7429.77789784399</v>
      </c>
      <c r="M24" s="20" t="n">
        <f aca="false">L24*Baseline!C24*(1+Assumptions!$D$19)</f>
        <v>574452.504100826</v>
      </c>
      <c r="N24" s="31" t="n">
        <f aca="false">MAX(0,MIN(0.9,Baseline!E24+Assumptions!$D$20))</f>
        <v>0.07985340933346</v>
      </c>
      <c r="O24" s="31" t="n">
        <f aca="false">MAX(0,Baseline!F24+Assumptions!$D$21)</f>
        <v>0.264483437794478</v>
      </c>
      <c r="P24" s="49" t="n">
        <f aca="false">M24*O24</f>
        <v>151933.173134233</v>
      </c>
      <c r="Q24" s="49" t="n">
        <f aca="false">M24-P24</f>
        <v>422519.330966593</v>
      </c>
      <c r="R24" s="21" t="n">
        <f aca="false">L24*Baseline!D24</f>
        <v>14446.3625971404</v>
      </c>
      <c r="S24" s="21" t="n">
        <f aca="false">IFERROR(P24/(Baseline!C24*(1+Assumptions!$D$19)),0)</f>
        <v>1965.05320047121</v>
      </c>
      <c r="T24" s="20" t="n">
        <f aca="false">Q24/(1-N24)*(1-Assumptions!$D$23)</f>
        <v>174491.051095457</v>
      </c>
      <c r="U24" s="20" t="n">
        <f aca="false">P24/(1-N24)*(1-Assumptions!$D$23)*Assumptions!$D$24</f>
        <v>3137.25043252003</v>
      </c>
      <c r="V24" s="49" t="n">
        <f aca="false">Q24-T24-U24</f>
        <v>244891.029438616</v>
      </c>
      <c r="W24" s="20" t="n">
        <f aca="false">T24*Assumptions!$D$25+L24*(Assumptions!$D$27-Assumptions!$D$28+Assumptions!$D$29+Assumptions!$D$36*Assumptions!$D$37)+R24*Assumptions!$D$30+S24*(Assumptions!$D$31+Assumptions!$D$32)+M24*(Assumptions!$D$33+Assumptions!$D$38)+IFERROR(M24*J24/K24,0)*Assumptions!$D$35*Assumptions!$D$34</f>
        <v>69096.1063844672</v>
      </c>
      <c r="X24" s="49" t="n">
        <f aca="false">V24-W24</f>
        <v>175794.923054149</v>
      </c>
      <c r="Y24" s="49" t="n">
        <f aca="false">C24+E24+G24</f>
        <v>60175.3809664637</v>
      </c>
      <c r="Z24" s="49" t="n">
        <f aca="false">X24-Y24</f>
        <v>115619.542087686</v>
      </c>
      <c r="AA24" s="20" t="n">
        <f aca="false">'Fixed Costs'!$G$31/52</f>
        <v>25332.6923076923</v>
      </c>
      <c r="AB24" s="49" t="n">
        <f aca="false">Z24-AA24</f>
        <v>90286.8497799933</v>
      </c>
      <c r="AC24" s="21" t="n">
        <f aca="false">L24*Baseline!G24</f>
        <v>2600.60704602103</v>
      </c>
    </row>
    <row r="25" customFormat="false" ht="15" hidden="false" customHeight="false" outlineLevel="0" collapsed="false">
      <c r="A25" s="13" t="n">
        <v>20</v>
      </c>
      <c r="B25" s="14" t="str">
        <f aca="false">Calendar!D25</f>
        <v>P5</v>
      </c>
      <c r="C25" s="20" t="n">
        <f aca="false">IF('Media Plan'!D25&lt;&gt;"",'Media Plan'!D25,Assumptions!$D$10*Baseline!T25)</f>
        <v>37429.8542762415</v>
      </c>
      <c r="D25" s="21" t="n">
        <f aca="false">IFERROR(C25/(Baseline!H25*(1+Assumptions!$D$13)*IFERROR(MAX(0,C25)/'History Y-1'!P25,1)^Assumptions!$D$14),0)</f>
        <v>79423.1204039837</v>
      </c>
      <c r="E25" s="20" t="n">
        <f aca="false">IF('Media Plan'!J25&lt;&gt;"",'Media Plan'!J25,Assumptions!$D$11*Baseline!U25)</f>
        <v>18047.0114458024</v>
      </c>
      <c r="F25" s="21" t="n">
        <f aca="false">IFERROR(E25/(Baseline!I25*(1+Assumptions!$D$13)*IFERROR(MAX(0,E25)/'History Y-1'!Q25,1)^Assumptions!$D$15),0)</f>
        <v>50126.7528282151</v>
      </c>
      <c r="G25" s="20" t="n">
        <f aca="false">IF('Media Plan'!P25&lt;&gt;"",'Media Plan'!P25,Assumptions!$D$12*Baseline!V25)</f>
        <v>3893.98815671425</v>
      </c>
      <c r="H25" s="21" t="n">
        <f aca="false">IFERROR(G25/(Baseline!J25*(1+Assumptions!$D$13)*IFERROR(MAX(0,G25)/'History Y-1'!R25,1)^Assumptions!$D$16),0)</f>
        <v>16012.6912392893</v>
      </c>
      <c r="I25" s="21" t="n">
        <f aca="false">'History Y-1'!$F$58*(1+Assumptions!$D$6)*Baseline!Q25+'History Y-1'!$G$58*(1+Assumptions!$D$7)*Baseline!R25+J25</f>
        <v>190768.141517299</v>
      </c>
      <c r="J25" s="21" t="n">
        <f aca="false">'History Y-1'!$H$58*(1+Assumptions!$D$8)*Baseline!S25</f>
        <v>22081.7875532565</v>
      </c>
      <c r="K25" s="55" t="n">
        <f aca="false">D25+F25+H25+I25</f>
        <v>336330.705988787</v>
      </c>
      <c r="L25" s="21" t="n">
        <f aca="false">K25*Baseline!B25*(1+Assumptions!$D$18)*(1+Calendar!G25)</f>
        <v>7311.50151390357</v>
      </c>
      <c r="M25" s="20" t="n">
        <f aca="false">L25*Baseline!C25*(1+Assumptions!$D$19)</f>
        <v>556516.235946171</v>
      </c>
      <c r="N25" s="31" t="n">
        <f aca="false">MAX(0,MIN(0.9,Baseline!E25+Assumptions!$D$20))</f>
        <v>0.0806176457412808</v>
      </c>
      <c r="O25" s="31" t="n">
        <f aca="false">MAX(0,Baseline!F25+Assumptions!$D$21)</f>
        <v>0.262434612603968</v>
      </c>
      <c r="P25" s="49" t="n">
        <f aca="false">M25*O25</f>
        <v>146049.122788352</v>
      </c>
      <c r="Q25" s="49" t="n">
        <f aca="false">M25-P25</f>
        <v>410467.113157819</v>
      </c>
      <c r="R25" s="21" t="n">
        <f aca="false">L25*Baseline!D25</f>
        <v>14231.5790451194</v>
      </c>
      <c r="S25" s="21" t="n">
        <f aca="false">IFERROR(P25/(Baseline!C25*(1+Assumptions!$D$19)),0)</f>
        <v>1918.79106735461</v>
      </c>
      <c r="T25" s="20" t="n">
        <f aca="false">Q25/(1-N25)*(1-Assumptions!$D$23)</f>
        <v>169654.662477978</v>
      </c>
      <c r="U25" s="20" t="n">
        <f aca="false">P25/(1-N25)*(1-Assumptions!$D$23)*Assumptions!$D$24</f>
        <v>3018.25820359154</v>
      </c>
      <c r="V25" s="49" t="n">
        <f aca="false">Q25-T25-U25</f>
        <v>237794.19247625</v>
      </c>
      <c r="W25" s="20" t="n">
        <f aca="false">T25*Assumptions!$D$25+L25*(Assumptions!$D$27-Assumptions!$D$28+Assumptions!$D$29+Assumptions!$D$36*Assumptions!$D$37)+R25*Assumptions!$D$30+S25*(Assumptions!$D$31+Assumptions!$D$32)+M25*(Assumptions!$D$33+Assumptions!$D$38)+IFERROR(M25*J25/K25,0)*Assumptions!$D$35*Assumptions!$D$34</f>
        <v>67701.6613344185</v>
      </c>
      <c r="X25" s="49" t="n">
        <f aca="false">V25-W25</f>
        <v>170092.531141832</v>
      </c>
      <c r="Y25" s="49" t="n">
        <f aca="false">C25+E25+G25</f>
        <v>59370.8538787582</v>
      </c>
      <c r="Z25" s="49" t="n">
        <f aca="false">X25-Y25</f>
        <v>110721.677263074</v>
      </c>
      <c r="AA25" s="20" t="n">
        <f aca="false">'Fixed Costs'!$G$31/52</f>
        <v>25332.6923076923</v>
      </c>
      <c r="AB25" s="49" t="n">
        <f aca="false">Z25-AA25</f>
        <v>85388.9849553814</v>
      </c>
      <c r="AC25" s="21" t="n">
        <f aca="false">L25*Baseline!G25</f>
        <v>2601.18498211727</v>
      </c>
    </row>
    <row r="26" customFormat="false" ht="15" hidden="false" customHeight="false" outlineLevel="0" collapsed="false">
      <c r="A26" s="13" t="n">
        <v>21</v>
      </c>
      <c r="B26" s="14" t="str">
        <f aca="false">Calendar!D26</f>
        <v>P5</v>
      </c>
      <c r="C26" s="20" t="n">
        <f aca="false">IF('Media Plan'!D26&lt;&gt;"",'Media Plan'!D26,Assumptions!$D$10*Baseline!T26)</f>
        <v>49411.3190344789</v>
      </c>
      <c r="D26" s="21" t="n">
        <f aca="false">IFERROR(C26/(Baseline!H26*(1+Assumptions!$D$13)*IFERROR(MAX(0,C26)/'History Y-1'!P26,1)^Assumptions!$D$14),0)</f>
        <v>105441.626428449</v>
      </c>
      <c r="E26" s="20" t="n">
        <f aca="false">IF('Media Plan'!J26&lt;&gt;"",'Media Plan'!J26,Assumptions!$D$11*Baseline!U26)</f>
        <v>25159.1957167359</v>
      </c>
      <c r="F26" s="21" t="n">
        <f aca="false">IFERROR(E26/(Baseline!I26*(1+Assumptions!$D$13)*IFERROR(MAX(0,E26)/'History Y-1'!Q26,1)^Assumptions!$D$15),0)</f>
        <v>69562.3454037058</v>
      </c>
      <c r="G26" s="20" t="n">
        <f aca="false">IF('Media Plan'!P26&lt;&gt;"",'Media Plan'!P26,Assumptions!$D$12*Baseline!V26)</f>
        <v>5018.22270921336</v>
      </c>
      <c r="H26" s="21" t="n">
        <f aca="false">IFERROR(G26/(Baseline!J26*(1+Assumptions!$D$13)*IFERROR(MAX(0,G26)/'History Y-1'!R26,1)^Assumptions!$D$16),0)</f>
        <v>20606.2081380528</v>
      </c>
      <c r="I26" s="21" t="n">
        <f aca="false">'History Y-1'!$F$58*(1+Assumptions!$D$6)*Baseline!Q26+'History Y-1'!$G$58*(1+Assumptions!$D$7)*Baseline!R26+J26</f>
        <v>287099.002366568</v>
      </c>
      <c r="J26" s="21" t="n">
        <f aca="false">'History Y-1'!$H$58*(1+Assumptions!$D$8)*Baseline!S26</f>
        <v>29683.7587183141</v>
      </c>
      <c r="K26" s="55" t="n">
        <f aca="false">D26+F26+H26+I26</f>
        <v>482709.182336775</v>
      </c>
      <c r="L26" s="21" t="n">
        <f aca="false">K26*Baseline!B26*(1+Assumptions!$D$18)*(1+Calendar!G26)</f>
        <v>12672.4849498501</v>
      </c>
      <c r="M26" s="20" t="n">
        <f aca="false">L26*Baseline!C26*(1+Assumptions!$D$19)</f>
        <v>872290.669017146</v>
      </c>
      <c r="N26" s="31" t="n">
        <f aca="false">MAX(0,MIN(0.9,Baseline!E26+Assumptions!$D$20))</f>
        <v>0.315129204534006</v>
      </c>
      <c r="O26" s="31" t="n">
        <f aca="false">MAX(0,Baseline!F26+Assumptions!$D$21)</f>
        <v>0.229097918862144</v>
      </c>
      <c r="P26" s="49" t="n">
        <f aca="false">M26*O26</f>
        <v>199839.976914696</v>
      </c>
      <c r="Q26" s="49" t="n">
        <f aca="false">M26-P26</f>
        <v>672450.692102451</v>
      </c>
      <c r="R26" s="21" t="n">
        <f aca="false">L26*Baseline!D26</f>
        <v>24188.2546987583</v>
      </c>
      <c r="S26" s="21" t="n">
        <f aca="false">IFERROR(P26/(Baseline!C26*(1+Assumptions!$D$19)),0)</f>
        <v>2903.23992882251</v>
      </c>
      <c r="T26" s="20" t="n">
        <f aca="false">Q26/(1-N26)*(1-Assumptions!$D$23)</f>
        <v>373108.715819989</v>
      </c>
      <c r="U26" s="20" t="n">
        <f aca="false">P26/(1-N26)*(1-Assumptions!$D$23)*Assumptions!$D$24</f>
        <v>5544.05237676359</v>
      </c>
      <c r="V26" s="49" t="n">
        <f aca="false">Q26-T26-U26</f>
        <v>293797.923905698</v>
      </c>
      <c r="W26" s="20" t="n">
        <f aca="false">T26*Assumptions!$D$25+L26*(Assumptions!$D$27-Assumptions!$D$28+Assumptions!$D$29+Assumptions!$D$36*Assumptions!$D$37)+R26*Assumptions!$D$30+S26*(Assumptions!$D$31+Assumptions!$D$32)+M26*(Assumptions!$D$33+Assumptions!$D$38)+IFERROR(M26*J26/K26,0)*Assumptions!$D$35*Assumptions!$D$34</f>
        <v>114974.290812053</v>
      </c>
      <c r="X26" s="49" t="n">
        <f aca="false">V26-W26</f>
        <v>178823.633093646</v>
      </c>
      <c r="Y26" s="49" t="n">
        <f aca="false">C26+E26+G26</f>
        <v>79588.7374604282</v>
      </c>
      <c r="Z26" s="49" t="n">
        <f aca="false">X26-Y26</f>
        <v>99234.8956332174</v>
      </c>
      <c r="AA26" s="20" t="n">
        <f aca="false">'Fixed Costs'!$G$31/52</f>
        <v>25332.6923076923</v>
      </c>
      <c r="AB26" s="49" t="n">
        <f aca="false">Z26-AA26</f>
        <v>73902.2033255251</v>
      </c>
      <c r="AC26" s="21" t="n">
        <f aca="false">L26*Baseline!G26</f>
        <v>5638.17259943387</v>
      </c>
    </row>
    <row r="27" customFormat="false" ht="15" hidden="false" customHeight="false" outlineLevel="0" collapsed="false">
      <c r="A27" s="13" t="n">
        <v>22</v>
      </c>
      <c r="B27" s="14" t="str">
        <f aca="false">Calendar!D27</f>
        <v>P6</v>
      </c>
      <c r="C27" s="20" t="n">
        <f aca="false">IF('Media Plan'!D27&lt;&gt;"",'Media Plan'!D27,Assumptions!$D$10*Baseline!T27)</f>
        <v>45813.3709669873</v>
      </c>
      <c r="D27" s="21" t="n">
        <f aca="false">IFERROR(C27/(Baseline!H27*(1+Assumptions!$D$13)*IFERROR(MAX(0,C27)/'History Y-1'!P27,1)^Assumptions!$D$14),0)</f>
        <v>92475.9295406009</v>
      </c>
      <c r="E27" s="20" t="n">
        <f aca="false">IF('Media Plan'!J27&lt;&gt;"",'Media Plan'!J27,Assumptions!$D$11*Baseline!U27)</f>
        <v>22389.3460286985</v>
      </c>
      <c r="F27" s="21" t="n">
        <f aca="false">IFERROR(E27/(Baseline!I27*(1+Assumptions!$D$13)*IFERROR(MAX(0,E27)/'History Y-1'!Q27,1)^Assumptions!$D$15),0)</f>
        <v>59619.3018044482</v>
      </c>
      <c r="G27" s="20" t="n">
        <f aca="false">IF('Media Plan'!P27&lt;&gt;"",'Media Plan'!P27,Assumptions!$D$12*Baseline!V27)</f>
        <v>4798.97861117782</v>
      </c>
      <c r="H27" s="21" t="n">
        <f aca="false">IFERROR(G27/(Baseline!J27*(1+Assumptions!$D$13)*IFERROR(MAX(0,G27)/'History Y-1'!R27,1)^Assumptions!$D$16),0)</f>
        <v>19825.1217768876</v>
      </c>
      <c r="I27" s="21" t="n">
        <f aca="false">'History Y-1'!$F$58*(1+Assumptions!$D$6)*Baseline!Q27+'History Y-1'!$G$58*(1+Assumptions!$D$7)*Baseline!R27+J27</f>
        <v>243117.335691006</v>
      </c>
      <c r="J27" s="21" t="n">
        <f aca="false">'History Y-1'!$H$58*(1+Assumptions!$D$8)*Baseline!S27</f>
        <v>28655.4168085855</v>
      </c>
      <c r="K27" s="55" t="n">
        <f aca="false">D27+F27+H27+I27</f>
        <v>415037.688812943</v>
      </c>
      <c r="L27" s="21" t="n">
        <f aca="false">K27*Baseline!B27*(1+Assumptions!$D$18)*(1+Calendar!G27)</f>
        <v>10884.4689413676</v>
      </c>
      <c r="M27" s="20" t="n">
        <f aca="false">L27*Baseline!C27*(1+Assumptions!$D$19)</f>
        <v>738197.609187534</v>
      </c>
      <c r="N27" s="31" t="n">
        <f aca="false">MAX(0,MIN(0.9,Baseline!E27+Assumptions!$D$20))</f>
        <v>0.306191373705647</v>
      </c>
      <c r="O27" s="31" t="n">
        <f aca="false">MAX(0,Baseline!F27+Assumptions!$D$21)</f>
        <v>0.234700919176987</v>
      </c>
      <c r="P27" s="49" t="n">
        <f aca="false">M27*O27</f>
        <v>173255.657410569</v>
      </c>
      <c r="Q27" s="49" t="n">
        <f aca="false">M27-P27</f>
        <v>564941.951776965</v>
      </c>
      <c r="R27" s="21" t="n">
        <f aca="false">L27*Baseline!D27</f>
        <v>20151.3600942419</v>
      </c>
      <c r="S27" s="21" t="n">
        <f aca="false">IFERROR(P27/(Baseline!C27*(1+Assumptions!$D$19)),0)</f>
        <v>2554.59486529234</v>
      </c>
      <c r="T27" s="20" t="n">
        <f aca="false">Q27/(1-N27)*(1-Assumptions!$D$23)</f>
        <v>309419.533772369</v>
      </c>
      <c r="U27" s="20" t="n">
        <f aca="false">P27/(1-N27)*(1-Assumptions!$D$23)*Assumptions!$D$24</f>
        <v>4744.61885604202</v>
      </c>
      <c r="V27" s="49" t="n">
        <f aca="false">Q27-T27-U27</f>
        <v>250777.799148554</v>
      </c>
      <c r="W27" s="20" t="n">
        <f aca="false">T27*Assumptions!$D$25+L27*(Assumptions!$D$27-Assumptions!$D$28+Assumptions!$D$29+Assumptions!$D$36*Assumptions!$D$37)+R27*Assumptions!$D$30+S27*(Assumptions!$D$31+Assumptions!$D$32)+M27*(Assumptions!$D$33+Assumptions!$D$38)+IFERROR(M27*J27/K27,0)*Assumptions!$D$35*Assumptions!$D$34</f>
        <v>98369.5642170197</v>
      </c>
      <c r="X27" s="49" t="n">
        <f aca="false">V27-W27</f>
        <v>152408.234931534</v>
      </c>
      <c r="Y27" s="49" t="n">
        <f aca="false">C27+E27+G27</f>
        <v>73001.6956068636</v>
      </c>
      <c r="Z27" s="49" t="n">
        <f aca="false">X27-Y27</f>
        <v>79406.5393246704</v>
      </c>
      <c r="AA27" s="20" t="n">
        <f aca="false">'Fixed Costs'!$G$31/52</f>
        <v>25332.6923076923</v>
      </c>
      <c r="AB27" s="49" t="n">
        <f aca="false">Z27-AA27</f>
        <v>54073.8470169781</v>
      </c>
      <c r="AC27" s="21" t="n">
        <f aca="false">L27*Baseline!G27</f>
        <v>4793.46688713257</v>
      </c>
    </row>
    <row r="28" customFormat="false" ht="15" hidden="false" customHeight="false" outlineLevel="0" collapsed="false">
      <c r="A28" s="13" t="n">
        <v>23</v>
      </c>
      <c r="B28" s="14" t="str">
        <f aca="false">Calendar!D28</f>
        <v>P6</v>
      </c>
      <c r="C28" s="20" t="n">
        <f aca="false">IF('Media Plan'!D28&lt;&gt;"",'Media Plan'!D28,Assumptions!$D$10*Baseline!T28)</f>
        <v>43207.1989202558</v>
      </c>
      <c r="D28" s="21" t="n">
        <f aca="false">IFERROR(C28/(Baseline!H28*(1+Assumptions!$D$13)*IFERROR(MAX(0,C28)/'History Y-1'!P28,1)^Assumptions!$D$14),0)</f>
        <v>87730.7463022528</v>
      </c>
      <c r="E28" s="20" t="n">
        <f aca="false">IF('Media Plan'!J28&lt;&gt;"",'Media Plan'!J28,Assumptions!$D$11*Baseline!U28)</f>
        <v>21451.1279316274</v>
      </c>
      <c r="F28" s="21" t="n">
        <f aca="false">IFERROR(E28/(Baseline!I28*(1+Assumptions!$D$13)*IFERROR(MAX(0,E28)/'History Y-1'!Q28,1)^Assumptions!$D$15),0)</f>
        <v>56352.6307452343</v>
      </c>
      <c r="G28" s="20" t="n">
        <f aca="false">IF('Media Plan'!P28&lt;&gt;"",'Media Plan'!P28,Assumptions!$D$12*Baseline!V28)</f>
        <v>4482.24269793049</v>
      </c>
      <c r="H28" s="21" t="n">
        <f aca="false">IFERROR(G28/(Baseline!J28*(1+Assumptions!$D$13)*IFERROR(MAX(0,G28)/'History Y-1'!R28,1)^Assumptions!$D$16),0)</f>
        <v>18642.7433455569</v>
      </c>
      <c r="I28" s="21" t="n">
        <f aca="false">'History Y-1'!$F$58*(1+Assumptions!$D$6)*Baseline!Q28+'History Y-1'!$G$58*(1+Assumptions!$D$7)*Baseline!R28+J28</f>
        <v>218948.213825377</v>
      </c>
      <c r="J28" s="21" t="n">
        <f aca="false">'History Y-1'!$H$58*(1+Assumptions!$D$8)*Baseline!S28</f>
        <v>25040.1617354073</v>
      </c>
      <c r="K28" s="55" t="n">
        <f aca="false">D28+F28+H28+I28</f>
        <v>381674.334218421</v>
      </c>
      <c r="L28" s="21" t="n">
        <f aca="false">K28*Baseline!B28*(1+Assumptions!$D$18)*(1+Calendar!G28)</f>
        <v>9169.75013815292</v>
      </c>
      <c r="M28" s="20" t="n">
        <f aca="false">L28*Baseline!C28*(1+Assumptions!$D$19)</f>
        <v>634544.278691091</v>
      </c>
      <c r="N28" s="31" t="n">
        <f aca="false">MAX(0,MIN(0.9,Baseline!E28+Assumptions!$D$20))</f>
        <v>0.2794697297588</v>
      </c>
      <c r="O28" s="31" t="n">
        <f aca="false">MAX(0,Baseline!F28+Assumptions!$D$21)</f>
        <v>0.241339203714735</v>
      </c>
      <c r="P28" s="49" t="n">
        <f aca="false">M28*O28</f>
        <v>153140.410941049</v>
      </c>
      <c r="Q28" s="49" t="n">
        <f aca="false">M28-P28</f>
        <v>481403.867750043</v>
      </c>
      <c r="R28" s="21" t="n">
        <f aca="false">L28*Baseline!D28</f>
        <v>17473.4875870013</v>
      </c>
      <c r="S28" s="21" t="n">
        <f aca="false">IFERROR(P28/(Baseline!C28*(1+Assumptions!$D$19)),0)</f>
        <v>2213.02019660491</v>
      </c>
      <c r="T28" s="20" t="n">
        <f aca="false">Q28/(1-N28)*(1-Assumptions!$D$23)</f>
        <v>253887.278994925</v>
      </c>
      <c r="U28" s="20" t="n">
        <f aca="false">P28/(1-N28)*(1-Assumptions!$D$23)*Assumptions!$D$24</f>
        <v>4038.23118618723</v>
      </c>
      <c r="V28" s="49" t="n">
        <f aca="false">Q28-T28-U28</f>
        <v>223478.35756893</v>
      </c>
      <c r="W28" s="20" t="n">
        <f aca="false">T28*Assumptions!$D$25+L28*(Assumptions!$D$27-Assumptions!$D$28+Assumptions!$D$29+Assumptions!$D$36*Assumptions!$D$37)+R28*Assumptions!$D$30+S28*(Assumptions!$D$31+Assumptions!$D$32)+M28*(Assumptions!$D$33+Assumptions!$D$38)+IFERROR(M28*J28/K28,0)*Assumptions!$D$35*Assumptions!$D$34</f>
        <v>83487.8063081482</v>
      </c>
      <c r="X28" s="49" t="n">
        <f aca="false">V28-W28</f>
        <v>139990.551260782</v>
      </c>
      <c r="Y28" s="49" t="n">
        <f aca="false">C28+E28+G28</f>
        <v>69140.5695498138</v>
      </c>
      <c r="Z28" s="49" t="n">
        <f aca="false">X28-Y28</f>
        <v>70849.9817109685</v>
      </c>
      <c r="AA28" s="20" t="n">
        <f aca="false">'Fixed Costs'!$G$31/52</f>
        <v>25332.6923076923</v>
      </c>
      <c r="AB28" s="49" t="n">
        <f aca="false">Z28-AA28</f>
        <v>45517.2894032762</v>
      </c>
      <c r="AC28" s="21" t="n">
        <f aca="false">L28*Baseline!G28</f>
        <v>4172.46926589232</v>
      </c>
    </row>
    <row r="29" customFormat="false" ht="15" hidden="false" customHeight="false" outlineLevel="0" collapsed="false">
      <c r="A29" s="13" t="n">
        <v>24</v>
      </c>
      <c r="B29" s="14" t="str">
        <f aca="false">Calendar!D29</f>
        <v>P6</v>
      </c>
      <c r="C29" s="20" t="n">
        <f aca="false">IF('Media Plan'!D29&lt;&gt;"",'Media Plan'!D29,Assumptions!$D$10*Baseline!T29)</f>
        <v>33639.186052896</v>
      </c>
      <c r="D29" s="21" t="n">
        <f aca="false">IFERROR(C29/(Baseline!H29*(1+Assumptions!$D$13)*IFERROR(MAX(0,C29)/'History Y-1'!P29,1)^Assumptions!$D$14),0)</f>
        <v>69176.7372370323</v>
      </c>
      <c r="E29" s="20" t="n">
        <f aca="false">IF('Media Plan'!J29&lt;&gt;"",'Media Plan'!J29,Assumptions!$D$11*Baseline!U29)</f>
        <v>17685.7348941447</v>
      </c>
      <c r="F29" s="21" t="n">
        <f aca="false">IFERROR(E29/(Baseline!I29*(1+Assumptions!$D$13)*IFERROR(MAX(0,E29)/'History Y-1'!Q29,1)^Assumptions!$D$15),0)</f>
        <v>47846.481650772</v>
      </c>
      <c r="G29" s="20" t="n">
        <f aca="false">IF('Media Plan'!P29&lt;&gt;"",'Media Plan'!P29,Assumptions!$D$12*Baseline!V29)</f>
        <v>3676.43249287437</v>
      </c>
      <c r="H29" s="21" t="n">
        <f aca="false">IFERROR(G29/(Baseline!J29*(1+Assumptions!$D$13)*IFERROR(MAX(0,G29)/'History Y-1'!R29,1)^Assumptions!$D$16),0)</f>
        <v>14778.9034264392</v>
      </c>
      <c r="I29" s="21" t="n">
        <f aca="false">'History Y-1'!$F$58*(1+Assumptions!$D$6)*Baseline!Q29+'History Y-1'!$G$58*(1+Assumptions!$D$7)*Baseline!R29+J29</f>
        <v>176146.306350193</v>
      </c>
      <c r="J29" s="21" t="n">
        <f aca="false">'History Y-1'!$H$58*(1+Assumptions!$D$8)*Baseline!S29</f>
        <v>21495.7637640696</v>
      </c>
      <c r="K29" s="55" t="n">
        <f aca="false">D29+F29+H29+I29</f>
        <v>307948.428664437</v>
      </c>
      <c r="L29" s="21" t="n">
        <f aca="false">K29*Baseline!B29*(1+Assumptions!$D$18)*(1+Calendar!G29)</f>
        <v>6627.10075022969</v>
      </c>
      <c r="M29" s="20" t="n">
        <f aca="false">L29*Baseline!C29*(1+Assumptions!$D$19)</f>
        <v>507904.773393923</v>
      </c>
      <c r="N29" s="31" t="n">
        <f aca="false">MAX(0,MIN(0.9,Baseline!E29+Assumptions!$D$20))</f>
        <v>0.0793164676105139</v>
      </c>
      <c r="O29" s="31" t="n">
        <f aca="false">MAX(0,Baseline!F29+Assumptions!$D$21)</f>
        <v>0.265305443688819</v>
      </c>
      <c r="P29" s="49" t="n">
        <f aca="false">M29*O29</f>
        <v>134749.901256944</v>
      </c>
      <c r="Q29" s="49" t="n">
        <f aca="false">M29-P29</f>
        <v>373154.872136979</v>
      </c>
      <c r="R29" s="21" t="n">
        <f aca="false">L29*Baseline!D29</f>
        <v>12552.0696896068</v>
      </c>
      <c r="S29" s="21" t="n">
        <f aca="false">IFERROR(P29/(Baseline!C29*(1+Assumptions!$D$19)),0)</f>
        <v>1758.20590491019</v>
      </c>
      <c r="T29" s="20" t="n">
        <f aca="false">Q29/(1-N29)*(1-Assumptions!$D$23)</f>
        <v>154014.757974476</v>
      </c>
      <c r="U29" s="20" t="n">
        <f aca="false">P29/(1-N29)*(1-Assumptions!$D$23)*Assumptions!$D$24</f>
        <v>2780.81233541478</v>
      </c>
      <c r="V29" s="49" t="n">
        <f aca="false">Q29-T29-U29</f>
        <v>216359.301827088</v>
      </c>
      <c r="W29" s="20" t="n">
        <f aca="false">T29*Assumptions!$D$25+L29*(Assumptions!$D$27-Assumptions!$D$28+Assumptions!$D$29+Assumptions!$D$36*Assumptions!$D$37)+R29*Assumptions!$D$30+S29*(Assumptions!$D$31+Assumptions!$D$32)+M29*(Assumptions!$D$33+Assumptions!$D$38)+IFERROR(M29*J29/K29,0)*Assumptions!$D$35*Assumptions!$D$34</f>
        <v>61411.6400273449</v>
      </c>
      <c r="X29" s="49" t="n">
        <f aca="false">V29-W29</f>
        <v>154947.661799744</v>
      </c>
      <c r="Y29" s="49" t="n">
        <f aca="false">C29+E29+G29</f>
        <v>55001.353439915</v>
      </c>
      <c r="Z29" s="49" t="n">
        <f aca="false">X29-Y29</f>
        <v>99946.3083598286</v>
      </c>
      <c r="AA29" s="20" t="n">
        <f aca="false">'Fixed Costs'!$G$31/52</f>
        <v>25332.6923076923</v>
      </c>
      <c r="AB29" s="49" t="n">
        <f aca="false">Z29-AA29</f>
        <v>74613.6160521363</v>
      </c>
      <c r="AC29" s="21" t="n">
        <f aca="false">L29*Baseline!G29</f>
        <v>2319.06710929006</v>
      </c>
    </row>
    <row r="30" customFormat="false" ht="15" hidden="false" customHeight="false" outlineLevel="0" collapsed="false">
      <c r="A30" s="13" t="n">
        <v>25</v>
      </c>
      <c r="B30" s="14" t="str">
        <f aca="false">Calendar!D30</f>
        <v>P6</v>
      </c>
      <c r="C30" s="20" t="n">
        <f aca="false">IF('Media Plan'!D30&lt;&gt;"",'Media Plan'!D30,Assumptions!$D$10*Baseline!T30)</f>
        <v>33630.7318701755</v>
      </c>
      <c r="D30" s="21" t="n">
        <f aca="false">IFERROR(C30/(Baseline!H30*(1+Assumptions!$D$13)*IFERROR(MAX(0,C30)/'History Y-1'!P30,1)^Assumptions!$D$14),0)</f>
        <v>67051.4732159288</v>
      </c>
      <c r="E30" s="20" t="n">
        <f aca="false">IF('Media Plan'!J30&lt;&gt;"",'Media Plan'!J30,Assumptions!$D$11*Baseline!U30)</f>
        <v>16557.862598784</v>
      </c>
      <c r="F30" s="21" t="n">
        <f aca="false">IFERROR(E30/(Baseline!I30*(1+Assumptions!$D$13)*IFERROR(MAX(0,E30)/'History Y-1'!Q30,1)^Assumptions!$D$15),0)</f>
        <v>44816.3055778899</v>
      </c>
      <c r="G30" s="20" t="n">
        <f aca="false">IF('Media Plan'!P30&lt;&gt;"",'Media Plan'!P30,Assumptions!$D$12*Baseline!V30)</f>
        <v>3312.94132658682</v>
      </c>
      <c r="H30" s="21" t="n">
        <f aca="false">IFERROR(G30/(Baseline!J30*(1+Assumptions!$D$13)*IFERROR(MAX(0,G30)/'History Y-1'!R30,1)^Assumptions!$D$16),0)</f>
        <v>13438.2781849172</v>
      </c>
      <c r="I30" s="21" t="n">
        <f aca="false">'History Y-1'!$F$58*(1+Assumptions!$D$6)*Baseline!Q30+'History Y-1'!$G$58*(1+Assumptions!$D$7)*Baseline!R30+J30</f>
        <v>163131.926397239</v>
      </c>
      <c r="J30" s="21" t="n">
        <f aca="false">'History Y-1'!$H$58*(1+Assumptions!$D$8)*Baseline!S30</f>
        <v>19569.618902339</v>
      </c>
      <c r="K30" s="55" t="n">
        <f aca="false">D30+F30+H30+I30</f>
        <v>288437.983375975</v>
      </c>
      <c r="L30" s="21" t="n">
        <f aca="false">K30*Baseline!B30*(1+Assumptions!$D$18)*(1+Calendar!G30)</f>
        <v>6177.54346205574</v>
      </c>
      <c r="M30" s="20" t="n">
        <f aca="false">L30*Baseline!C30*(1+Assumptions!$D$19)</f>
        <v>468902.693301544</v>
      </c>
      <c r="N30" s="31" t="n">
        <f aca="false">MAX(0,MIN(0.9,Baseline!E30+Assumptions!$D$20))</f>
        <v>0.0803434389459937</v>
      </c>
      <c r="O30" s="31" t="n">
        <f aca="false">MAX(0,Baseline!F30+Assumptions!$D$21)</f>
        <v>0.262845116516355</v>
      </c>
      <c r="P30" s="49" t="n">
        <f aca="false">M30*O30</f>
        <v>123248.783055677</v>
      </c>
      <c r="Q30" s="49" t="n">
        <f aca="false">M30-P30</f>
        <v>345653.910245867</v>
      </c>
      <c r="R30" s="21" t="n">
        <f aca="false">L30*Baseline!D30</f>
        <v>11478.3592506031</v>
      </c>
      <c r="S30" s="21" t="n">
        <f aca="false">IFERROR(P30/(Baseline!C30*(1+Assumptions!$D$19)),0)</f>
        <v>1623.73713106889</v>
      </c>
      <c r="T30" s="20" t="n">
        <f aca="false">Q30/(1-N30)*(1-Assumptions!$D$23)</f>
        <v>142823.409798646</v>
      </c>
      <c r="U30" s="20" t="n">
        <f aca="false">P30/(1-N30)*(1-Assumptions!$D$23)*Assumptions!$D$24</f>
        <v>2546.30584636296</v>
      </c>
      <c r="V30" s="49" t="n">
        <f aca="false">Q30-T30-U30</f>
        <v>200284.194600859</v>
      </c>
      <c r="W30" s="20" t="n">
        <f aca="false">T30*Assumptions!$D$25+L30*(Assumptions!$D$27-Assumptions!$D$28+Assumptions!$D$29+Assumptions!$D$36*Assumptions!$D$37)+R30*Assumptions!$D$30+S30*(Assumptions!$D$31+Assumptions!$D$32)+M30*(Assumptions!$D$33+Assumptions!$D$38)+IFERROR(M30*J30/K30,0)*Assumptions!$D$35*Assumptions!$D$34</f>
        <v>56786.2301336259</v>
      </c>
      <c r="X30" s="49" t="n">
        <f aca="false">V30-W30</f>
        <v>143497.964467233</v>
      </c>
      <c r="Y30" s="49" t="n">
        <f aca="false">C30+E30+G30</f>
        <v>53501.5357955463</v>
      </c>
      <c r="Z30" s="49" t="n">
        <f aca="false">X30-Y30</f>
        <v>89996.4286716864</v>
      </c>
      <c r="AA30" s="20" t="n">
        <f aca="false">'Fixed Costs'!$G$31/52</f>
        <v>25332.6923076923</v>
      </c>
      <c r="AB30" s="49" t="n">
        <f aca="false">Z30-AA30</f>
        <v>64663.7363639941</v>
      </c>
      <c r="AC30" s="21" t="n">
        <f aca="false">L30*Baseline!G30</f>
        <v>2201.89392407522</v>
      </c>
    </row>
    <row r="31" customFormat="false" ht="15" hidden="false" customHeight="false" outlineLevel="0" collapsed="false">
      <c r="A31" s="13" t="n">
        <v>26</v>
      </c>
      <c r="B31" s="14" t="str">
        <f aca="false">Calendar!D31</f>
        <v>P6</v>
      </c>
      <c r="C31" s="20" t="n">
        <f aca="false">IF('Media Plan'!D31&lt;&gt;"",'Media Plan'!D31,Assumptions!$D$10*Baseline!T31)</f>
        <v>31796.9707762656</v>
      </c>
      <c r="D31" s="21" t="n">
        <f aca="false">IFERROR(C31/(Baseline!H31*(1+Assumptions!$D$13)*IFERROR(MAX(0,C31)/'History Y-1'!P31,1)^Assumptions!$D$14),0)</f>
        <v>76779.1447452552</v>
      </c>
      <c r="E31" s="20" t="n">
        <f aca="false">IF('Media Plan'!J31&lt;&gt;"",'Media Plan'!J31,Assumptions!$D$11*Baseline!U31)</f>
        <v>15418.8323723527</v>
      </c>
      <c r="F31" s="21" t="n">
        <f aca="false">IFERROR(E31/(Baseline!I31*(1+Assumptions!$D$13)*IFERROR(MAX(0,E31)/'History Y-1'!Q31,1)^Assumptions!$D$15),0)</f>
        <v>48886.6966024501</v>
      </c>
      <c r="G31" s="20" t="n">
        <f aca="false">IF('Media Plan'!P31&lt;&gt;"",'Media Plan'!P31,Assumptions!$D$12*Baseline!V31)</f>
        <v>3424.7906301188</v>
      </c>
      <c r="H31" s="21" t="n">
        <f aca="false">IFERROR(G31/(Baseline!J31*(1+Assumptions!$D$13)*IFERROR(MAX(0,G31)/'History Y-1'!R31,1)^Assumptions!$D$16),0)</f>
        <v>15228.1949643352</v>
      </c>
      <c r="I31" s="21" t="n">
        <f aca="false">'History Y-1'!$F$58*(1+Assumptions!$D$6)*Baseline!Q31+'History Y-1'!$G$58*(1+Assumptions!$D$7)*Baseline!R31+J31</f>
        <v>164864.319494213</v>
      </c>
      <c r="J31" s="21" t="n">
        <f aca="false">'History Y-1'!$H$58*(1+Assumptions!$D$8)*Baseline!S31</f>
        <v>18514.1473345582</v>
      </c>
      <c r="K31" s="55" t="n">
        <f aca="false">D31+F31+H31+I31</f>
        <v>305758.355806253</v>
      </c>
      <c r="L31" s="21" t="n">
        <f aca="false">K31*Baseline!B31*(1+Assumptions!$D$18)*(1+Calendar!G31)</f>
        <v>6516.89825890018</v>
      </c>
      <c r="M31" s="20" t="n">
        <f aca="false">L31*Baseline!C31*(1+Assumptions!$D$19)</f>
        <v>486303.447826515</v>
      </c>
      <c r="N31" s="31" t="n">
        <f aca="false">MAX(0,MIN(0.9,Baseline!E31+Assumptions!$D$20))</f>
        <v>0.0817133222325721</v>
      </c>
      <c r="O31" s="31" t="n">
        <f aca="false">MAX(0,Baseline!F31+Assumptions!$D$21)</f>
        <v>0.26174463182299</v>
      </c>
      <c r="P31" s="49" t="n">
        <f aca="false">M31*O31</f>
        <v>127287.316905602</v>
      </c>
      <c r="Q31" s="49" t="n">
        <f aca="false">M31-P31</f>
        <v>359016.130920913</v>
      </c>
      <c r="R31" s="21" t="n">
        <f aca="false">L31*Baseline!D31</f>
        <v>12386.489115918</v>
      </c>
      <c r="S31" s="21" t="n">
        <f aca="false">IFERROR(P31/(Baseline!C31*(1+Assumptions!$D$19)),0)</f>
        <v>1705.76313540372</v>
      </c>
      <c r="T31" s="20" t="n">
        <f aca="false">Q31/(1-N31)*(1-Assumptions!$D$23)</f>
        <v>148565.946836593</v>
      </c>
      <c r="U31" s="20" t="n">
        <f aca="false">P31/(1-N31)*(1-Assumptions!$D$23)*Assumptions!$D$24</f>
        <v>2633.66449689359</v>
      </c>
      <c r="V31" s="49" t="n">
        <f aca="false">Q31-T31-U31</f>
        <v>207816.519587427</v>
      </c>
      <c r="W31" s="20" t="n">
        <f aca="false">T31*Assumptions!$D$25+L31*(Assumptions!$D$27-Assumptions!$D$28+Assumptions!$D$29+Assumptions!$D$36*Assumptions!$D$37)+R31*Assumptions!$D$30+S31*(Assumptions!$D$31+Assumptions!$D$32)+M31*(Assumptions!$D$33+Assumptions!$D$38)+IFERROR(M31*J31/K31,0)*Assumptions!$D$35*Assumptions!$D$34</f>
        <v>59570.1158359267</v>
      </c>
      <c r="X31" s="49" t="n">
        <f aca="false">V31-W31</f>
        <v>148246.4037515</v>
      </c>
      <c r="Y31" s="49" t="n">
        <f aca="false">C31+E31+G31</f>
        <v>50640.5937787372</v>
      </c>
      <c r="Z31" s="49" t="n">
        <f aca="false">X31-Y31</f>
        <v>97605.809972763</v>
      </c>
      <c r="AA31" s="20" t="n">
        <f aca="false">'Fixed Costs'!$G$31/52</f>
        <v>25332.6923076923</v>
      </c>
      <c r="AB31" s="49" t="n">
        <f aca="false">Z31-AA31</f>
        <v>72273.1176650707</v>
      </c>
      <c r="AC31" s="21" t="n">
        <f aca="false">L31*Baseline!G31</f>
        <v>2293.3880720396</v>
      </c>
    </row>
    <row r="32" customFormat="false" ht="15" hidden="false" customHeight="false" outlineLevel="0" collapsed="false">
      <c r="A32" s="13" t="n">
        <v>27</v>
      </c>
      <c r="B32" s="14" t="str">
        <f aca="false">Calendar!D32</f>
        <v>P7</v>
      </c>
      <c r="C32" s="20" t="n">
        <f aca="false">IF('Media Plan'!D32&lt;&gt;"",'Media Plan'!D32,Assumptions!$D$10*Baseline!T32)</f>
        <v>30471.4784589324</v>
      </c>
      <c r="D32" s="21" t="n">
        <f aca="false">IFERROR(C32/(Baseline!H32*(1+Assumptions!$D$13)*IFERROR(MAX(0,C32)/'History Y-1'!P32,1)^Assumptions!$D$14),0)</f>
        <v>65349.6712839422</v>
      </c>
      <c r="E32" s="20" t="n">
        <f aca="false">IF('Media Plan'!J32&lt;&gt;"",'Media Plan'!J32,Assumptions!$D$11*Baseline!U32)</f>
        <v>15932.0680902872</v>
      </c>
      <c r="F32" s="21" t="n">
        <f aca="false">IFERROR(E32/(Baseline!I32*(1+Assumptions!$D$13)*IFERROR(MAX(0,E32)/'History Y-1'!Q32,1)^Assumptions!$D$15),0)</f>
        <v>43302.1812569654</v>
      </c>
      <c r="G32" s="20" t="n">
        <f aca="false">IF('Media Plan'!P32&lt;&gt;"",'Media Plan'!P32,Assumptions!$D$12*Baseline!V32)</f>
        <v>3273.2308415105</v>
      </c>
      <c r="H32" s="21" t="n">
        <f aca="false">IFERROR(G32/(Baseline!J32*(1+Assumptions!$D$13)*IFERROR(MAX(0,G32)/'History Y-1'!R32,1)^Assumptions!$D$16),0)</f>
        <v>13511.7317806718</v>
      </c>
      <c r="I32" s="21" t="n">
        <f aca="false">'History Y-1'!$F$58*(1+Assumptions!$D$6)*Baseline!Q32+'History Y-1'!$G$58*(1+Assumptions!$D$7)*Baseline!R32+J32</f>
        <v>160481.681848214</v>
      </c>
      <c r="J32" s="21" t="n">
        <f aca="false">'History Y-1'!$H$58*(1+Assumptions!$D$8)*Baseline!S32</f>
        <v>18105.6766903407</v>
      </c>
      <c r="K32" s="55" t="n">
        <f aca="false">D32+F32+H32+I32</f>
        <v>282645.266169794</v>
      </c>
      <c r="L32" s="21" t="n">
        <f aca="false">K32*Baseline!B32*(1+Assumptions!$D$18)*(1+Calendar!G32)</f>
        <v>5902.01907682931</v>
      </c>
      <c r="M32" s="20" t="n">
        <f aca="false">L32*Baseline!C32*(1+Assumptions!$D$19)</f>
        <v>448188.863735876</v>
      </c>
      <c r="N32" s="31" t="n">
        <f aca="false">MAX(0,MIN(0.9,Baseline!E32+Assumptions!$D$20))</f>
        <v>0.0781086219025122</v>
      </c>
      <c r="O32" s="31" t="n">
        <f aca="false">MAX(0,Baseline!F32+Assumptions!$D$21)</f>
        <v>0.270015834022456</v>
      </c>
      <c r="P32" s="49" t="n">
        <f aca="false">M32*O32</f>
        <v>121018.08984122</v>
      </c>
      <c r="Q32" s="49" t="n">
        <f aca="false">M32-P32</f>
        <v>327170.773894656</v>
      </c>
      <c r="R32" s="21" t="n">
        <f aca="false">L32*Baseline!D32</f>
        <v>11404.0570449519</v>
      </c>
      <c r="S32" s="21" t="n">
        <f aca="false">IFERROR(P32/(Baseline!C32*(1+Assumptions!$D$19)),0)</f>
        <v>1593.63860344651</v>
      </c>
      <c r="T32" s="20" t="n">
        <f aca="false">Q32/(1-N32)*(1-Assumptions!$D$23)</f>
        <v>134858.506146938</v>
      </c>
      <c r="U32" s="20" t="n">
        <f aca="false">P32/(1-N32)*(1-Assumptions!$D$23)*Assumptions!$D$24</f>
        <v>2494.15903175962</v>
      </c>
      <c r="V32" s="49" t="n">
        <f aca="false">Q32-T32-U32</f>
        <v>189818.108715959</v>
      </c>
      <c r="W32" s="20" t="n">
        <f aca="false">T32*Assumptions!$D$25+L32*(Assumptions!$D$27-Assumptions!$D$28+Assumptions!$D$29+Assumptions!$D$36*Assumptions!$D$37)+R32*Assumptions!$D$30+S32*(Assumptions!$D$31+Assumptions!$D$32)+M32*(Assumptions!$D$33+Assumptions!$D$38)+IFERROR(M32*J32/K32,0)*Assumptions!$D$35*Assumptions!$D$34</f>
        <v>54641.066930721</v>
      </c>
      <c r="X32" s="49" t="n">
        <f aca="false">V32-W32</f>
        <v>135177.041785238</v>
      </c>
      <c r="Y32" s="49" t="n">
        <f aca="false">C32+E32+G32</f>
        <v>49676.7773907301</v>
      </c>
      <c r="Z32" s="49" t="n">
        <f aca="false">X32-Y32</f>
        <v>85500.2643945074</v>
      </c>
      <c r="AA32" s="20" t="n">
        <f aca="false">'Fixed Costs'!$G$31/52</f>
        <v>25332.6923076923</v>
      </c>
      <c r="AB32" s="49" t="n">
        <f aca="false">Z32-AA32</f>
        <v>60167.5720868151</v>
      </c>
      <c r="AC32" s="21" t="n">
        <f aca="false">L32*Baseline!G32</f>
        <v>2103.5426471921</v>
      </c>
    </row>
    <row r="33" customFormat="false" ht="15" hidden="false" customHeight="false" outlineLevel="0" collapsed="false">
      <c r="A33" s="13" t="n">
        <v>28</v>
      </c>
      <c r="B33" s="14" t="str">
        <f aca="false">Calendar!D33</f>
        <v>P7</v>
      </c>
      <c r="C33" s="20" t="n">
        <f aca="false">IF('Media Plan'!D33&lt;&gt;"",'Media Plan'!D33,Assumptions!$D$10*Baseline!T33)</f>
        <v>33339.7864116588</v>
      </c>
      <c r="D33" s="21" t="n">
        <f aca="false">IFERROR(C33/(Baseline!H33*(1+Assumptions!$D$13)*IFERROR(MAX(0,C33)/'History Y-1'!P33,1)^Assumptions!$D$14),0)</f>
        <v>69785.4743449291</v>
      </c>
      <c r="E33" s="20" t="n">
        <f aca="false">IF('Media Plan'!J33&lt;&gt;"",'Media Plan'!J33,Assumptions!$D$11*Baseline!U33)</f>
        <v>16317.4663326015</v>
      </c>
      <c r="F33" s="21" t="n">
        <f aca="false">IFERROR(E33/(Baseline!I33*(1+Assumptions!$D$13)*IFERROR(MAX(0,E33)/'History Y-1'!Q33,1)^Assumptions!$D$15),0)</f>
        <v>43657.4173435289</v>
      </c>
      <c r="G33" s="20" t="n">
        <f aca="false">IF('Media Plan'!P33&lt;&gt;"",'Media Plan'!P33,Assumptions!$D$12*Baseline!V33)</f>
        <v>3204.43360906288</v>
      </c>
      <c r="H33" s="21" t="n">
        <f aca="false">IFERROR(G33/(Baseline!J33*(1+Assumptions!$D$13)*IFERROR(MAX(0,G33)/'History Y-1'!R33,1)^Assumptions!$D$16),0)</f>
        <v>13093.0155171094</v>
      </c>
      <c r="I33" s="21" t="n">
        <f aca="false">'History Y-1'!$F$58*(1+Assumptions!$D$6)*Baseline!Q33+'History Y-1'!$G$58*(1+Assumptions!$D$7)*Baseline!R33+J33</f>
        <v>164192.573444071</v>
      </c>
      <c r="J33" s="21" t="n">
        <f aca="false">'History Y-1'!$H$58*(1+Assumptions!$D$8)*Baseline!S33</f>
        <v>18677.2446859235</v>
      </c>
      <c r="K33" s="55" t="n">
        <f aca="false">D33+F33+H33+I33</f>
        <v>290728.480649638</v>
      </c>
      <c r="L33" s="21" t="n">
        <f aca="false">K33*Baseline!B33*(1+Assumptions!$D$18)*(1+Calendar!G33)</f>
        <v>6311.91884479878</v>
      </c>
      <c r="M33" s="20" t="n">
        <f aca="false">L33*Baseline!C33*(1+Assumptions!$D$19)</f>
        <v>488782.258751952</v>
      </c>
      <c r="N33" s="31" t="n">
        <f aca="false">MAX(0,MIN(0.9,Baseline!E33+Assumptions!$D$20))</f>
        <v>0.0789088636414021</v>
      </c>
      <c r="O33" s="31" t="n">
        <f aca="false">MAX(0,Baseline!F33+Assumptions!$D$21)</f>
        <v>0.251476425566013</v>
      </c>
      <c r="P33" s="49" t="n">
        <f aca="false">M33*O33</f>
        <v>122917.215311023</v>
      </c>
      <c r="Q33" s="49" t="n">
        <f aca="false">M33-P33</f>
        <v>365865.043440929</v>
      </c>
      <c r="R33" s="21" t="n">
        <f aca="false">L33*Baseline!D33</f>
        <v>11828.1576329445</v>
      </c>
      <c r="S33" s="21" t="n">
        <f aca="false">IFERROR(P33/(Baseline!C33*(1+Assumptions!$D$19)),0)</f>
        <v>1587.29878955275</v>
      </c>
      <c r="T33" s="20" t="n">
        <f aca="false">Q33/(1-N33)*(1-Assumptions!$D$23)</f>
        <v>150939.153596878</v>
      </c>
      <c r="U33" s="20" t="n">
        <f aca="false">P33/(1-N33)*(1-Assumptions!$D$23)*Assumptions!$D$24</f>
        <v>2535.50055876361</v>
      </c>
      <c r="V33" s="49" t="n">
        <f aca="false">Q33-T33-U33</f>
        <v>212390.389285288</v>
      </c>
      <c r="W33" s="20" t="n">
        <f aca="false">T33*Assumptions!$D$25+L33*(Assumptions!$D$27-Assumptions!$D$28+Assumptions!$D$29+Assumptions!$D$36*Assumptions!$D$37)+R33*Assumptions!$D$30+S33*(Assumptions!$D$31+Assumptions!$D$32)+M33*(Assumptions!$D$33+Assumptions!$D$38)+IFERROR(M33*J33/K33,0)*Assumptions!$D$35*Assumptions!$D$34</f>
        <v>58007.7540863441</v>
      </c>
      <c r="X33" s="49" t="n">
        <f aca="false">V33-W33</f>
        <v>154382.635198944</v>
      </c>
      <c r="Y33" s="49" t="n">
        <f aca="false">C33+E33+G33</f>
        <v>52861.6863533232</v>
      </c>
      <c r="Z33" s="49" t="n">
        <f aca="false">X33-Y33</f>
        <v>101520.948845621</v>
      </c>
      <c r="AA33" s="20" t="n">
        <f aca="false">'Fixed Costs'!$G$31/52</f>
        <v>25332.6923076923</v>
      </c>
      <c r="AB33" s="49" t="n">
        <f aca="false">Z33-AA33</f>
        <v>76188.2565379282</v>
      </c>
      <c r="AC33" s="21" t="n">
        <f aca="false">L33*Baseline!G33</f>
        <v>2147.79662560867</v>
      </c>
    </row>
    <row r="34" customFormat="false" ht="15" hidden="false" customHeight="false" outlineLevel="0" collapsed="false">
      <c r="A34" s="13" t="n">
        <v>29</v>
      </c>
      <c r="B34" s="14" t="str">
        <f aca="false">Calendar!D34</f>
        <v>P7</v>
      </c>
      <c r="C34" s="20" t="n">
        <f aca="false">IF('Media Plan'!D34&lt;&gt;"",'Media Plan'!D34,Assumptions!$D$10*Baseline!T34)</f>
        <v>32575.883780938</v>
      </c>
      <c r="D34" s="21" t="n">
        <f aca="false">IFERROR(C34/(Baseline!H34*(1+Assumptions!$D$13)*IFERROR(MAX(0,C34)/'History Y-1'!P34,1)^Assumptions!$D$14),0)</f>
        <v>68082.985170424</v>
      </c>
      <c r="E34" s="20" t="n">
        <f aca="false">IF('Media Plan'!J34&lt;&gt;"",'Media Plan'!J34,Assumptions!$D$11*Baseline!U34)</f>
        <v>15438.4585087709</v>
      </c>
      <c r="F34" s="21" t="n">
        <f aca="false">IFERROR(E34/(Baseline!I34*(1+Assumptions!$D$13)*IFERROR(MAX(0,E34)/'History Y-1'!Q34,1)^Assumptions!$D$15),0)</f>
        <v>42329.4394681015</v>
      </c>
      <c r="G34" s="20" t="n">
        <f aca="false">IF('Media Plan'!P34&lt;&gt;"",'Media Plan'!P34,Assumptions!$D$12*Baseline!V34)</f>
        <v>3169.28017167921</v>
      </c>
      <c r="H34" s="21" t="n">
        <f aca="false">IFERROR(G34/(Baseline!J34*(1+Assumptions!$D$13)*IFERROR(MAX(0,G34)/'History Y-1'!R34,1)^Assumptions!$D$16),0)</f>
        <v>13038.7224427898</v>
      </c>
      <c r="I34" s="21" t="n">
        <f aca="false">'History Y-1'!$F$58*(1+Assumptions!$D$6)*Baseline!Q34+'History Y-1'!$G$58*(1+Assumptions!$D$7)*Baseline!R34+J34</f>
        <v>165199.655727683</v>
      </c>
      <c r="J34" s="21" t="n">
        <f aca="false">'History Y-1'!$H$58*(1+Assumptions!$D$8)*Baseline!S34</f>
        <v>18405.781442226</v>
      </c>
      <c r="K34" s="55" t="n">
        <f aca="false">D34+F34+H34+I34</f>
        <v>288650.802808998</v>
      </c>
      <c r="L34" s="21" t="n">
        <f aca="false">K34*Baseline!B34*(1+Assumptions!$D$18)*(1+Calendar!G34)</f>
        <v>6204.57435116768</v>
      </c>
      <c r="M34" s="20" t="n">
        <f aca="false">L34*Baseline!C34*(1+Assumptions!$D$19)</f>
        <v>469884.784223119</v>
      </c>
      <c r="N34" s="31" t="n">
        <f aca="false">MAX(0,MIN(0.9,Baseline!E34+Assumptions!$D$20))</f>
        <v>0.0823381157421977</v>
      </c>
      <c r="O34" s="31" t="n">
        <f aca="false">MAX(0,Baseline!F34+Assumptions!$D$21)</f>
        <v>0.263445798809196</v>
      </c>
      <c r="P34" s="49" t="n">
        <f aca="false">M34*O34</f>
        <v>123789.172327946</v>
      </c>
      <c r="Q34" s="49" t="n">
        <f aca="false">M34-P34</f>
        <v>346095.611895172</v>
      </c>
      <c r="R34" s="21" t="n">
        <f aca="false">L34*Baseline!D34</f>
        <v>12108.4503296499</v>
      </c>
      <c r="S34" s="21" t="n">
        <f aca="false">IFERROR(P34/(Baseline!C34*(1+Assumptions!$D$19)),0)</f>
        <v>1634.56904621442</v>
      </c>
      <c r="T34" s="20" t="n">
        <f aca="false">Q34/(1-N34)*(1-Assumptions!$D$23)</f>
        <v>143316.764895967</v>
      </c>
      <c r="U34" s="20" t="n">
        <f aca="false">P34/(1-N34)*(1-Assumptions!$D$23)*Assumptions!$D$24</f>
        <v>2563.02927535587</v>
      </c>
      <c r="V34" s="49" t="n">
        <f aca="false">Q34-T34-U34</f>
        <v>200215.81772385</v>
      </c>
      <c r="W34" s="20" t="n">
        <f aca="false">T34*Assumptions!$D$25+L34*(Assumptions!$D$27-Assumptions!$D$28+Assumptions!$D$29+Assumptions!$D$36*Assumptions!$D$37)+R34*Assumptions!$D$30+S34*(Assumptions!$D$31+Assumptions!$D$32)+M34*(Assumptions!$D$33+Assumptions!$D$38)+IFERROR(M34*J34/K34,0)*Assumptions!$D$35*Assumptions!$D$34</f>
        <v>57362.8186806487</v>
      </c>
      <c r="X34" s="49" t="n">
        <f aca="false">V34-W34</f>
        <v>142852.999043201</v>
      </c>
      <c r="Y34" s="49" t="n">
        <f aca="false">C34+E34+G34</f>
        <v>51183.6224613881</v>
      </c>
      <c r="Z34" s="49" t="n">
        <f aca="false">X34-Y34</f>
        <v>91669.3765818127</v>
      </c>
      <c r="AA34" s="20" t="n">
        <f aca="false">'Fixed Costs'!$G$31/52</f>
        <v>25332.6923076923</v>
      </c>
      <c r="AB34" s="49" t="n">
        <f aca="false">Z34-AA34</f>
        <v>66336.6842741204</v>
      </c>
      <c r="AC34" s="21" t="n">
        <f aca="false">L34*Baseline!G34</f>
        <v>2193.77054793407</v>
      </c>
    </row>
    <row r="35" customFormat="false" ht="15" hidden="false" customHeight="false" outlineLevel="0" collapsed="false">
      <c r="A35" s="13" t="n">
        <v>30</v>
      </c>
      <c r="B35" s="14" t="str">
        <f aca="false">Calendar!D35</f>
        <v>P7</v>
      </c>
      <c r="C35" s="20" t="n">
        <f aca="false">IF('Media Plan'!D35&lt;&gt;"",'Media Plan'!D35,Assumptions!$D$10*Baseline!T35)</f>
        <v>30194.7628960404</v>
      </c>
      <c r="D35" s="21" t="n">
        <f aca="false">IFERROR(C35/(Baseline!H35*(1+Assumptions!$D$13)*IFERROR(MAX(0,C35)/'History Y-1'!P35,1)^Assumptions!$D$14),0)</f>
        <v>63323.0415775093</v>
      </c>
      <c r="E35" s="20" t="n">
        <f aca="false">IF('Media Plan'!J35&lt;&gt;"",'Media Plan'!J35,Assumptions!$D$11*Baseline!U35)</f>
        <v>15826.6242690073</v>
      </c>
      <c r="F35" s="21" t="n">
        <f aca="false">IFERROR(E35/(Baseline!I35*(1+Assumptions!$D$13)*IFERROR(MAX(0,E35)/'History Y-1'!Q35,1)^Assumptions!$D$15),0)</f>
        <v>41809.6877759113</v>
      </c>
      <c r="G35" s="20" t="n">
        <f aca="false">IF('Media Plan'!P35&lt;&gt;"",'Media Plan'!P35,Assumptions!$D$12*Baseline!V35)</f>
        <v>3179.12557399193</v>
      </c>
      <c r="H35" s="21" t="n">
        <f aca="false">IFERROR(G35/(Baseline!J35*(1+Assumptions!$D$13)*IFERROR(MAX(0,G35)/'History Y-1'!R35,1)^Assumptions!$D$16),0)</f>
        <v>12830.8911961184</v>
      </c>
      <c r="I35" s="21" t="n">
        <f aca="false">'History Y-1'!$F$58*(1+Assumptions!$D$6)*Baseline!Q35+'History Y-1'!$G$58*(1+Assumptions!$D$7)*Baseline!R35+J35</f>
        <v>160702.626583378</v>
      </c>
      <c r="J35" s="21" t="n">
        <f aca="false">'History Y-1'!$H$58*(1+Assumptions!$D$8)*Baseline!S35</f>
        <v>18658.6370535969</v>
      </c>
      <c r="K35" s="55" t="n">
        <f aca="false">D35+F35+H35+I35</f>
        <v>278666.247132917</v>
      </c>
      <c r="L35" s="21" t="n">
        <f aca="false">K35*Baseline!B35*(1+Assumptions!$D$18)*(1+Calendar!G35)</f>
        <v>6000.75295491417</v>
      </c>
      <c r="M35" s="20" t="n">
        <f aca="false">L35*Baseline!C35*(1+Assumptions!$D$19)</f>
        <v>455537.27737913</v>
      </c>
      <c r="N35" s="31" t="n">
        <f aca="false">MAX(0,MIN(0.9,Baseline!E35+Assumptions!$D$20))</f>
        <v>0.0754892189355552</v>
      </c>
      <c r="O35" s="31" t="n">
        <f aca="false">MAX(0,Baseline!F35+Assumptions!$D$21)</f>
        <v>0.258790927758975</v>
      </c>
      <c r="P35" s="49" t="n">
        <f aca="false">M35*O35</f>
        <v>117888.914641742</v>
      </c>
      <c r="Q35" s="49" t="n">
        <f aca="false">M35-P35</f>
        <v>337648.362737388</v>
      </c>
      <c r="R35" s="21" t="n">
        <f aca="false">L35*Baseline!D35</f>
        <v>11549.7669341618</v>
      </c>
      <c r="S35" s="21" t="n">
        <f aca="false">IFERROR(P35/(Baseline!C35*(1+Assumptions!$D$19)),0)</f>
        <v>1552.94042445465</v>
      </c>
      <c r="T35" s="20" t="n">
        <f aca="false">Q35/(1-N35)*(1-Assumptions!$D$23)</f>
        <v>138782.997957558</v>
      </c>
      <c r="U35" s="20" t="n">
        <f aca="false">P35/(1-N35)*(1-Assumptions!$D$23)*Assumptions!$D$24</f>
        <v>2422.78340509365</v>
      </c>
      <c r="V35" s="49" t="n">
        <f aca="false">Q35-T35-U35</f>
        <v>196442.581374736</v>
      </c>
      <c r="W35" s="20" t="n">
        <f aca="false">T35*Assumptions!$D$25+L35*(Assumptions!$D$27-Assumptions!$D$28+Assumptions!$D$29+Assumptions!$D$36*Assumptions!$D$37)+R35*Assumptions!$D$30+S35*(Assumptions!$D$31+Assumptions!$D$32)+M35*(Assumptions!$D$33+Assumptions!$D$38)+IFERROR(M35*J35/K35,0)*Assumptions!$D$35*Assumptions!$D$34</f>
        <v>55359.3196630385</v>
      </c>
      <c r="X35" s="49" t="n">
        <f aca="false">V35-W35</f>
        <v>141083.261711697</v>
      </c>
      <c r="Y35" s="49" t="n">
        <f aca="false">C35+E35+G35</f>
        <v>49200.5127390396</v>
      </c>
      <c r="Z35" s="49" t="n">
        <f aca="false">X35-Y35</f>
        <v>91882.7489726578</v>
      </c>
      <c r="AA35" s="20" t="n">
        <f aca="false">'Fixed Costs'!$G$31/52</f>
        <v>25332.6923076923</v>
      </c>
      <c r="AB35" s="49" t="n">
        <f aca="false">Z35-AA35</f>
        <v>66550.0566649655</v>
      </c>
      <c r="AC35" s="21" t="n">
        <f aca="false">L35*Baseline!G35</f>
        <v>2096.70698051528</v>
      </c>
    </row>
    <row r="36" customFormat="false" ht="15" hidden="false" customHeight="false" outlineLevel="0" collapsed="false">
      <c r="A36" s="13" t="n">
        <v>31</v>
      </c>
      <c r="B36" s="14" t="str">
        <f aca="false">Calendar!D36</f>
        <v>P8</v>
      </c>
      <c r="C36" s="20" t="n">
        <f aca="false">IF('Media Plan'!D36&lt;&gt;"",'Media Plan'!D36,Assumptions!$D$10*Baseline!T36)</f>
        <v>31428.8228816581</v>
      </c>
      <c r="D36" s="21" t="n">
        <f aca="false">IFERROR(C36/(Baseline!H36*(1+Assumptions!$D$13)*IFERROR(MAX(0,C36)/'History Y-1'!P36,1)^Assumptions!$D$14),0)</f>
        <v>66975.0754995174</v>
      </c>
      <c r="E36" s="20" t="n">
        <f aca="false">IF('Media Plan'!J36&lt;&gt;"",'Media Plan'!J36,Assumptions!$D$11*Baseline!U36)</f>
        <v>15735.2978115527</v>
      </c>
      <c r="F36" s="21" t="n">
        <f aca="false">IFERROR(E36/(Baseline!I36*(1+Assumptions!$D$13)*IFERROR(MAX(0,E36)/'History Y-1'!Q36,1)^Assumptions!$D$15),0)</f>
        <v>43538.6298061124</v>
      </c>
      <c r="G36" s="20" t="n">
        <f aca="false">IF('Media Plan'!P36&lt;&gt;"",'Media Plan'!P36,Assumptions!$D$12*Baseline!V36)</f>
        <v>3500.03856676167</v>
      </c>
      <c r="H36" s="21" t="n">
        <f aca="false">IFERROR(G36/(Baseline!J36*(1+Assumptions!$D$13)*IFERROR(MAX(0,G36)/'History Y-1'!R36,1)^Assumptions!$D$16),0)</f>
        <v>14068.5175225932</v>
      </c>
      <c r="I36" s="21" t="n">
        <f aca="false">'History Y-1'!$F$58*(1+Assumptions!$D$6)*Baseline!Q36+'History Y-1'!$G$58*(1+Assumptions!$D$7)*Baseline!R36+J36</f>
        <v>167685.343877015</v>
      </c>
      <c r="J36" s="21" t="n">
        <f aca="false">'History Y-1'!$H$58*(1+Assumptions!$D$8)*Baseline!S36</f>
        <v>19818.5797553346</v>
      </c>
      <c r="K36" s="55" t="n">
        <f aca="false">D36+F36+H36+I36</f>
        <v>292267.566705238</v>
      </c>
      <c r="L36" s="21" t="n">
        <f aca="false">K36*Baseline!B36*(1+Assumptions!$D$18)*(1+Calendar!G36)</f>
        <v>6325.93188069293</v>
      </c>
      <c r="M36" s="20" t="n">
        <f aca="false">L36*Baseline!C36*(1+Assumptions!$D$19)</f>
        <v>487053.546981378</v>
      </c>
      <c r="N36" s="31" t="n">
        <f aca="false">MAX(0,MIN(0.9,Baseline!E36+Assumptions!$D$20))</f>
        <v>0.0805213762822993</v>
      </c>
      <c r="O36" s="31" t="n">
        <f aca="false">MAX(0,Baseline!F36+Assumptions!$D$21)</f>
        <v>0.257414351755172</v>
      </c>
      <c r="P36" s="49" t="n">
        <f aca="false">M36*O36</f>
        <v>125374.573066268</v>
      </c>
      <c r="Q36" s="49" t="n">
        <f aca="false">M36-P36</f>
        <v>361678.97391511</v>
      </c>
      <c r="R36" s="21" t="n">
        <f aca="false">L36*Baseline!D36</f>
        <v>11871.1653379532</v>
      </c>
      <c r="S36" s="21" t="n">
        <f aca="false">IFERROR(P36/(Baseline!C36*(1+Assumptions!$D$19)),0)</f>
        <v>1628.38565431594</v>
      </c>
      <c r="T36" s="20" t="n">
        <f aca="false">Q36/(1-N36)*(1-Assumptions!$D$23)</f>
        <v>149473.850226167</v>
      </c>
      <c r="U36" s="20" t="n">
        <f aca="false">P36/(1-N36)*(1-Assumptions!$D$23)*Assumptions!$D$24</f>
        <v>2590.72568607148</v>
      </c>
      <c r="V36" s="49" t="n">
        <f aca="false">Q36-T36-U36</f>
        <v>209614.398002871</v>
      </c>
      <c r="W36" s="20" t="n">
        <f aca="false">T36*Assumptions!$D$25+L36*(Assumptions!$D$27-Assumptions!$D$28+Assumptions!$D$29+Assumptions!$D$36*Assumptions!$D$37)+R36*Assumptions!$D$30+S36*(Assumptions!$D$31+Assumptions!$D$32)+M36*(Assumptions!$D$33+Assumptions!$D$38)+IFERROR(M36*J36/K36,0)*Assumptions!$D$35*Assumptions!$D$34</f>
        <v>58344.8235830523</v>
      </c>
      <c r="X36" s="49" t="n">
        <f aca="false">V36-W36</f>
        <v>151269.574419819</v>
      </c>
      <c r="Y36" s="49" t="n">
        <f aca="false">C36+E36+G36</f>
        <v>50664.1592599725</v>
      </c>
      <c r="Z36" s="49" t="n">
        <f aca="false">X36-Y36</f>
        <v>100605.415159847</v>
      </c>
      <c r="AA36" s="20" t="n">
        <f aca="false">'Fixed Costs'!$G$31/52</f>
        <v>25332.6923076923</v>
      </c>
      <c r="AB36" s="49" t="n">
        <f aca="false">Z36-AA36</f>
        <v>75272.7228521543</v>
      </c>
      <c r="AC36" s="21" t="n">
        <f aca="false">L36*Baseline!G36</f>
        <v>2198.71472312049</v>
      </c>
    </row>
    <row r="37" customFormat="false" ht="15" hidden="false" customHeight="false" outlineLevel="0" collapsed="false">
      <c r="A37" s="13" t="n">
        <v>32</v>
      </c>
      <c r="B37" s="14" t="str">
        <f aca="false">Calendar!D37</f>
        <v>P8</v>
      </c>
      <c r="C37" s="20" t="n">
        <f aca="false">IF('Media Plan'!D37&lt;&gt;"",'Media Plan'!D37,Assumptions!$D$10*Baseline!T37)</f>
        <v>31751.4787389108</v>
      </c>
      <c r="D37" s="21" t="n">
        <f aca="false">IFERROR(C37/(Baseline!H37*(1+Assumptions!$D$13)*IFERROR(MAX(0,C37)/'History Y-1'!P37,1)^Assumptions!$D$14),0)</f>
        <v>69073.5946997121</v>
      </c>
      <c r="E37" s="20" t="n">
        <f aca="false">IF('Media Plan'!J37&lt;&gt;"",'Media Plan'!J37,Assumptions!$D$11*Baseline!U37)</f>
        <v>16094.7581379998</v>
      </c>
      <c r="F37" s="21" t="n">
        <f aca="false">IFERROR(E37/(Baseline!I37*(1+Assumptions!$D$13)*IFERROR(MAX(0,E37)/'History Y-1'!Q37,1)^Assumptions!$D$15),0)</f>
        <v>42171.3604575792</v>
      </c>
      <c r="G37" s="20" t="n">
        <f aca="false">IF('Media Plan'!P37&lt;&gt;"",'Media Plan'!P37,Assumptions!$D$12*Baseline!V37)</f>
        <v>3477.30354316087</v>
      </c>
      <c r="H37" s="21" t="n">
        <f aca="false">IFERROR(G37/(Baseline!J37*(1+Assumptions!$D$13)*IFERROR(MAX(0,G37)/'History Y-1'!R37,1)^Assumptions!$D$16),0)</f>
        <v>13666.9311467437</v>
      </c>
      <c r="I37" s="21" t="n">
        <f aca="false">'History Y-1'!$F$58*(1+Assumptions!$D$6)*Baseline!Q37+'History Y-1'!$G$58*(1+Assumptions!$D$7)*Baseline!R37+J37</f>
        <v>164227.001743691</v>
      </c>
      <c r="J37" s="21" t="n">
        <f aca="false">'History Y-1'!$H$58*(1+Assumptions!$D$8)*Baseline!S37</f>
        <v>18743.3692374009</v>
      </c>
      <c r="K37" s="55" t="n">
        <f aca="false">D37+F37+H37+I37</f>
        <v>289138.888047726</v>
      </c>
      <c r="L37" s="21" t="n">
        <f aca="false">K37*Baseline!B37*(1+Assumptions!$D$18)*(1+Calendar!G37)</f>
        <v>6276.14946681902</v>
      </c>
      <c r="M37" s="20" t="n">
        <f aca="false">L37*Baseline!C37*(1+Assumptions!$D$19)</f>
        <v>474808.002714241</v>
      </c>
      <c r="N37" s="31" t="n">
        <f aca="false">MAX(0,MIN(0.9,Baseline!E37+Assumptions!$D$20))</f>
        <v>0.080986075860196</v>
      </c>
      <c r="O37" s="31" t="n">
        <f aca="false">MAX(0,Baseline!F37+Assumptions!$D$21)</f>
        <v>0.261753859014964</v>
      </c>
      <c r="P37" s="49" t="n">
        <f aca="false">M37*O37</f>
        <v>124282.82700164</v>
      </c>
      <c r="Q37" s="49" t="n">
        <f aca="false">M37-P37</f>
        <v>350525.1757126</v>
      </c>
      <c r="R37" s="21" t="n">
        <f aca="false">L37*Baseline!D37</f>
        <v>11840.0693317925</v>
      </c>
      <c r="S37" s="21" t="n">
        <f aca="false">IFERROR(P37/(Baseline!C37*(1+Assumptions!$D$19)),0)</f>
        <v>1642.80634269459</v>
      </c>
      <c r="T37" s="20" t="n">
        <f aca="false">Q37/(1-N37)*(1-Assumptions!$D$23)</f>
        <v>144937.484919462</v>
      </c>
      <c r="U37" s="20" t="n">
        <f aca="false">P37/(1-N37)*(1-Assumptions!$D$23)*Assumptions!$D$24</f>
        <v>2569.46456523105</v>
      </c>
      <c r="V37" s="49" t="n">
        <f aca="false">Q37-T37-U37</f>
        <v>203018.226227908</v>
      </c>
      <c r="W37" s="20" t="n">
        <f aca="false">T37*Assumptions!$D$25+L37*(Assumptions!$D$27-Assumptions!$D$28+Assumptions!$D$29+Assumptions!$D$36*Assumptions!$D$37)+R37*Assumptions!$D$30+S37*(Assumptions!$D$31+Assumptions!$D$32)+M37*(Assumptions!$D$33+Assumptions!$D$38)+IFERROR(M37*J37/K37,0)*Assumptions!$D$35*Assumptions!$D$34</f>
        <v>57656.8926142392</v>
      </c>
      <c r="X37" s="49" t="n">
        <f aca="false">V37-W37</f>
        <v>145361.333613668</v>
      </c>
      <c r="Y37" s="49" t="n">
        <f aca="false">C37+E37+G37</f>
        <v>51323.5404200715</v>
      </c>
      <c r="Z37" s="49" t="n">
        <f aca="false">X37-Y37</f>
        <v>94037.7931935969</v>
      </c>
      <c r="AA37" s="20" t="n">
        <f aca="false">'Fixed Costs'!$G$31/52</f>
        <v>25332.6923076923</v>
      </c>
      <c r="AB37" s="49" t="n">
        <f aca="false">Z37-AA37</f>
        <v>68705.1008859046</v>
      </c>
      <c r="AC37" s="21" t="n">
        <f aca="false">L37*Baseline!G37</f>
        <v>2127.60174336072</v>
      </c>
    </row>
    <row r="38" customFormat="false" ht="15" hidden="false" customHeight="false" outlineLevel="0" collapsed="false">
      <c r="A38" s="13" t="n">
        <v>33</v>
      </c>
      <c r="B38" s="14" t="str">
        <f aca="false">Calendar!D38</f>
        <v>P8</v>
      </c>
      <c r="C38" s="20" t="n">
        <f aca="false">IF('Media Plan'!D38&lt;&gt;"",'Media Plan'!D38,Assumptions!$D$10*Baseline!T38)</f>
        <v>31463.8036897928</v>
      </c>
      <c r="D38" s="21" t="n">
        <f aca="false">IFERROR(C38/(Baseline!H38*(1+Assumptions!$D$13)*IFERROR(MAX(0,C38)/'History Y-1'!P38,1)^Assumptions!$D$14),0)</f>
        <v>66858.846329054</v>
      </c>
      <c r="E38" s="20" t="n">
        <f aca="false">IF('Media Plan'!J38&lt;&gt;"",'Media Plan'!J38,Assumptions!$D$11*Baseline!U38)</f>
        <v>15325.8997796179</v>
      </c>
      <c r="F38" s="21" t="n">
        <f aca="false">IFERROR(E38/(Baseline!I38*(1+Assumptions!$D$13)*IFERROR(MAX(0,E38)/'History Y-1'!Q38,1)^Assumptions!$D$15),0)</f>
        <v>42370.904856192</v>
      </c>
      <c r="G38" s="20" t="n">
        <f aca="false">IF('Media Plan'!P38&lt;&gt;"",'Media Plan'!P38,Assumptions!$D$12*Baseline!V38)</f>
        <v>3261.30736869502</v>
      </c>
      <c r="H38" s="21" t="n">
        <f aca="false">IFERROR(G38/(Baseline!J38*(1+Assumptions!$D$13)*IFERROR(MAX(0,G38)/'History Y-1'!R38,1)^Assumptions!$D$16),0)</f>
        <v>13284.6218541992</v>
      </c>
      <c r="I38" s="21" t="n">
        <f aca="false">'History Y-1'!$F$58*(1+Assumptions!$D$6)*Baseline!Q38+'History Y-1'!$G$58*(1+Assumptions!$D$7)*Baseline!R38+J38</f>
        <v>163082.751700167</v>
      </c>
      <c r="J38" s="21" t="n">
        <f aca="false">'History Y-1'!$H$58*(1+Assumptions!$D$8)*Baseline!S38</f>
        <v>18760.6919462699</v>
      </c>
      <c r="K38" s="55" t="n">
        <f aca="false">D38+F38+H38+I38</f>
        <v>285597.124739612</v>
      </c>
      <c r="L38" s="21" t="n">
        <f aca="false">K38*Baseline!B38*(1+Assumptions!$D$18)*(1+Calendar!G38)</f>
        <v>6246.93929329949</v>
      </c>
      <c r="M38" s="20" t="n">
        <f aca="false">L38*Baseline!C38*(1+Assumptions!$D$19)</f>
        <v>481961.126336031</v>
      </c>
      <c r="N38" s="31" t="n">
        <f aca="false">MAX(0,MIN(0.9,Baseline!E38+Assumptions!$D$20))</f>
        <v>0.0838004019382567</v>
      </c>
      <c r="O38" s="31" t="n">
        <f aca="false">MAX(0,Baseline!F38+Assumptions!$D$21)</f>
        <v>0.263412153329654</v>
      </c>
      <c r="P38" s="49" t="n">
        <f aca="false">M38*O38</f>
        <v>126954.418109359</v>
      </c>
      <c r="Q38" s="49" t="n">
        <f aca="false">M38-P38</f>
        <v>355006.708226671</v>
      </c>
      <c r="R38" s="21" t="n">
        <f aca="false">L38*Baseline!D38</f>
        <v>11916.2920739607</v>
      </c>
      <c r="S38" s="21" t="n">
        <f aca="false">IFERROR(P38/(Baseline!C38*(1+Assumptions!$D$19)),0)</f>
        <v>1645.51973096765</v>
      </c>
      <c r="T38" s="20" t="n">
        <f aca="false">Q38/(1-N38)*(1-Assumptions!$D$23)</f>
        <v>147241.441069748</v>
      </c>
      <c r="U38" s="20" t="n">
        <f aca="false">P38/(1-N38)*(1-Assumptions!$D$23)*Assumptions!$D$24</f>
        <v>2632.76031683576</v>
      </c>
      <c r="V38" s="49" t="n">
        <f aca="false">Q38-T38-U38</f>
        <v>205132.506840087</v>
      </c>
      <c r="W38" s="20" t="n">
        <f aca="false">T38*Assumptions!$D$25+L38*(Assumptions!$D$27-Assumptions!$D$28+Assumptions!$D$29+Assumptions!$D$36*Assumptions!$D$37)+R38*Assumptions!$D$30+S38*(Assumptions!$D$31+Assumptions!$D$32)+M38*(Assumptions!$D$33+Assumptions!$D$38)+IFERROR(M38*J38/K38,0)*Assumptions!$D$35*Assumptions!$D$34</f>
        <v>57882.9283439779</v>
      </c>
      <c r="X38" s="49" t="n">
        <f aca="false">V38-W38</f>
        <v>147249.57849611</v>
      </c>
      <c r="Y38" s="49" t="n">
        <f aca="false">C38+E38+G38</f>
        <v>50051.0108381058</v>
      </c>
      <c r="Z38" s="49" t="n">
        <f aca="false">X38-Y38</f>
        <v>97198.5676580038</v>
      </c>
      <c r="AA38" s="20" t="n">
        <f aca="false">'Fixed Costs'!$G$31/52</f>
        <v>25332.6923076923</v>
      </c>
      <c r="AB38" s="49" t="n">
        <f aca="false">Z38-AA38</f>
        <v>71865.8753503115</v>
      </c>
      <c r="AC38" s="21" t="n">
        <f aca="false">L38*Baseline!G38</f>
        <v>2243.67447217731</v>
      </c>
    </row>
    <row r="39" customFormat="false" ht="15" hidden="false" customHeight="false" outlineLevel="0" collapsed="false">
      <c r="A39" s="13" t="n">
        <v>34</v>
      </c>
      <c r="B39" s="14" t="str">
        <f aca="false">Calendar!D39</f>
        <v>P8</v>
      </c>
      <c r="C39" s="20" t="n">
        <f aca="false">IF('Media Plan'!D39&lt;&gt;"",'Media Plan'!D39,Assumptions!$D$10*Baseline!T39)</f>
        <v>31697.0343645499</v>
      </c>
      <c r="D39" s="21" t="n">
        <f aca="false">IFERROR(C39/(Baseline!H39*(1+Assumptions!$D$13)*IFERROR(MAX(0,C39)/'History Y-1'!P39,1)^Assumptions!$D$14),0)</f>
        <v>67156.4040437988</v>
      </c>
      <c r="E39" s="20" t="n">
        <f aca="false">IF('Media Plan'!J39&lt;&gt;"",'Media Plan'!J39,Assumptions!$D$11*Baseline!U39)</f>
        <v>16290.0216250069</v>
      </c>
      <c r="F39" s="21" t="n">
        <f aca="false">IFERROR(E39/(Baseline!I39*(1+Assumptions!$D$13)*IFERROR(MAX(0,E39)/'History Y-1'!Q39,1)^Assumptions!$D$15),0)</f>
        <v>44064.5976133367</v>
      </c>
      <c r="G39" s="20" t="n">
        <f aca="false">IF('Media Plan'!P39&lt;&gt;"",'Media Plan'!P39,Assumptions!$D$12*Baseline!V39)</f>
        <v>3372.62176614141</v>
      </c>
      <c r="H39" s="21" t="n">
        <f aca="false">IFERROR(G39/(Baseline!J39*(1+Assumptions!$D$13)*IFERROR(MAX(0,G39)/'History Y-1'!R39,1)^Assumptions!$D$16),0)</f>
        <v>13285.7662529601</v>
      </c>
      <c r="I39" s="21" t="n">
        <f aca="false">'History Y-1'!$F$58*(1+Assumptions!$D$6)*Baseline!Q39+'History Y-1'!$G$58*(1+Assumptions!$D$7)*Baseline!R39+J39</f>
        <v>160955.241767721</v>
      </c>
      <c r="J39" s="21" t="n">
        <f aca="false">'History Y-1'!$H$58*(1+Assumptions!$D$8)*Baseline!S39</f>
        <v>19401.1040339083</v>
      </c>
      <c r="K39" s="55" t="n">
        <f aca="false">D39+F39+H39+I39</f>
        <v>285462.009677817</v>
      </c>
      <c r="L39" s="21" t="n">
        <f aca="false">K39*Baseline!B39*(1+Assumptions!$D$18)*(1+Calendar!G39)</f>
        <v>6050.10252591987</v>
      </c>
      <c r="M39" s="20" t="n">
        <f aca="false">L39*Baseline!C39*(1+Assumptions!$D$19)</f>
        <v>463665.596591126</v>
      </c>
      <c r="N39" s="31" t="n">
        <f aca="false">MAX(0,MIN(0.9,Baseline!E39+Assumptions!$D$20))</f>
        <v>0.0772506852430277</v>
      </c>
      <c r="O39" s="31" t="n">
        <f aca="false">MAX(0,Baseline!F39+Assumptions!$D$21)</f>
        <v>0.251878705960027</v>
      </c>
      <c r="P39" s="49" t="n">
        <f aca="false">M39*O39</f>
        <v>116787.490467557</v>
      </c>
      <c r="Q39" s="49" t="n">
        <f aca="false">M39-P39</f>
        <v>346878.106123569</v>
      </c>
      <c r="R39" s="21" t="n">
        <f aca="false">L39*Baseline!D39</f>
        <v>11633.2121722954</v>
      </c>
      <c r="S39" s="21" t="n">
        <f aca="false">IFERROR(P39/(Baseline!C39*(1+Assumptions!$D$19)),0)</f>
        <v>1523.89199515419</v>
      </c>
      <c r="T39" s="20" t="n">
        <f aca="false">Q39/(1-N39)*(1-Assumptions!$D$23)</f>
        <v>142848.852032659</v>
      </c>
      <c r="U39" s="20" t="n">
        <f aca="false">P39/(1-N39)*(1-Assumptions!$D$23)*Assumptions!$D$24</f>
        <v>2404.72930556226</v>
      </c>
      <c r="V39" s="49" t="n">
        <f aca="false">Q39-T39-U39</f>
        <v>201624.524785348</v>
      </c>
      <c r="W39" s="20" t="n">
        <f aca="false">T39*Assumptions!$D$25+L39*(Assumptions!$D$27-Assumptions!$D$28+Assumptions!$D$29+Assumptions!$D$36*Assumptions!$D$37)+R39*Assumptions!$D$30+S39*(Assumptions!$D$31+Assumptions!$D$32)+M39*(Assumptions!$D$33+Assumptions!$D$38)+IFERROR(M39*J39/K39,0)*Assumptions!$D$35*Assumptions!$D$34</f>
        <v>55837.6548651057</v>
      </c>
      <c r="X39" s="49" t="n">
        <f aca="false">V39-W39</f>
        <v>145786.869920242</v>
      </c>
      <c r="Y39" s="49" t="n">
        <f aca="false">C39+E39+G39</f>
        <v>51359.6777556983</v>
      </c>
      <c r="Z39" s="49" t="n">
        <f aca="false">X39-Y39</f>
        <v>94427.1921645439</v>
      </c>
      <c r="AA39" s="20" t="n">
        <f aca="false">'Fixed Costs'!$G$31/52</f>
        <v>25332.6923076923</v>
      </c>
      <c r="AB39" s="49" t="n">
        <f aca="false">Z39-AA39</f>
        <v>69094.4998568516</v>
      </c>
      <c r="AC39" s="21" t="n">
        <f aca="false">L39*Baseline!G39</f>
        <v>2093.50380772429</v>
      </c>
    </row>
    <row r="40" customFormat="false" ht="15" hidden="false" customHeight="false" outlineLevel="0" collapsed="false">
      <c r="A40" s="13" t="n">
        <v>35</v>
      </c>
      <c r="B40" s="14" t="str">
        <f aca="false">Calendar!D40</f>
        <v>P9</v>
      </c>
      <c r="C40" s="20" t="n">
        <f aca="false">IF('Media Plan'!D40&lt;&gt;"",'Media Plan'!D40,Assumptions!$D$10*Baseline!T40)</f>
        <v>30433.7174079849</v>
      </c>
      <c r="D40" s="21" t="n">
        <f aca="false">IFERROR(C40/(Baseline!H40*(1+Assumptions!$D$13)*IFERROR(MAX(0,C40)/'History Y-1'!P40,1)^Assumptions!$D$14),0)</f>
        <v>65148.2889698137</v>
      </c>
      <c r="E40" s="20" t="n">
        <f aca="false">IF('Media Plan'!J40&lt;&gt;"",'Media Plan'!J40,Assumptions!$D$11*Baseline!U40)</f>
        <v>15499.5184028695</v>
      </c>
      <c r="F40" s="21" t="n">
        <f aca="false">IFERROR(E40/(Baseline!I40*(1+Assumptions!$D$13)*IFERROR(MAX(0,E40)/'History Y-1'!Q40,1)^Assumptions!$D$15),0)</f>
        <v>41461.5537806651</v>
      </c>
      <c r="G40" s="20" t="n">
        <f aca="false">IF('Media Plan'!P40&lt;&gt;"",'Media Plan'!P40,Assumptions!$D$12*Baseline!V40)</f>
        <v>3281.96536712586</v>
      </c>
      <c r="H40" s="21" t="n">
        <f aca="false">IFERROR(G40/(Baseline!J40*(1+Assumptions!$D$13)*IFERROR(MAX(0,G40)/'History Y-1'!R40,1)^Assumptions!$D$16),0)</f>
        <v>12932.169906448</v>
      </c>
      <c r="I40" s="21" t="n">
        <f aca="false">'History Y-1'!$F$58*(1+Assumptions!$D$6)*Baseline!Q40+'History Y-1'!$G$58*(1+Assumptions!$D$7)*Baseline!R40+J40</f>
        <v>159398.879281844</v>
      </c>
      <c r="J40" s="21" t="n">
        <f aca="false">'History Y-1'!$H$58*(1+Assumptions!$D$8)*Baseline!S40</f>
        <v>18924.435012305</v>
      </c>
      <c r="K40" s="55" t="n">
        <f aca="false">D40+F40+H40+I40</f>
        <v>278940.891938771</v>
      </c>
      <c r="L40" s="21" t="n">
        <f aca="false">K40*Baseline!B40*(1+Assumptions!$D$18)*(1+Calendar!G40)</f>
        <v>6113.57936192632</v>
      </c>
      <c r="M40" s="20" t="n">
        <f aca="false">L40*Baseline!C40*(1+Assumptions!$D$19)</f>
        <v>464071.58164887</v>
      </c>
      <c r="N40" s="31" t="n">
        <f aca="false">MAX(0,MIN(0.9,Baseline!E40+Assumptions!$D$20))</f>
        <v>0.0811043008517297</v>
      </c>
      <c r="O40" s="31" t="n">
        <f aca="false">MAX(0,Baseline!F40+Assumptions!$D$21)</f>
        <v>0.260004387651849</v>
      </c>
      <c r="P40" s="49" t="n">
        <f aca="false">M40*O40</f>
        <v>120660.647413239</v>
      </c>
      <c r="Q40" s="49" t="n">
        <f aca="false">M40-P40</f>
        <v>343410.93423563</v>
      </c>
      <c r="R40" s="21" t="n">
        <f aca="false">L40*Baseline!D40</f>
        <v>11513.0858098602</v>
      </c>
      <c r="S40" s="21" t="n">
        <f aca="false">IFERROR(P40/(Baseline!C40*(1+Assumptions!$D$19)),0)</f>
        <v>1589.55745835863</v>
      </c>
      <c r="T40" s="20" t="n">
        <f aca="false">Q40/(1-N40)*(1-Assumptions!$D$23)</f>
        <v>142014.110122071</v>
      </c>
      <c r="U40" s="20" t="n">
        <f aca="false">P40/(1-N40)*(1-Assumptions!$D$23)*Assumptions!$D$24</f>
        <v>2494.89936994648</v>
      </c>
      <c r="V40" s="49" t="n">
        <f aca="false">Q40-T40-U40</f>
        <v>198901.924743613</v>
      </c>
      <c r="W40" s="20" t="n">
        <f aca="false">T40*Assumptions!$D$25+L40*(Assumptions!$D$27-Assumptions!$D$28+Assumptions!$D$29+Assumptions!$D$36*Assumptions!$D$37)+R40*Assumptions!$D$30+S40*(Assumptions!$D$31+Assumptions!$D$32)+M40*(Assumptions!$D$33+Assumptions!$D$38)+IFERROR(M40*J40/K40,0)*Assumptions!$D$35*Assumptions!$D$34</f>
        <v>56269.4269796533</v>
      </c>
      <c r="X40" s="49" t="n">
        <f aca="false">V40-W40</f>
        <v>142632.49776396</v>
      </c>
      <c r="Y40" s="49" t="n">
        <f aca="false">C40+E40+G40</f>
        <v>49215.2011779803</v>
      </c>
      <c r="Z40" s="49" t="n">
        <f aca="false">X40-Y40</f>
        <v>93417.2965859798</v>
      </c>
      <c r="AA40" s="20" t="n">
        <f aca="false">'Fixed Costs'!$G$31/52</f>
        <v>25332.6923076923</v>
      </c>
      <c r="AB40" s="49" t="n">
        <f aca="false">Z40-AA40</f>
        <v>68084.6042782874</v>
      </c>
      <c r="AC40" s="21" t="n">
        <f aca="false">L40*Baseline!G40</f>
        <v>2177.88500301714</v>
      </c>
    </row>
    <row r="41" customFormat="false" ht="15" hidden="false" customHeight="false" outlineLevel="0" collapsed="false">
      <c r="A41" s="13" t="n">
        <v>36</v>
      </c>
      <c r="B41" s="14" t="str">
        <f aca="false">Calendar!D41</f>
        <v>P9</v>
      </c>
      <c r="C41" s="20" t="n">
        <f aca="false">IF('Media Plan'!D41&lt;&gt;"",'Media Plan'!D41,Assumptions!$D$10*Baseline!T41)</f>
        <v>37663.6194830147</v>
      </c>
      <c r="D41" s="21" t="n">
        <f aca="false">IFERROR(C41/(Baseline!H41*(1+Assumptions!$D$13)*IFERROR(MAX(0,C41)/'History Y-1'!P41,1)^Assumptions!$D$14),0)</f>
        <v>78610.6984979531</v>
      </c>
      <c r="E41" s="20" t="n">
        <f aca="false">IF('Media Plan'!J41&lt;&gt;"",'Media Plan'!J41,Assumptions!$D$11*Baseline!U41)</f>
        <v>19182.5869567979</v>
      </c>
      <c r="F41" s="21" t="n">
        <f aca="false">IFERROR(E41/(Baseline!I41*(1+Assumptions!$D$13)*IFERROR(MAX(0,E41)/'History Y-1'!Q41,1)^Assumptions!$D$15),0)</f>
        <v>52378.1098090075</v>
      </c>
      <c r="G41" s="20" t="n">
        <f aca="false">IF('Media Plan'!P41&lt;&gt;"",'Media Plan'!P41,Assumptions!$D$12*Baseline!V41)</f>
        <v>4193.72594885017</v>
      </c>
      <c r="H41" s="21" t="n">
        <f aca="false">IFERROR(G41/(Baseline!J41*(1+Assumptions!$D$13)*IFERROR(MAX(0,G41)/'History Y-1'!R41,1)^Assumptions!$D$16),0)</f>
        <v>16515.977945244</v>
      </c>
      <c r="I41" s="21" t="n">
        <f aca="false">'History Y-1'!$F$58*(1+Assumptions!$D$6)*Baseline!Q41+'History Y-1'!$G$58*(1+Assumptions!$D$7)*Baseline!R41+J41</f>
        <v>223746.747723526</v>
      </c>
      <c r="J41" s="21" t="n">
        <f aca="false">'History Y-1'!$H$58*(1+Assumptions!$D$8)*Baseline!S41</f>
        <v>22847.3893557663</v>
      </c>
      <c r="K41" s="55" t="n">
        <f aca="false">D41+F41+H41+I41</f>
        <v>371251.533975731</v>
      </c>
      <c r="L41" s="21" t="n">
        <f aca="false">K41*Baseline!B41*(1+Assumptions!$D$18)*(1+Calendar!G41)</f>
        <v>8994.00673764849</v>
      </c>
      <c r="M41" s="20" t="n">
        <f aca="false">L41*Baseline!C41*(1+Assumptions!$D$19)</f>
        <v>638855.418424923</v>
      </c>
      <c r="N41" s="31" t="n">
        <f aca="false">MAX(0,MIN(0.9,Baseline!E41+Assumptions!$D$20))</f>
        <v>0.224314363051865</v>
      </c>
      <c r="O41" s="31" t="n">
        <f aca="false">MAX(0,Baseline!F41+Assumptions!$D$21)</f>
        <v>0.255857706324971</v>
      </c>
      <c r="P41" s="49" t="n">
        <f aca="false">M41*O41</f>
        <v>163456.082031481</v>
      </c>
      <c r="Q41" s="49" t="n">
        <f aca="false">M41-P41</f>
        <v>475399.336393442</v>
      </c>
      <c r="R41" s="21" t="n">
        <f aca="false">L41*Baseline!D41</f>
        <v>17036.0145372195</v>
      </c>
      <c r="S41" s="21" t="n">
        <f aca="false">IFERROR(P41/(Baseline!C41*(1+Assumptions!$D$19)),0)</f>
        <v>2301.18593456608</v>
      </c>
      <c r="T41" s="20" t="n">
        <f aca="false">Q41/(1-N41)*(1-Assumptions!$D$23)</f>
        <v>232892.990696935</v>
      </c>
      <c r="U41" s="20" t="n">
        <f aca="false">P41/(1-N41)*(1-Assumptions!$D$23)*Assumptions!$D$24</f>
        <v>4003.76829306405</v>
      </c>
      <c r="V41" s="49" t="n">
        <f aca="false">Q41-T41-U41</f>
        <v>238502.577403443</v>
      </c>
      <c r="W41" s="20" t="n">
        <f aca="false">T41*Assumptions!$D$25+L41*(Assumptions!$D$27-Assumptions!$D$28+Assumptions!$D$29+Assumptions!$D$36*Assumptions!$D$37)+R41*Assumptions!$D$30+S41*(Assumptions!$D$31+Assumptions!$D$32)+M41*(Assumptions!$D$33+Assumptions!$D$38)+IFERROR(M41*J41/K41,0)*Assumptions!$D$35*Assumptions!$D$34</f>
        <v>82084.3254064199</v>
      </c>
      <c r="X41" s="49" t="n">
        <f aca="false">V41-W41</f>
        <v>156418.251997023</v>
      </c>
      <c r="Y41" s="49" t="n">
        <f aca="false">C41+E41+G41</f>
        <v>61039.9323886628</v>
      </c>
      <c r="Z41" s="49" t="n">
        <f aca="false">X41-Y41</f>
        <v>95378.3196083604</v>
      </c>
      <c r="AA41" s="20" t="n">
        <f aca="false">'Fixed Costs'!$G$31/52</f>
        <v>25332.6923076923</v>
      </c>
      <c r="AB41" s="49" t="n">
        <f aca="false">Z41-AA41</f>
        <v>70045.6273006681</v>
      </c>
      <c r="AC41" s="21" t="n">
        <f aca="false">L41*Baseline!G41</f>
        <v>4112.97169116951</v>
      </c>
    </row>
    <row r="42" customFormat="false" ht="15" hidden="false" customHeight="false" outlineLevel="0" collapsed="false">
      <c r="A42" s="13" t="n">
        <v>37</v>
      </c>
      <c r="B42" s="14" t="str">
        <f aca="false">Calendar!D42</f>
        <v>P9</v>
      </c>
      <c r="C42" s="20" t="n">
        <f aca="false">IF('Media Plan'!D42&lt;&gt;"",'Media Plan'!D42,Assumptions!$D$10*Baseline!T42)</f>
        <v>32459.1919784188</v>
      </c>
      <c r="D42" s="21" t="n">
        <f aca="false">IFERROR(C42/(Baseline!H42*(1+Assumptions!$D$13)*IFERROR(MAX(0,C42)/'History Y-1'!P42,1)^Assumptions!$D$14),0)</f>
        <v>69051.2154023864</v>
      </c>
      <c r="E42" s="20" t="n">
        <f aca="false">IF('Media Plan'!J42&lt;&gt;"",'Media Plan'!J42,Assumptions!$D$11*Baseline!U42)</f>
        <v>17527.2991988606</v>
      </c>
      <c r="F42" s="21" t="n">
        <f aca="false">IFERROR(E42/(Baseline!I42*(1+Assumptions!$D$13)*IFERROR(MAX(0,E42)/'History Y-1'!Q42,1)^Assumptions!$D$15),0)</f>
        <v>47756.3819693611</v>
      </c>
      <c r="G42" s="20" t="n">
        <f aca="false">IF('Media Plan'!P42&lt;&gt;"",'Media Plan'!P42,Assumptions!$D$12*Baseline!V42)</f>
        <v>3511.75361214989</v>
      </c>
      <c r="H42" s="21" t="n">
        <f aca="false">IFERROR(G42/(Baseline!J42*(1+Assumptions!$D$13)*IFERROR(MAX(0,G42)/'History Y-1'!R42,1)^Assumptions!$D$16),0)</f>
        <v>14603.7330149922</v>
      </c>
      <c r="I42" s="21" t="n">
        <f aca="false">'History Y-1'!$F$58*(1+Assumptions!$D$6)*Baseline!Q42+'History Y-1'!$G$58*(1+Assumptions!$D$7)*Baseline!R42+J42</f>
        <v>179810.645735961</v>
      </c>
      <c r="J42" s="21" t="n">
        <f aca="false">'History Y-1'!$H$58*(1+Assumptions!$D$8)*Baseline!S42</f>
        <v>20548.2158965671</v>
      </c>
      <c r="K42" s="55" t="n">
        <f aca="false">D42+F42+H42+I42</f>
        <v>311221.976122701</v>
      </c>
      <c r="L42" s="21" t="n">
        <f aca="false">K42*Baseline!B42*(1+Assumptions!$D$18)*(1+Calendar!G42)</f>
        <v>6854.88644480571</v>
      </c>
      <c r="M42" s="20" t="n">
        <f aca="false">L42*Baseline!C42*(1+Assumptions!$D$19)</f>
        <v>528511.637870749</v>
      </c>
      <c r="N42" s="31" t="n">
        <f aca="false">MAX(0,MIN(0.9,Baseline!E42+Assumptions!$D$20))</f>
        <v>0.0808958328972984</v>
      </c>
      <c r="O42" s="31" t="n">
        <f aca="false">MAX(0,Baseline!F42+Assumptions!$D$21)</f>
        <v>0.256566036503427</v>
      </c>
      <c r="P42" s="49" t="n">
        <f aca="false">M42*O42</f>
        <v>135598.136174432</v>
      </c>
      <c r="Q42" s="49" t="n">
        <f aca="false">M42-P42</f>
        <v>392913.501696317</v>
      </c>
      <c r="R42" s="21" t="n">
        <f aca="false">L42*Baseline!D42</f>
        <v>13243.4551854794</v>
      </c>
      <c r="S42" s="21" t="n">
        <f aca="false">IFERROR(P42/(Baseline!C42*(1+Assumptions!$D$19)),0)</f>
        <v>1758.73104582487</v>
      </c>
      <c r="T42" s="20" t="n">
        <f aca="false">Q42/(1-N42)*(1-Assumptions!$D$23)</f>
        <v>162448.540642855</v>
      </c>
      <c r="U42" s="20" t="n">
        <f aca="false">P42/(1-N42)*(1-Assumptions!$D$23)*Assumptions!$D$24</f>
        <v>2803.12578217952</v>
      </c>
      <c r="V42" s="49" t="n">
        <f aca="false">Q42-T42-U42</f>
        <v>227661.835271282</v>
      </c>
      <c r="W42" s="20" t="n">
        <f aca="false">T42*Assumptions!$D$25+L42*(Assumptions!$D$27-Assumptions!$D$28+Assumptions!$D$29+Assumptions!$D$36*Assumptions!$D$37)+R42*Assumptions!$D$30+S42*(Assumptions!$D$31+Assumptions!$D$32)+M42*(Assumptions!$D$33+Assumptions!$D$38)+IFERROR(M42*J42/K42,0)*Assumptions!$D$35*Assumptions!$D$34</f>
        <v>63474.9780384009</v>
      </c>
      <c r="X42" s="49" t="n">
        <f aca="false">V42-W42</f>
        <v>164186.857232881</v>
      </c>
      <c r="Y42" s="49" t="n">
        <f aca="false">C42+E42+G42</f>
        <v>53498.2447894293</v>
      </c>
      <c r="Z42" s="49" t="n">
        <f aca="false">X42-Y42</f>
        <v>110688.612443452</v>
      </c>
      <c r="AA42" s="20" t="n">
        <f aca="false">'Fixed Costs'!$G$31/52</f>
        <v>25332.6923076923</v>
      </c>
      <c r="AB42" s="49" t="n">
        <f aca="false">Z42-AA42</f>
        <v>85355.9201357598</v>
      </c>
      <c r="AC42" s="21" t="n">
        <f aca="false">L42*Baseline!G42</f>
        <v>2353.61475129087</v>
      </c>
    </row>
    <row r="43" customFormat="false" ht="15" hidden="false" customHeight="false" outlineLevel="0" collapsed="false">
      <c r="A43" s="13" t="n">
        <v>38</v>
      </c>
      <c r="B43" s="14" t="str">
        <f aca="false">Calendar!D43</f>
        <v>P9</v>
      </c>
      <c r="C43" s="20" t="n">
        <f aca="false">IF('Media Plan'!D43&lt;&gt;"",'Media Plan'!D43,Assumptions!$D$10*Baseline!T43)</f>
        <v>36450.6282754497</v>
      </c>
      <c r="D43" s="21" t="n">
        <f aca="false">IFERROR(C43/(Baseline!H43*(1+Assumptions!$D$13)*IFERROR(MAX(0,C43)/'History Y-1'!P43,1)^Assumptions!$D$14),0)</f>
        <v>80701.4308407932</v>
      </c>
      <c r="E43" s="20" t="n">
        <f aca="false">IF('Media Plan'!J43&lt;&gt;"",'Media Plan'!J43,Assumptions!$D$11*Baseline!U43)</f>
        <v>18765.0463200146</v>
      </c>
      <c r="F43" s="21" t="n">
        <f aca="false">IFERROR(E43/(Baseline!I43*(1+Assumptions!$D$13)*IFERROR(MAX(0,E43)/'History Y-1'!Q43,1)^Assumptions!$D$15),0)</f>
        <v>52050.9989027039</v>
      </c>
      <c r="G43" s="20" t="n">
        <f aca="false">IF('Media Plan'!P43&lt;&gt;"",'Media Plan'!P43,Assumptions!$D$12*Baseline!V43)</f>
        <v>3749.20021982225</v>
      </c>
      <c r="H43" s="21" t="n">
        <f aca="false">IFERROR(G43/(Baseline!J43*(1+Assumptions!$D$13)*IFERROR(MAX(0,G43)/'History Y-1'!R43,1)^Assumptions!$D$16),0)</f>
        <v>15479.1032942333</v>
      </c>
      <c r="I43" s="21" t="n">
        <f aca="false">'History Y-1'!$F$58*(1+Assumptions!$D$6)*Baseline!Q43+'History Y-1'!$G$58*(1+Assumptions!$D$7)*Baseline!R43+J43</f>
        <v>189811.920204145</v>
      </c>
      <c r="J43" s="21" t="n">
        <f aca="false">'History Y-1'!$H$58*(1+Assumptions!$D$8)*Baseline!S43</f>
        <v>23049.7522850877</v>
      </c>
      <c r="K43" s="55" t="n">
        <f aca="false">D43+F43+H43+I43</f>
        <v>338043.453241876</v>
      </c>
      <c r="L43" s="21" t="n">
        <f aca="false">K43*Baseline!B43*(1+Assumptions!$D$18)*(1+Calendar!G43)</f>
        <v>7679.57195575624</v>
      </c>
      <c r="M43" s="20" t="n">
        <f aca="false">L43*Baseline!C43*(1+Assumptions!$D$19)</f>
        <v>583215.671874805</v>
      </c>
      <c r="N43" s="31" t="n">
        <f aca="false">MAX(0,MIN(0.9,Baseline!E43+Assumptions!$D$20))</f>
        <v>0.0777627051224132</v>
      </c>
      <c r="O43" s="31" t="n">
        <f aca="false">MAX(0,Baseline!F43+Assumptions!$D$21)</f>
        <v>0.263650323188229</v>
      </c>
      <c r="P43" s="49" t="n">
        <f aca="false">M43*O43</f>
        <v>153765.000378232</v>
      </c>
      <c r="Q43" s="49" t="n">
        <f aca="false">M43-P43</f>
        <v>429450.671496573</v>
      </c>
      <c r="R43" s="21" t="n">
        <f aca="false">L43*Baseline!D43</f>
        <v>14886.0762662147</v>
      </c>
      <c r="S43" s="21" t="n">
        <f aca="false">IFERROR(P43/(Baseline!C43*(1+Assumptions!$D$19)),0)</f>
        <v>2024.72162808239</v>
      </c>
      <c r="T43" s="20" t="n">
        <f aca="false">Q43/(1-N43)*(1-Assumptions!$D$23)</f>
        <v>176951.481007238</v>
      </c>
      <c r="U43" s="20" t="n">
        <f aca="false">P43/(1-N43)*(1-Assumptions!$D$23)*Assumptions!$D$24</f>
        <v>3167.87775056766</v>
      </c>
      <c r="V43" s="49" t="n">
        <f aca="false">Q43-T43-U43</f>
        <v>249331.312738767</v>
      </c>
      <c r="W43" s="20" t="n">
        <f aca="false">T43*Assumptions!$D$25+L43*(Assumptions!$D$27-Assumptions!$D$28+Assumptions!$D$29+Assumptions!$D$36*Assumptions!$D$37)+R43*Assumptions!$D$30+S43*(Assumptions!$D$31+Assumptions!$D$32)+M43*(Assumptions!$D$33+Assumptions!$D$38)+IFERROR(M43*J43/K43,0)*Assumptions!$D$35*Assumptions!$D$34</f>
        <v>71150.9643211112</v>
      </c>
      <c r="X43" s="49" t="n">
        <f aca="false">V43-W43</f>
        <v>178180.348417656</v>
      </c>
      <c r="Y43" s="49" t="n">
        <f aca="false">C43+E43+G43</f>
        <v>58964.8748152866</v>
      </c>
      <c r="Z43" s="49" t="n">
        <f aca="false">X43-Y43</f>
        <v>119215.47360237</v>
      </c>
      <c r="AA43" s="20" t="n">
        <f aca="false">'Fixed Costs'!$G$31/52</f>
        <v>25332.6923076923</v>
      </c>
      <c r="AB43" s="49" t="n">
        <f aca="false">Z43-AA43</f>
        <v>93882.7812946773</v>
      </c>
      <c r="AC43" s="21" t="n">
        <f aca="false">L43*Baseline!G43</f>
        <v>2586.02447233928</v>
      </c>
    </row>
    <row r="44" customFormat="false" ht="15" hidden="false" customHeight="false" outlineLevel="0" collapsed="false">
      <c r="A44" s="13" t="n">
        <v>39</v>
      </c>
      <c r="B44" s="14" t="str">
        <f aca="false">Calendar!D44</f>
        <v>P9</v>
      </c>
      <c r="C44" s="20" t="n">
        <f aca="false">IF('Media Plan'!D44&lt;&gt;"",'Media Plan'!D44,Assumptions!$D$10*Baseline!T44)</f>
        <v>36575.1345928048</v>
      </c>
      <c r="D44" s="21" t="n">
        <f aca="false">IFERROR(C44/(Baseline!H44*(1+Assumptions!$D$13)*IFERROR(MAX(0,C44)/'History Y-1'!P44,1)^Assumptions!$D$14),0)</f>
        <v>75960.5312493676</v>
      </c>
      <c r="E44" s="20" t="n">
        <f aca="false">IF('Media Plan'!J44&lt;&gt;"",'Media Plan'!J44,Assumptions!$D$11*Baseline!U44)</f>
        <v>18536.9580860902</v>
      </c>
      <c r="F44" s="21" t="n">
        <f aca="false">IFERROR(E44/(Baseline!I44*(1+Assumptions!$D$13)*IFERROR(MAX(0,E44)/'History Y-1'!Q44,1)^Assumptions!$D$15),0)</f>
        <v>51281.6748624975</v>
      </c>
      <c r="G44" s="20" t="n">
        <f aca="false">IF('Media Plan'!P44&lt;&gt;"",'Media Plan'!P44,Assumptions!$D$12*Baseline!V44)</f>
        <v>3838.7435344281</v>
      </c>
      <c r="H44" s="21" t="n">
        <f aca="false">IFERROR(G44/(Baseline!J44*(1+Assumptions!$D$13)*IFERROR(MAX(0,G44)/'History Y-1'!R44,1)^Assumptions!$D$16),0)</f>
        <v>15672.2179981631</v>
      </c>
      <c r="I44" s="21" t="n">
        <f aca="false">'History Y-1'!$F$58*(1+Assumptions!$D$6)*Baseline!Q44+'History Y-1'!$G$58*(1+Assumptions!$D$7)*Baseline!R44+J44</f>
        <v>184961.251784082</v>
      </c>
      <c r="J44" s="21" t="n">
        <f aca="false">'History Y-1'!$H$58*(1+Assumptions!$D$8)*Baseline!S44</f>
        <v>22100.103543316</v>
      </c>
      <c r="K44" s="55" t="n">
        <f aca="false">D44+F44+H44+I44</f>
        <v>327875.67589411</v>
      </c>
      <c r="L44" s="21" t="n">
        <f aca="false">K44*Baseline!B44*(1+Assumptions!$D$18)*(1+Calendar!G44)</f>
        <v>7044.20306735997</v>
      </c>
      <c r="M44" s="20" t="n">
        <f aca="false">L44*Baseline!C44*(1+Assumptions!$D$19)</f>
        <v>545538.817989451</v>
      </c>
      <c r="N44" s="31" t="n">
        <f aca="false">MAX(0,MIN(0.9,Baseline!E44+Assumptions!$D$20))</f>
        <v>0.0833703783589324</v>
      </c>
      <c r="O44" s="31" t="n">
        <f aca="false">MAX(0,Baseline!F44+Assumptions!$D$21)</f>
        <v>0.268034380017755</v>
      </c>
      <c r="P44" s="49" t="n">
        <f aca="false">M44*O44</f>
        <v>146223.158855421</v>
      </c>
      <c r="Q44" s="49" t="n">
        <f aca="false">M44-P44</f>
        <v>399315.659134029</v>
      </c>
      <c r="R44" s="21" t="n">
        <f aca="false">L44*Baseline!D44</f>
        <v>13175.6139855672</v>
      </c>
      <c r="S44" s="21" t="n">
        <f aca="false">IFERROR(P44/(Baseline!C44*(1+Assumptions!$D$19)),0)</f>
        <v>1888.088601879</v>
      </c>
      <c r="T44" s="20" t="n">
        <f aca="false">Q44/(1-N44)*(1-Assumptions!$D$23)</f>
        <v>165541.181398073</v>
      </c>
      <c r="U44" s="20" t="n">
        <f aca="false">P44/(1-N44)*(1-Assumptions!$D$23)*Assumptions!$D$24</f>
        <v>3030.9297808629</v>
      </c>
      <c r="V44" s="49" t="n">
        <f aca="false">Q44-T44-U44</f>
        <v>230743.547955093</v>
      </c>
      <c r="W44" s="20" t="n">
        <f aca="false">T44*Assumptions!$D$25+L44*(Assumptions!$D$27-Assumptions!$D$28+Assumptions!$D$29+Assumptions!$D$36*Assumptions!$D$37)+R44*Assumptions!$D$30+S44*(Assumptions!$D$31+Assumptions!$D$32)+M44*(Assumptions!$D$33+Assumptions!$D$38)+IFERROR(M44*J44/K44,0)*Assumptions!$D$35*Assumptions!$D$34</f>
        <v>65304.846474025</v>
      </c>
      <c r="X44" s="49" t="n">
        <f aca="false">V44-W44</f>
        <v>165438.701481068</v>
      </c>
      <c r="Y44" s="49" t="n">
        <f aca="false">C44+E44+G44</f>
        <v>58950.8362133231</v>
      </c>
      <c r="Z44" s="49" t="n">
        <f aca="false">X44-Y44</f>
        <v>106487.865267745</v>
      </c>
      <c r="AA44" s="20" t="n">
        <f aca="false">'Fixed Costs'!$G$31/52</f>
        <v>25332.6923076923</v>
      </c>
      <c r="AB44" s="49" t="n">
        <f aca="false">Z44-AA44</f>
        <v>81155.1729600527</v>
      </c>
      <c r="AC44" s="21" t="n">
        <f aca="false">L44*Baseline!G44</f>
        <v>2403.50857176249</v>
      </c>
    </row>
    <row r="45" customFormat="false" ht="15" hidden="false" customHeight="false" outlineLevel="0" collapsed="false">
      <c r="A45" s="13" t="n">
        <v>40</v>
      </c>
      <c r="B45" s="14" t="str">
        <f aca="false">Calendar!D45</f>
        <v>P10</v>
      </c>
      <c r="C45" s="20" t="n">
        <f aca="false">IF('Media Plan'!D45&lt;&gt;"",'Media Plan'!D45,Assumptions!$D$10*Baseline!T45)</f>
        <v>35566.6941180186</v>
      </c>
      <c r="D45" s="21" t="n">
        <f aca="false">IFERROR(C45/(Baseline!H45*(1+Assumptions!$D$13)*IFERROR(MAX(0,C45)/'History Y-1'!P45,1)^Assumptions!$D$14),0)</f>
        <v>75571.2152889199</v>
      </c>
      <c r="E45" s="20" t="n">
        <f aca="false">IF('Media Plan'!J45&lt;&gt;"",'Media Plan'!J45,Assumptions!$D$11*Baseline!U45)</f>
        <v>16884.8031006538</v>
      </c>
      <c r="F45" s="21" t="n">
        <f aca="false">IFERROR(E45/(Baseline!I45*(1+Assumptions!$D$13)*IFERROR(MAX(0,E45)/'History Y-1'!Q45,1)^Assumptions!$D$15),0)</f>
        <v>46778.2089198851</v>
      </c>
      <c r="G45" s="20" t="n">
        <f aca="false">IF('Media Plan'!P45&lt;&gt;"",'Media Plan'!P45,Assumptions!$D$12*Baseline!V45)</f>
        <v>3769.40774751306</v>
      </c>
      <c r="H45" s="21" t="n">
        <f aca="false">IFERROR(G45/(Baseline!J45*(1+Assumptions!$D$13)*IFERROR(MAX(0,G45)/'History Y-1'!R45,1)^Assumptions!$D$16),0)</f>
        <v>15255.6252389214</v>
      </c>
      <c r="I45" s="21" t="n">
        <f aca="false">'History Y-1'!$F$58*(1+Assumptions!$D$6)*Baseline!Q45+'History Y-1'!$G$58*(1+Assumptions!$D$7)*Baseline!R45+J45</f>
        <v>185326.043345688</v>
      </c>
      <c r="J45" s="21" t="n">
        <f aca="false">'History Y-1'!$H$58*(1+Assumptions!$D$8)*Baseline!S45</f>
        <v>21260.6163114631</v>
      </c>
      <c r="K45" s="55" t="n">
        <f aca="false">D45+F45+H45+I45</f>
        <v>322931.092793415</v>
      </c>
      <c r="L45" s="21" t="n">
        <f aca="false">K45*Baseline!B45*(1+Assumptions!$D$18)*(1+Calendar!G45)</f>
        <v>6987.32281277071</v>
      </c>
      <c r="M45" s="20" t="n">
        <f aca="false">L45*Baseline!C45*(1+Assumptions!$D$19)</f>
        <v>530491.910807334</v>
      </c>
      <c r="N45" s="31" t="n">
        <f aca="false">MAX(0,MIN(0.9,Baseline!E45+Assumptions!$D$20))</f>
        <v>0.0849437450166834</v>
      </c>
      <c r="O45" s="31" t="n">
        <f aca="false">MAX(0,Baseline!F45+Assumptions!$D$21)</f>
        <v>0.260198023202177</v>
      </c>
      <c r="P45" s="49" t="n">
        <f aca="false">M45*O45</f>
        <v>138032.946516814</v>
      </c>
      <c r="Q45" s="49" t="n">
        <f aca="false">M45-P45</f>
        <v>392458.96429052</v>
      </c>
      <c r="R45" s="21" t="n">
        <f aca="false">L45*Baseline!D45</f>
        <v>13484.2943350866</v>
      </c>
      <c r="S45" s="21" t="n">
        <f aca="false">IFERROR(P45/(Baseline!C45*(1+Assumptions!$D$19)),0)</f>
        <v>1818.08758335841</v>
      </c>
      <c r="T45" s="20" t="n">
        <f aca="false">Q45/(1-N45)*(1-Assumptions!$D$23)</f>
        <v>162978.402276608</v>
      </c>
      <c r="U45" s="20" t="n">
        <f aca="false">P45/(1-N45)*(1-Assumptions!$D$23)*Assumptions!$D$24</f>
        <v>2866.08169665731</v>
      </c>
      <c r="V45" s="49" t="n">
        <f aca="false">Q45-T45-U45</f>
        <v>226614.480317254</v>
      </c>
      <c r="W45" s="20" t="n">
        <f aca="false">T45*Assumptions!$D$25+L45*(Assumptions!$D$27-Assumptions!$D$28+Assumptions!$D$29+Assumptions!$D$36*Assumptions!$D$37)+R45*Assumptions!$D$30+S45*(Assumptions!$D$31+Assumptions!$D$32)+M45*(Assumptions!$D$33+Assumptions!$D$38)+IFERROR(M45*J45/K45,0)*Assumptions!$D$35*Assumptions!$D$34</f>
        <v>64531.538790054</v>
      </c>
      <c r="X45" s="49" t="n">
        <f aca="false">V45-W45</f>
        <v>162082.9415272</v>
      </c>
      <c r="Y45" s="49" t="n">
        <f aca="false">C45+E45+G45</f>
        <v>56220.9049661854</v>
      </c>
      <c r="Z45" s="49" t="n">
        <f aca="false">X45-Y45</f>
        <v>105862.036561015</v>
      </c>
      <c r="AA45" s="20" t="n">
        <f aca="false">'Fixed Costs'!$G$31/52</f>
        <v>25332.6923076923</v>
      </c>
      <c r="AB45" s="49" t="n">
        <f aca="false">Z45-AA45</f>
        <v>80529.3442533227</v>
      </c>
      <c r="AC45" s="21" t="n">
        <f aca="false">L45*Baseline!G45</f>
        <v>2364.46225895143</v>
      </c>
    </row>
    <row r="46" customFormat="false" ht="15" hidden="false" customHeight="false" outlineLevel="0" collapsed="false">
      <c r="A46" s="13" t="n">
        <v>41</v>
      </c>
      <c r="B46" s="14" t="str">
        <f aca="false">Calendar!D46</f>
        <v>P10</v>
      </c>
      <c r="C46" s="20" t="n">
        <f aca="false">IF('Media Plan'!D46&lt;&gt;"",'Media Plan'!D46,Assumptions!$D$10*Baseline!T46)</f>
        <v>35753.04301567</v>
      </c>
      <c r="D46" s="21" t="n">
        <f aca="false">IFERROR(C46/(Baseline!H46*(1+Assumptions!$D$13)*IFERROR(MAX(0,C46)/'History Y-1'!P46,1)^Assumptions!$D$14),0)</f>
        <v>74015.7649902785</v>
      </c>
      <c r="E46" s="20" t="n">
        <f aca="false">IF('Media Plan'!J46&lt;&gt;"",'Media Plan'!J46,Assumptions!$D$11*Baseline!U46)</f>
        <v>18382.1574121692</v>
      </c>
      <c r="F46" s="21" t="n">
        <f aca="false">IFERROR(E46/(Baseline!I46*(1+Assumptions!$D$13)*IFERROR(MAX(0,E46)/'History Y-1'!Q46,1)^Assumptions!$D$15),0)</f>
        <v>49389.1714623617</v>
      </c>
      <c r="G46" s="20" t="n">
        <f aca="false">IF('Media Plan'!P46&lt;&gt;"",'Media Plan'!P46,Assumptions!$D$12*Baseline!V46)</f>
        <v>3704.60426992037</v>
      </c>
      <c r="H46" s="21" t="n">
        <f aca="false">IFERROR(G46/(Baseline!J46*(1+Assumptions!$D$13)*IFERROR(MAX(0,G46)/'History Y-1'!R46,1)^Assumptions!$D$16),0)</f>
        <v>15271.8910068306</v>
      </c>
      <c r="I46" s="21" t="n">
        <f aca="false">'History Y-1'!$F$58*(1+Assumptions!$D$6)*Baseline!Q46+'History Y-1'!$G$58*(1+Assumptions!$D$7)*Baseline!R46+J46</f>
        <v>190586.95615023</v>
      </c>
      <c r="J46" s="21" t="n">
        <f aca="false">'History Y-1'!$H$58*(1+Assumptions!$D$8)*Baseline!S46</f>
        <v>21275.4353671043</v>
      </c>
      <c r="K46" s="55" t="n">
        <f aca="false">D46+F46+H46+I46</f>
        <v>329263.783609701</v>
      </c>
      <c r="L46" s="21" t="n">
        <f aca="false">K46*Baseline!B46*(1+Assumptions!$D$18)*(1+Calendar!G46)</f>
        <v>7162.46819438634</v>
      </c>
      <c r="M46" s="20" t="n">
        <f aca="false">L46*Baseline!C46*(1+Assumptions!$D$19)</f>
        <v>545838.315522378</v>
      </c>
      <c r="N46" s="31" t="n">
        <f aca="false">MAX(0,MIN(0.9,Baseline!E46+Assumptions!$D$20))</f>
        <v>0.0771528480792872</v>
      </c>
      <c r="O46" s="31" t="n">
        <f aca="false">MAX(0,Baseline!F46+Assumptions!$D$21)</f>
        <v>0.256575550397254</v>
      </c>
      <c r="P46" s="49" t="n">
        <f aca="false">M46*O46</f>
        <v>140048.766233064</v>
      </c>
      <c r="Q46" s="49" t="n">
        <f aca="false">M46-P46</f>
        <v>405789.549289314</v>
      </c>
      <c r="R46" s="21" t="n">
        <f aca="false">L46*Baseline!D46</f>
        <v>13797.7897195712</v>
      </c>
      <c r="S46" s="21" t="n">
        <f aca="false">IFERROR(P46/(Baseline!C46*(1+Assumptions!$D$19)),0)</f>
        <v>1837.7142191775</v>
      </c>
      <c r="T46" s="20" t="n">
        <f aca="false">Q46/(1-N46)*(1-Assumptions!$D$23)</f>
        <v>167091.623362552</v>
      </c>
      <c r="U46" s="20" t="n">
        <f aca="false">P46/(1-N46)*(1-Assumptions!$D$23)*Assumptions!$D$24</f>
        <v>2883.38816768309</v>
      </c>
      <c r="V46" s="49" t="n">
        <f aca="false">Q46-T46-U46</f>
        <v>235814.537759079</v>
      </c>
      <c r="W46" s="20" t="n">
        <f aca="false">T46*Assumptions!$D$25+L46*(Assumptions!$D$27-Assumptions!$D$28+Assumptions!$D$29+Assumptions!$D$36*Assumptions!$D$37)+R46*Assumptions!$D$30+S46*(Assumptions!$D$31+Assumptions!$D$32)+M46*(Assumptions!$D$33+Assumptions!$D$38)+IFERROR(M46*J46/K46,0)*Assumptions!$D$35*Assumptions!$D$34</f>
        <v>66003.0794699825</v>
      </c>
      <c r="X46" s="49" t="n">
        <f aca="false">V46-W46</f>
        <v>169811.458289097</v>
      </c>
      <c r="Y46" s="49" t="n">
        <f aca="false">C46+E46+G46</f>
        <v>57839.8046977596</v>
      </c>
      <c r="Z46" s="49" t="n">
        <f aca="false">X46-Y46</f>
        <v>111971.653591337</v>
      </c>
      <c r="AA46" s="20" t="n">
        <f aca="false">'Fixed Costs'!$G$31/52</f>
        <v>25332.6923076923</v>
      </c>
      <c r="AB46" s="49" t="n">
        <f aca="false">Z46-AA46</f>
        <v>86638.9612836447</v>
      </c>
      <c r="AC46" s="21" t="n">
        <f aca="false">L46*Baseline!G46</f>
        <v>2497.54582805299</v>
      </c>
    </row>
    <row r="47" customFormat="false" ht="15" hidden="false" customHeight="false" outlineLevel="0" collapsed="false">
      <c r="A47" s="13" t="n">
        <v>42</v>
      </c>
      <c r="B47" s="14" t="str">
        <f aca="false">Calendar!D47</f>
        <v>P10</v>
      </c>
      <c r="C47" s="20" t="n">
        <f aca="false">IF('Media Plan'!D47&lt;&gt;"",'Media Plan'!D47,Assumptions!$D$10*Baseline!T47)</f>
        <v>34711.0376421915</v>
      </c>
      <c r="D47" s="21" t="n">
        <f aca="false">IFERROR(C47/(Baseline!H47*(1+Assumptions!$D$13)*IFERROR(MAX(0,C47)/'History Y-1'!P47,1)^Assumptions!$D$14),0)</f>
        <v>72848.2895201484</v>
      </c>
      <c r="E47" s="20" t="n">
        <f aca="false">IF('Media Plan'!J47&lt;&gt;"",'Media Plan'!J47,Assumptions!$D$11*Baseline!U47)</f>
        <v>18584.7866663944</v>
      </c>
      <c r="F47" s="21" t="n">
        <f aca="false">IFERROR(E47/(Baseline!I47*(1+Assumptions!$D$13)*IFERROR(MAX(0,E47)/'History Y-1'!Q47,1)^Assumptions!$D$15),0)</f>
        <v>50089.6369797859</v>
      </c>
      <c r="G47" s="20" t="n">
        <f aca="false">IF('Media Plan'!P47&lt;&gt;"",'Media Plan'!P47,Assumptions!$D$12*Baseline!V47)</f>
        <v>3877.87886680719</v>
      </c>
      <c r="H47" s="21" t="n">
        <f aca="false">IFERROR(G47/(Baseline!J47*(1+Assumptions!$D$13)*IFERROR(MAX(0,G47)/'History Y-1'!R47,1)^Assumptions!$D$16),0)</f>
        <v>15873.9596207131</v>
      </c>
      <c r="I47" s="21" t="n">
        <f aca="false">'History Y-1'!$F$58*(1+Assumptions!$D$6)*Baseline!Q47+'History Y-1'!$G$58*(1+Assumptions!$D$7)*Baseline!R47+J47</f>
        <v>181459.949118639</v>
      </c>
      <c r="J47" s="21" t="n">
        <f aca="false">'History Y-1'!$H$58*(1+Assumptions!$D$8)*Baseline!S47</f>
        <v>21417.2125820691</v>
      </c>
      <c r="K47" s="55" t="n">
        <f aca="false">D47+F47+H47+I47</f>
        <v>320271.835239286</v>
      </c>
      <c r="L47" s="21" t="n">
        <f aca="false">K47*Baseline!B47*(1+Assumptions!$D$18)*(1+Calendar!G47)</f>
        <v>6928.94225174495</v>
      </c>
      <c r="M47" s="20" t="n">
        <f aca="false">L47*Baseline!C47*(1+Assumptions!$D$19)</f>
        <v>536204.184202928</v>
      </c>
      <c r="N47" s="31" t="n">
        <f aca="false">MAX(0,MIN(0.9,Baseline!E47+Assumptions!$D$20))</f>
        <v>0.0794432081424889</v>
      </c>
      <c r="O47" s="31" t="n">
        <f aca="false">MAX(0,Baseline!F47+Assumptions!$D$21)</f>
        <v>0.260198695138602</v>
      </c>
      <c r="P47" s="49" t="n">
        <f aca="false">M47*O47</f>
        <v>139519.629057461</v>
      </c>
      <c r="Q47" s="49" t="n">
        <f aca="false">M47-P47</f>
        <v>396684.555145468</v>
      </c>
      <c r="R47" s="21" t="n">
        <f aca="false">L47*Baseline!D47</f>
        <v>13406.6757735577</v>
      </c>
      <c r="S47" s="21" t="n">
        <f aca="false">IFERROR(P47/(Baseline!C47*(1+Assumptions!$D$19)),0)</f>
        <v>1802.90173259476</v>
      </c>
      <c r="T47" s="20" t="n">
        <f aca="false">Q47/(1-N47)*(1-Assumptions!$D$23)</f>
        <v>163748.866217273</v>
      </c>
      <c r="U47" s="20" t="n">
        <f aca="false">P47/(1-N47)*(1-Assumptions!$D$23)*Assumptions!$D$24</f>
        <v>2879.64086033496</v>
      </c>
      <c r="V47" s="49" t="n">
        <f aca="false">Q47-T47-U47</f>
        <v>230056.04806786</v>
      </c>
      <c r="W47" s="20" t="n">
        <f aca="false">T47*Assumptions!$D$25+L47*(Assumptions!$D$27-Assumptions!$D$28+Assumptions!$D$29+Assumptions!$D$36*Assumptions!$D$37)+R47*Assumptions!$D$30+S47*(Assumptions!$D$31+Assumptions!$D$32)+M47*(Assumptions!$D$33+Assumptions!$D$38)+IFERROR(M47*J47/K47,0)*Assumptions!$D$35*Assumptions!$D$34</f>
        <v>64361.5252755256</v>
      </c>
      <c r="X47" s="49" t="n">
        <f aca="false">V47-W47</f>
        <v>165694.522792334</v>
      </c>
      <c r="Y47" s="49" t="n">
        <f aca="false">C47+E47+G47</f>
        <v>57173.7031753931</v>
      </c>
      <c r="Z47" s="49" t="n">
        <f aca="false">X47-Y47</f>
        <v>108520.819616941</v>
      </c>
      <c r="AA47" s="20" t="n">
        <f aca="false">'Fixed Costs'!$G$31/52</f>
        <v>25332.6923076923</v>
      </c>
      <c r="AB47" s="49" t="n">
        <f aca="false">Z47-AA47</f>
        <v>83188.1273092485</v>
      </c>
      <c r="AC47" s="21" t="n">
        <f aca="false">L47*Baseline!G47</f>
        <v>2421.00189248394</v>
      </c>
    </row>
    <row r="48" customFormat="false" ht="15" hidden="false" customHeight="false" outlineLevel="0" collapsed="false">
      <c r="A48" s="13" t="n">
        <v>43</v>
      </c>
      <c r="B48" s="14" t="str">
        <f aca="false">Calendar!D48</f>
        <v>P10</v>
      </c>
      <c r="C48" s="20" t="n">
        <f aca="false">IF('Media Plan'!D48&lt;&gt;"",'Media Plan'!D48,Assumptions!$D$10*Baseline!T48)</f>
        <v>70367.0563392516</v>
      </c>
      <c r="D48" s="21" t="n">
        <f aca="false">IFERROR(C48/(Baseline!H48*(1+Assumptions!$D$13)*IFERROR(MAX(0,C48)/'History Y-1'!P48,1)^Assumptions!$D$14),0)</f>
        <v>153433.263835588</v>
      </c>
      <c r="E48" s="20" t="n">
        <f aca="false">IF('Media Plan'!J48&lt;&gt;"",'Media Plan'!J48,Assumptions!$D$11*Baseline!U48)</f>
        <v>35591.4202648589</v>
      </c>
      <c r="F48" s="21" t="n">
        <f aca="false">IFERROR(E48/(Baseline!I48*(1+Assumptions!$D$13)*IFERROR(MAX(0,E48)/'History Y-1'!Q48,1)^Assumptions!$D$15),0)</f>
        <v>95804.2057472665</v>
      </c>
      <c r="G48" s="20" t="n">
        <f aca="false">IF('Media Plan'!P48&lt;&gt;"",'Media Plan'!P48,Assumptions!$D$12*Baseline!V48)</f>
        <v>7029.56095460577</v>
      </c>
      <c r="H48" s="21" t="n">
        <f aca="false">IFERROR(G48/(Baseline!J48*(1+Assumptions!$D$13)*IFERROR(MAX(0,G48)/'History Y-1'!R48,1)^Assumptions!$D$16),0)</f>
        <v>29381.6811252201</v>
      </c>
      <c r="I48" s="21" t="n">
        <f aca="false">'History Y-1'!$F$58*(1+Assumptions!$D$6)*Baseline!Q48+'History Y-1'!$G$58*(1+Assumptions!$D$7)*Baseline!R48+J48</f>
        <v>396580.683742441</v>
      </c>
      <c r="J48" s="21" t="n">
        <f aca="false">'History Y-1'!$H$58*(1+Assumptions!$D$8)*Baseline!S48</f>
        <v>43187.6967743941</v>
      </c>
      <c r="K48" s="55" t="n">
        <f aca="false">D48+F48+H48+I48</f>
        <v>675199.834450516</v>
      </c>
      <c r="L48" s="21" t="n">
        <f aca="false">K48*Baseline!B48*(1+Assumptions!$D$18)*(1+Calendar!G48)</f>
        <v>20429.9434560113</v>
      </c>
      <c r="M48" s="20" t="n">
        <f aca="false">L48*Baseline!C48*(1+Assumptions!$D$19)</f>
        <v>1478030.99052297</v>
      </c>
      <c r="N48" s="31" t="n">
        <f aca="false">MAX(0,MIN(0.9,Baseline!E48+Assumptions!$D$20))</f>
        <v>0.248301186391011</v>
      </c>
      <c r="O48" s="31" t="n">
        <f aca="false">MAX(0,Baseline!F48+Assumptions!$D$21)</f>
        <v>0.275522466840211</v>
      </c>
      <c r="P48" s="49" t="n">
        <f aca="false">M48*O48</f>
        <v>407230.74457517</v>
      </c>
      <c r="Q48" s="49" t="n">
        <f aca="false">M48-P48</f>
        <v>1070800.2459478</v>
      </c>
      <c r="R48" s="21" t="n">
        <f aca="false">L48*Baseline!D48</f>
        <v>38360.172415901</v>
      </c>
      <c r="S48" s="21" t="n">
        <f aca="false">IFERROR(P48/(Baseline!C48*(1+Assumptions!$D$19)),0)</f>
        <v>5628.90841840626</v>
      </c>
      <c r="T48" s="20" t="n">
        <f aca="false">Q48/(1-N48)*(1-Assumptions!$D$23)</f>
        <v>541312.672167957</v>
      </c>
      <c r="U48" s="20" t="n">
        <f aca="false">P48/(1-N48)*(1-Assumptions!$D$23)*Assumptions!$D$24</f>
        <v>10293.1972311892</v>
      </c>
      <c r="V48" s="49" t="n">
        <f aca="false">Q48-T48-U48</f>
        <v>519194.376548656</v>
      </c>
      <c r="W48" s="20" t="n">
        <f aca="false">T48*Assumptions!$D$25+L48*(Assumptions!$D$27-Assumptions!$D$28+Assumptions!$D$29+Assumptions!$D$36*Assumptions!$D$37)+R48*Assumptions!$D$30+S48*(Assumptions!$D$31+Assumptions!$D$32)+M48*(Assumptions!$D$33+Assumptions!$D$38)+IFERROR(M48*J48/K48,0)*Assumptions!$D$35*Assumptions!$D$34</f>
        <v>189274.047692616</v>
      </c>
      <c r="X48" s="49" t="n">
        <f aca="false">V48-W48</f>
        <v>329920.328856039</v>
      </c>
      <c r="Y48" s="49" t="n">
        <f aca="false">C48+E48+G48</f>
        <v>112988.037558716</v>
      </c>
      <c r="Z48" s="49" t="n">
        <f aca="false">X48-Y48</f>
        <v>216932.291297323</v>
      </c>
      <c r="AA48" s="20" t="n">
        <f aca="false">'Fixed Costs'!$G$31/52</f>
        <v>25332.6923076923</v>
      </c>
      <c r="AB48" s="49" t="n">
        <f aca="false">Z48-AA48</f>
        <v>191599.598989631</v>
      </c>
      <c r="AC48" s="21" t="n">
        <f aca="false">L48*Baseline!G48</f>
        <v>9106.94357680206</v>
      </c>
    </row>
    <row r="49" customFormat="false" ht="15" hidden="false" customHeight="false" outlineLevel="0" collapsed="false">
      <c r="A49" s="13" t="n">
        <v>44</v>
      </c>
      <c r="B49" s="14" t="str">
        <f aca="false">Calendar!D49</f>
        <v>P11</v>
      </c>
      <c r="C49" s="20" t="n">
        <f aca="false">IF('Media Plan'!D49&lt;&gt;"",'Media Plan'!D49,Assumptions!$D$10*Baseline!T49)</f>
        <v>55998.3798651501</v>
      </c>
      <c r="D49" s="21" t="n">
        <f aca="false">IFERROR(C49/(Baseline!H49*(1+Assumptions!$D$13)*IFERROR(MAX(0,C49)/'History Y-1'!P49,1)^Assumptions!$D$14),0)</f>
        <v>118814.473973786</v>
      </c>
      <c r="E49" s="20" t="n">
        <f aca="false">IF('Media Plan'!J49&lt;&gt;"",'Media Plan'!J49,Assumptions!$D$11*Baseline!U49)</f>
        <v>27515.5658490798</v>
      </c>
      <c r="F49" s="21" t="n">
        <f aca="false">IFERROR(E49/(Baseline!I49*(1+Assumptions!$D$13)*IFERROR(MAX(0,E49)/'History Y-1'!Q49,1)^Assumptions!$D$15),0)</f>
        <v>74905.1116971589</v>
      </c>
      <c r="G49" s="20" t="n">
        <f aca="false">IF('Media Plan'!P49&lt;&gt;"",'Media Plan'!P49,Assumptions!$D$12*Baseline!V49)</f>
        <v>5600.22521754638</v>
      </c>
      <c r="H49" s="21" t="n">
        <f aca="false">IFERROR(G49/(Baseline!J49*(1+Assumptions!$D$13)*IFERROR(MAX(0,G49)/'History Y-1'!R49,1)^Assumptions!$D$16),0)</f>
        <v>23728.2256718497</v>
      </c>
      <c r="I49" s="21" t="n">
        <f aca="false">'History Y-1'!$F$58*(1+Assumptions!$D$6)*Baseline!Q49+'History Y-1'!$G$58*(1+Assumptions!$D$7)*Baseline!R49+J49</f>
        <v>315182.557022345</v>
      </c>
      <c r="J49" s="21" t="n">
        <f aca="false">'History Y-1'!$H$58*(1+Assumptions!$D$8)*Baseline!S49</f>
        <v>33550.1310888011</v>
      </c>
      <c r="K49" s="55" t="n">
        <f aca="false">D49+F49+H49+I49</f>
        <v>532630.368365139</v>
      </c>
      <c r="L49" s="21" t="n">
        <f aca="false">K49*Baseline!B49*(1+Assumptions!$D$18)*(1+Calendar!G49)</f>
        <v>14244.6841795048</v>
      </c>
      <c r="M49" s="20" t="n">
        <f aca="false">L49*Baseline!C49*(1+Assumptions!$D$19)</f>
        <v>1074594.88151845</v>
      </c>
      <c r="N49" s="31" t="n">
        <f aca="false">MAX(0,MIN(0.9,Baseline!E49+Assumptions!$D$20))</f>
        <v>0.223130144135904</v>
      </c>
      <c r="O49" s="31" t="n">
        <f aca="false">MAX(0,Baseline!F49+Assumptions!$D$21)</f>
        <v>0.286575752943282</v>
      </c>
      <c r="P49" s="49" t="n">
        <f aca="false">M49*O49</f>
        <v>307952.837280146</v>
      </c>
      <c r="Q49" s="49" t="n">
        <f aca="false">M49-P49</f>
        <v>766642.044238299</v>
      </c>
      <c r="R49" s="21" t="n">
        <f aca="false">L49*Baseline!D49</f>
        <v>26502.272639793</v>
      </c>
      <c r="S49" s="21" t="n">
        <f aca="false">IFERROR(P49/(Baseline!C49*(1+Assumptions!$D$19)),0)</f>
        <v>4082.18109418085</v>
      </c>
      <c r="T49" s="20" t="n">
        <f aca="false">Q49/(1-N49)*(1-Assumptions!$D$23)</f>
        <v>374997.143487464</v>
      </c>
      <c r="U49" s="20" t="n">
        <f aca="false">P49/(1-N49)*(1-Assumptions!$D$23)*Assumptions!$D$24</f>
        <v>7531.63977744343</v>
      </c>
      <c r="V49" s="49" t="n">
        <f aca="false">Q49-T49-U49</f>
        <v>384113.260973392</v>
      </c>
      <c r="W49" s="20" t="n">
        <f aca="false">T49*Assumptions!$D$25+L49*(Assumptions!$D$27-Assumptions!$D$28+Assumptions!$D$29+Assumptions!$D$36*Assumptions!$D$37)+R49*Assumptions!$D$30+S49*(Assumptions!$D$31+Assumptions!$D$32)+M49*(Assumptions!$D$33+Assumptions!$D$38)+IFERROR(M49*J49/K49,0)*Assumptions!$D$35*Assumptions!$D$34</f>
        <v>133326.742938867</v>
      </c>
      <c r="X49" s="49" t="n">
        <f aca="false">V49-W49</f>
        <v>250786.518034525</v>
      </c>
      <c r="Y49" s="49" t="n">
        <f aca="false">C49+E49+G49</f>
        <v>89114.1709317762</v>
      </c>
      <c r="Z49" s="49" t="n">
        <f aca="false">X49-Y49</f>
        <v>161672.347102749</v>
      </c>
      <c r="AA49" s="20" t="n">
        <f aca="false">'Fixed Costs'!$G$31/52</f>
        <v>25332.6923076923</v>
      </c>
      <c r="AB49" s="49" t="n">
        <f aca="false">Z49-AA49</f>
        <v>136339.654795057</v>
      </c>
      <c r="AC49" s="21" t="n">
        <f aca="false">L49*Baseline!G49</f>
        <v>6314.64017085456</v>
      </c>
    </row>
    <row r="50" customFormat="false" ht="15" hidden="false" customHeight="false" outlineLevel="0" collapsed="false">
      <c r="A50" s="13" t="n">
        <v>45</v>
      </c>
      <c r="B50" s="14" t="str">
        <f aca="false">Calendar!D50</f>
        <v>P11</v>
      </c>
      <c r="C50" s="20" t="n">
        <f aca="false">IF('Media Plan'!D50&lt;&gt;"",'Media Plan'!D50,Assumptions!$D$10*Baseline!T50)</f>
        <v>50141.3289259867</v>
      </c>
      <c r="D50" s="21" t="n">
        <f aca="false">IFERROR(C50/(Baseline!H50*(1+Assumptions!$D$13)*IFERROR(MAX(0,C50)/'History Y-1'!P50,1)^Assumptions!$D$14),0)</f>
        <v>104215.519275263</v>
      </c>
      <c r="E50" s="20" t="n">
        <f aca="false">IF('Media Plan'!J50&lt;&gt;"",'Media Plan'!J50,Assumptions!$D$11*Baseline!U50)</f>
        <v>24919.1919976388</v>
      </c>
      <c r="F50" s="21" t="n">
        <f aca="false">IFERROR(E50/(Baseline!I50*(1+Assumptions!$D$13)*IFERROR(MAX(0,E50)/'History Y-1'!Q50,1)^Assumptions!$D$15),0)</f>
        <v>66663.0496426033</v>
      </c>
      <c r="G50" s="20" t="n">
        <f aca="false">IF('Media Plan'!P50&lt;&gt;"",'Media Plan'!P50,Assumptions!$D$12*Baseline!V50)</f>
        <v>5354.57899800059</v>
      </c>
      <c r="H50" s="21" t="n">
        <f aca="false">IFERROR(G50/(Baseline!J50*(1+Assumptions!$D$13)*IFERROR(MAX(0,G50)/'History Y-1'!R50,1)^Assumptions!$D$16),0)</f>
        <v>22122.5834998905</v>
      </c>
      <c r="I50" s="21" t="n">
        <f aca="false">'History Y-1'!$F$58*(1+Assumptions!$D$6)*Baseline!Q50+'History Y-1'!$G$58*(1+Assumptions!$D$7)*Baseline!R50+J50</f>
        <v>246198.273621138</v>
      </c>
      <c r="J50" s="21" t="n">
        <f aca="false">'History Y-1'!$H$58*(1+Assumptions!$D$8)*Baseline!S50</f>
        <v>28820.4979933649</v>
      </c>
      <c r="K50" s="55" t="n">
        <f aca="false">D50+F50+H50+I50</f>
        <v>439199.426038895</v>
      </c>
      <c r="L50" s="21" t="n">
        <f aca="false">K50*Baseline!B50*(1+Assumptions!$D$18)*(1+Calendar!G50)</f>
        <v>10553.4008867217</v>
      </c>
      <c r="M50" s="20" t="n">
        <f aca="false">L50*Baseline!C50*(1+Assumptions!$D$19)</f>
        <v>891355.74873559</v>
      </c>
      <c r="N50" s="31" t="n">
        <f aca="false">MAX(0,MIN(0.9,Baseline!E50+Assumptions!$D$20))</f>
        <v>0.0789039231763998</v>
      </c>
      <c r="O50" s="31" t="n">
        <f aca="false">MAX(0,Baseline!F50+Assumptions!$D$21)</f>
        <v>0.272685002220714</v>
      </c>
      <c r="P50" s="49" t="n">
        <f aca="false">M50*O50</f>
        <v>243059.344323411</v>
      </c>
      <c r="Q50" s="49" t="n">
        <f aca="false">M50-P50</f>
        <v>648296.404412179</v>
      </c>
      <c r="R50" s="21" t="n">
        <f aca="false">L50*Baseline!D50</f>
        <v>19819.8760779651</v>
      </c>
      <c r="S50" s="21" t="n">
        <f aca="false">IFERROR(P50/(Baseline!C50*(1+Assumptions!$D$19)),0)</f>
        <v>2877.75414423179</v>
      </c>
      <c r="T50" s="20" t="n">
        <f aca="false">Q50/(1-N50)*(1-Assumptions!$D$23)</f>
        <v>267455.958043134</v>
      </c>
      <c r="U50" s="20" t="n">
        <f aca="false">P50/(1-N50)*(1-Assumptions!$D$23)*Assumptions!$D$24</f>
        <v>5013.73055248527</v>
      </c>
      <c r="V50" s="49" t="n">
        <f aca="false">Q50-T50-U50</f>
        <v>375826.71581656</v>
      </c>
      <c r="W50" s="20" t="n">
        <f aca="false">T50*Assumptions!$D$25+L50*(Assumptions!$D$27-Assumptions!$D$28+Assumptions!$D$29+Assumptions!$D$36*Assumptions!$D$37)+R50*Assumptions!$D$30+S50*(Assumptions!$D$31+Assumptions!$D$32)+M50*(Assumptions!$D$33+Assumptions!$D$38)+IFERROR(M50*J50/K50,0)*Assumptions!$D$35*Assumptions!$D$34</f>
        <v>100283.268344553</v>
      </c>
      <c r="X50" s="49" t="n">
        <f aca="false">V50-W50</f>
        <v>275543.447472007</v>
      </c>
      <c r="Y50" s="49" t="n">
        <f aca="false">C50+E50+G50</f>
        <v>80415.0999216261</v>
      </c>
      <c r="Z50" s="49" t="n">
        <f aca="false">X50-Y50</f>
        <v>195128.347550381</v>
      </c>
      <c r="AA50" s="20" t="n">
        <f aca="false">'Fixed Costs'!$G$31/52</f>
        <v>25332.6923076923</v>
      </c>
      <c r="AB50" s="49" t="n">
        <f aca="false">Z50-AA50</f>
        <v>169795.655242689</v>
      </c>
      <c r="AC50" s="21" t="n">
        <f aca="false">L50*Baseline!G50</f>
        <v>3773.14681555741</v>
      </c>
    </row>
    <row r="51" customFormat="false" ht="15" hidden="false" customHeight="false" outlineLevel="0" collapsed="false">
      <c r="A51" s="13" t="n">
        <v>46</v>
      </c>
      <c r="B51" s="14" t="str">
        <f aca="false">Calendar!D51</f>
        <v>P11</v>
      </c>
      <c r="C51" s="20" t="n">
        <f aca="false">IF('Media Plan'!D51&lt;&gt;"",'Media Plan'!D51,Assumptions!$D$10*Baseline!T51)</f>
        <v>45741.8037612385</v>
      </c>
      <c r="D51" s="21" t="n">
        <f aca="false">IFERROR(C51/(Baseline!H51*(1+Assumptions!$D$13)*IFERROR(MAX(0,C51)/'History Y-1'!P51,1)^Assumptions!$D$14),0)</f>
        <v>93149.3277786893</v>
      </c>
      <c r="E51" s="20" t="n">
        <f aca="false">IF('Media Plan'!J51&lt;&gt;"",'Media Plan'!J51,Assumptions!$D$11*Baseline!U51)</f>
        <v>21935.0324977582</v>
      </c>
      <c r="F51" s="21" t="n">
        <f aca="false">IFERROR(E51/(Baseline!I51*(1+Assumptions!$D$13)*IFERROR(MAX(0,E51)/'History Y-1'!Q51,1)^Assumptions!$D$15),0)</f>
        <v>59174.2280517973</v>
      </c>
      <c r="G51" s="20" t="n">
        <f aca="false">IF('Media Plan'!P51&lt;&gt;"",'Media Plan'!P51,Assumptions!$D$12*Baseline!V51)</f>
        <v>4919.76418930878</v>
      </c>
      <c r="H51" s="21" t="n">
        <f aca="false">IFERROR(G51/(Baseline!J51*(1+Assumptions!$D$13)*IFERROR(MAX(0,G51)/'History Y-1'!R51,1)^Assumptions!$D$16),0)</f>
        <v>19852.5848952892</v>
      </c>
      <c r="I51" s="21" t="n">
        <f aca="false">'History Y-1'!$F$58*(1+Assumptions!$D$6)*Baseline!Q51+'History Y-1'!$G$58*(1+Assumptions!$D$7)*Baseline!R51+J51</f>
        <v>231081.432002179</v>
      </c>
      <c r="J51" s="21" t="n">
        <f aca="false">'History Y-1'!$H$58*(1+Assumptions!$D$8)*Baseline!S51</f>
        <v>26580.8519441767</v>
      </c>
      <c r="K51" s="55" t="n">
        <f aca="false">D51+F51+H51+I51</f>
        <v>403257.572727955</v>
      </c>
      <c r="L51" s="21" t="n">
        <f aca="false">K51*Baseline!B51*(1+Assumptions!$D$18)*(1+Calendar!G51)</f>
        <v>9443.06368537741</v>
      </c>
      <c r="M51" s="20" t="n">
        <f aca="false">L51*Baseline!C51*(1+Assumptions!$D$19)</f>
        <v>802859.877003609</v>
      </c>
      <c r="N51" s="31" t="n">
        <f aca="false">MAX(0,MIN(0.9,Baseline!E51+Assumptions!$D$20))</f>
        <v>0.0759866593203023</v>
      </c>
      <c r="O51" s="31" t="n">
        <f aca="false">MAX(0,Baseline!F51+Assumptions!$D$21)</f>
        <v>0.279624781033422</v>
      </c>
      <c r="P51" s="49" t="n">
        <f aca="false">M51*O51</f>
        <v>224499.517307654</v>
      </c>
      <c r="Q51" s="49" t="n">
        <f aca="false">M51-P51</f>
        <v>578360.359695955</v>
      </c>
      <c r="R51" s="21" t="n">
        <f aca="false">L51*Baseline!D51</f>
        <v>18179.8715599725</v>
      </c>
      <c r="S51" s="21" t="n">
        <f aca="false">IFERROR(P51/(Baseline!C51*(1+Assumptions!$D$19)),0)</f>
        <v>2640.51461530831</v>
      </c>
      <c r="T51" s="20" t="n">
        <f aca="false">Q51/(1-N51)*(1-Assumptions!$D$23)</f>
        <v>237850.393504921</v>
      </c>
      <c r="U51" s="20" t="n">
        <f aca="false">P51/(1-N51)*(1-Assumptions!$D$23)*Assumptions!$D$24</f>
        <v>4616.26541637133</v>
      </c>
      <c r="V51" s="49" t="n">
        <f aca="false">Q51-T51-U51</f>
        <v>335893.700774662</v>
      </c>
      <c r="W51" s="20" t="n">
        <f aca="false">T51*Assumptions!$D$25+L51*(Assumptions!$D$27-Assumptions!$D$28+Assumptions!$D$29+Assumptions!$D$36*Assumptions!$D$37)+R51*Assumptions!$D$30+S51*(Assumptions!$D$31+Assumptions!$D$32)+M51*(Assumptions!$D$33+Assumptions!$D$38)+IFERROR(M51*J51/K51,0)*Assumptions!$D$35*Assumptions!$D$34</f>
        <v>90507.4417959481</v>
      </c>
      <c r="X51" s="49" t="n">
        <f aca="false">V51-W51</f>
        <v>245386.258978714</v>
      </c>
      <c r="Y51" s="49" t="n">
        <f aca="false">C51+E51+G51</f>
        <v>72596.6004483055</v>
      </c>
      <c r="Z51" s="49" t="n">
        <f aca="false">X51-Y51</f>
        <v>172789.658530409</v>
      </c>
      <c r="AA51" s="20" t="n">
        <f aca="false">'Fixed Costs'!$G$31/52</f>
        <v>25332.6923076923</v>
      </c>
      <c r="AB51" s="49" t="n">
        <f aca="false">Z51-AA51</f>
        <v>147456.966222717</v>
      </c>
      <c r="AC51" s="21" t="n">
        <f aca="false">L51*Baseline!G51</f>
        <v>3337.26991172949</v>
      </c>
    </row>
    <row r="52" customFormat="false" ht="15" hidden="false" customHeight="false" outlineLevel="0" collapsed="false">
      <c r="A52" s="13" t="n">
        <v>47</v>
      </c>
      <c r="B52" s="14" t="str">
        <f aca="false">Calendar!D52</f>
        <v>P11</v>
      </c>
      <c r="C52" s="20" t="n">
        <f aca="false">IF('Media Plan'!D52&lt;&gt;"",'Media Plan'!D52,Assumptions!$D$10*Baseline!T52)</f>
        <v>35146.8781104862</v>
      </c>
      <c r="D52" s="21" t="n">
        <f aca="false">IFERROR(C52/(Baseline!H52*(1+Assumptions!$D$13)*IFERROR(MAX(0,C52)/'History Y-1'!P52,1)^Assumptions!$D$14),0)</f>
        <v>70425.5683142832</v>
      </c>
      <c r="E52" s="20" t="n">
        <f aca="false">IF('Media Plan'!J52&lt;&gt;"",'Media Plan'!J52,Assumptions!$D$11*Baseline!U52)</f>
        <v>16264.4602062939</v>
      </c>
      <c r="F52" s="21" t="n">
        <f aca="false">IFERROR(E52/(Baseline!I52*(1+Assumptions!$D$13)*IFERROR(MAX(0,E52)/'History Y-1'!Q52,1)^Assumptions!$D$15),0)</f>
        <v>44517.9218944528</v>
      </c>
      <c r="G52" s="20" t="n">
        <f aca="false">IF('Media Plan'!P52&lt;&gt;"",'Media Plan'!P52,Assumptions!$D$12*Baseline!V52)</f>
        <v>3475.81291816324</v>
      </c>
      <c r="H52" s="21" t="n">
        <f aca="false">IFERROR(G52/(Baseline!J52*(1+Assumptions!$D$13)*IFERROR(MAX(0,G52)/'History Y-1'!R52,1)^Assumptions!$D$16),0)</f>
        <v>14125.6520851798</v>
      </c>
      <c r="I52" s="21" t="n">
        <f aca="false">'History Y-1'!$F$58*(1+Assumptions!$D$6)*Baseline!Q52+'History Y-1'!$G$58*(1+Assumptions!$D$7)*Baseline!R52+J52</f>
        <v>167253.76983806</v>
      </c>
      <c r="J52" s="21" t="n">
        <f aca="false">'History Y-1'!$H$58*(1+Assumptions!$D$8)*Baseline!S52</f>
        <v>19925.7304717542</v>
      </c>
      <c r="K52" s="55" t="n">
        <f aca="false">D52+F52+H52+I52</f>
        <v>296322.912131976</v>
      </c>
      <c r="L52" s="21" t="n">
        <f aca="false">K52*Baseline!B52*(1+Assumptions!$D$18)*(1+Calendar!G52)</f>
        <v>6460.95636385905</v>
      </c>
      <c r="M52" s="20" t="n">
        <f aca="false">L52*Baseline!C52*(1+Assumptions!$D$19)</f>
        <v>502568.789161687</v>
      </c>
      <c r="N52" s="31" t="n">
        <f aca="false">MAX(0,MIN(0.9,Baseline!E52+Assumptions!$D$20))</f>
        <v>0.0811083648713877</v>
      </c>
      <c r="O52" s="31" t="n">
        <f aca="false">MAX(0,Baseline!F52+Assumptions!$D$21)</f>
        <v>0.262480139495037</v>
      </c>
      <c r="P52" s="49" t="n">
        <f aca="false">M52*O52</f>
        <v>131914.325885011</v>
      </c>
      <c r="Q52" s="49" t="n">
        <f aca="false">M52-P52</f>
        <v>370654.463276675</v>
      </c>
      <c r="R52" s="21" t="n">
        <f aca="false">L52*Baseline!D52</f>
        <v>12498.1464956837</v>
      </c>
      <c r="S52" s="21" t="n">
        <f aca="false">IFERROR(P52/(Baseline!C52*(1+Assumptions!$D$19)),0)</f>
        <v>1695.87272765707</v>
      </c>
      <c r="T52" s="20" t="n">
        <f aca="false">Q52/(1-N52)*(1-Assumptions!$D$23)</f>
        <v>153281.07326325</v>
      </c>
      <c r="U52" s="20" t="n">
        <f aca="false">P52/(1-N52)*(1-Assumptions!$D$23)*Assumptions!$D$24</f>
        <v>2727.60366510945</v>
      </c>
      <c r="V52" s="49" t="n">
        <f aca="false">Q52-T52-U52</f>
        <v>214645.786348316</v>
      </c>
      <c r="W52" s="20" t="n">
        <f aca="false">T52*Assumptions!$D$25+L52*(Assumptions!$D$27-Assumptions!$D$28+Assumptions!$D$29+Assumptions!$D$36*Assumptions!$D$37)+R52*Assumptions!$D$30+S52*(Assumptions!$D$31+Assumptions!$D$32)+M52*(Assumptions!$D$33+Assumptions!$D$38)+IFERROR(M52*J52/K52,0)*Assumptions!$D$35*Assumptions!$D$34</f>
        <v>60171.3725493588</v>
      </c>
      <c r="X52" s="49" t="n">
        <f aca="false">V52-W52</f>
        <v>154474.413798957</v>
      </c>
      <c r="Y52" s="49" t="n">
        <f aca="false">C52+E52+G52</f>
        <v>54887.1512349433</v>
      </c>
      <c r="Z52" s="49" t="n">
        <f aca="false">X52-Y52</f>
        <v>99587.2625640136</v>
      </c>
      <c r="AA52" s="20" t="n">
        <f aca="false">'Fixed Costs'!$G$31/52</f>
        <v>25332.6923076923</v>
      </c>
      <c r="AB52" s="49" t="n">
        <f aca="false">Z52-AA52</f>
        <v>74254.5702563213</v>
      </c>
      <c r="AC52" s="21" t="n">
        <f aca="false">L52*Baseline!G52</f>
        <v>2249.28300496716</v>
      </c>
    </row>
    <row r="53" customFormat="false" ht="15" hidden="false" customHeight="false" outlineLevel="0" collapsed="false">
      <c r="A53" s="13" t="n">
        <v>48</v>
      </c>
      <c r="B53" s="14" t="str">
        <f aca="false">Calendar!D53</f>
        <v>P12</v>
      </c>
      <c r="C53" s="20" t="n">
        <f aca="false">IF('Media Plan'!D53&lt;&gt;"",'Media Plan'!D53,Assumptions!$D$10*Baseline!T53)</f>
        <v>55587.0226107334</v>
      </c>
      <c r="D53" s="21" t="n">
        <f aca="false">IFERROR(C53/(Baseline!H53*(1+Assumptions!$D$13)*IFERROR(MAX(0,C53)/'History Y-1'!P53,1)^Assumptions!$D$14),0)</f>
        <v>115811.868242207</v>
      </c>
      <c r="E53" s="20" t="n">
        <f aca="false">IF('Media Plan'!J53&lt;&gt;"",'Media Plan'!J53,Assumptions!$D$11*Baseline!U53)</f>
        <v>28266.8210219304</v>
      </c>
      <c r="F53" s="21" t="n">
        <f aca="false">IFERROR(E53/(Baseline!I53*(1+Assumptions!$D$13)*IFERROR(MAX(0,E53)/'History Y-1'!Q53,1)^Assumptions!$D$15),0)</f>
        <v>73659.2943591121</v>
      </c>
      <c r="G53" s="20" t="n">
        <f aca="false">IF('Media Plan'!P53&lt;&gt;"",'Media Plan'!P53,Assumptions!$D$12*Baseline!V53)</f>
        <v>5887.67292578874</v>
      </c>
      <c r="H53" s="21" t="n">
        <f aca="false">IFERROR(G53/(Baseline!J53*(1+Assumptions!$D$13)*IFERROR(MAX(0,G53)/'History Y-1'!R53,1)^Assumptions!$D$16),0)</f>
        <v>24229.1602427651</v>
      </c>
      <c r="I53" s="21" t="n">
        <f aca="false">'History Y-1'!$F$58*(1+Assumptions!$D$6)*Baseline!Q53+'History Y-1'!$G$58*(1+Assumptions!$D$7)*Baseline!R53+J53</f>
        <v>318263.077512041</v>
      </c>
      <c r="J53" s="21" t="n">
        <f aca="false">'History Y-1'!$H$58*(1+Assumptions!$D$8)*Baseline!S53</f>
        <v>32794.9137039735</v>
      </c>
      <c r="K53" s="55" t="n">
        <f aca="false">D53+F53+H53+I53</f>
        <v>531963.400356126</v>
      </c>
      <c r="L53" s="21" t="n">
        <f aca="false">K53*Baseline!B53*(1+Assumptions!$D$18)*(1+Calendar!G53)</f>
        <v>14893.2299615061</v>
      </c>
      <c r="M53" s="20" t="n">
        <f aca="false">L53*Baseline!C53*(1+Assumptions!$D$19)</f>
        <v>1015087.63219605</v>
      </c>
      <c r="N53" s="31" t="n">
        <f aca="false">MAX(0,MIN(0.9,Baseline!E53+Assumptions!$D$20))</f>
        <v>0.32955226829625</v>
      </c>
      <c r="O53" s="31" t="n">
        <f aca="false">MAX(0,Baseline!F53+Assumptions!$D$21)</f>
        <v>0.242630062021765</v>
      </c>
      <c r="P53" s="49" t="n">
        <f aca="false">M53*O53</f>
        <v>246290.775157254</v>
      </c>
      <c r="Q53" s="49" t="n">
        <f aca="false">M53-P53</f>
        <v>768796.857038796</v>
      </c>
      <c r="R53" s="21" t="n">
        <f aca="false">L53*Baseline!D53</f>
        <v>27836.4688362612</v>
      </c>
      <c r="S53" s="21" t="n">
        <f aca="false">IFERROR(P53/(Baseline!C53*(1+Assumptions!$D$19)),0)</f>
        <v>3613.54530926463</v>
      </c>
      <c r="T53" s="20" t="n">
        <f aca="false">Q53/(1-N53)*(1-Assumptions!$D$23)</f>
        <v>435742.850426752</v>
      </c>
      <c r="U53" s="20" t="n">
        <f aca="false">P53/(1-N53)*(1-Assumptions!$D$23)*Assumptions!$D$24</f>
        <v>6979.70103664333</v>
      </c>
      <c r="V53" s="49" t="n">
        <f aca="false">Q53-T53-U53</f>
        <v>326074.305575401</v>
      </c>
      <c r="W53" s="20" t="n">
        <f aca="false">T53*Assumptions!$D$25+L53*(Assumptions!$D$27-Assumptions!$D$28+Assumptions!$D$29+Assumptions!$D$36*Assumptions!$D$37)+R53*Assumptions!$D$30+S53*(Assumptions!$D$31+Assumptions!$D$32)+M53*(Assumptions!$D$33+Assumptions!$D$38)+IFERROR(M53*J53/K53,0)*Assumptions!$D$35*Assumptions!$D$34</f>
        <v>135252.064997024</v>
      </c>
      <c r="X53" s="49" t="n">
        <f aca="false">V53-W53</f>
        <v>190822.240578377</v>
      </c>
      <c r="Y53" s="49" t="n">
        <f aca="false">C53+E53+G53</f>
        <v>89741.5165584526</v>
      </c>
      <c r="Z53" s="49" t="n">
        <f aca="false">X53-Y53</f>
        <v>101080.724019924</v>
      </c>
      <c r="AA53" s="20" t="n">
        <f aca="false">'Fixed Costs'!$G$31/52</f>
        <v>25332.6923076923</v>
      </c>
      <c r="AB53" s="49" t="n">
        <f aca="false">Z53-AA53</f>
        <v>75748.0317122319</v>
      </c>
      <c r="AC53" s="21" t="n">
        <f aca="false">L53*Baseline!G53</f>
        <v>6550.62215684675</v>
      </c>
    </row>
    <row r="54" customFormat="false" ht="15" hidden="false" customHeight="false" outlineLevel="0" collapsed="false">
      <c r="A54" s="13" t="n">
        <v>49</v>
      </c>
      <c r="B54" s="14" t="str">
        <f aca="false">Calendar!D54</f>
        <v>P12</v>
      </c>
      <c r="C54" s="20" t="n">
        <f aca="false">IF('Media Plan'!D54&lt;&gt;"",'Media Plan'!D54,Assumptions!$D$10*Baseline!T54)</f>
        <v>44874.6021357982</v>
      </c>
      <c r="D54" s="21" t="n">
        <f aca="false">IFERROR(C54/(Baseline!H54*(1+Assumptions!$D$13)*IFERROR(MAX(0,C54)/'History Y-1'!P54,1)^Assumptions!$D$14),0)</f>
        <v>94592.2422299218</v>
      </c>
      <c r="E54" s="20" t="n">
        <f aca="false">IF('Media Plan'!J54&lt;&gt;"",'Media Plan'!J54,Assumptions!$D$11*Baseline!U54)</f>
        <v>23779.6609845094</v>
      </c>
      <c r="F54" s="21" t="n">
        <f aca="false">IFERROR(E54/(Baseline!I54*(1+Assumptions!$D$13)*IFERROR(MAX(0,E54)/'History Y-1'!Q54,1)^Assumptions!$D$15),0)</f>
        <v>64126.4980872441</v>
      </c>
      <c r="G54" s="20" t="n">
        <f aca="false">IF('Media Plan'!P54&lt;&gt;"",'Media Plan'!P54,Assumptions!$D$12*Baseline!V54)</f>
        <v>4758.0795458981</v>
      </c>
      <c r="H54" s="21" t="n">
        <f aca="false">IFERROR(G54/(Baseline!J54*(1+Assumptions!$D$13)*IFERROR(MAX(0,G54)/'History Y-1'!R54,1)^Assumptions!$D$16),0)</f>
        <v>19163.4119594842</v>
      </c>
      <c r="I54" s="21" t="n">
        <f aca="false">'History Y-1'!$F$58*(1+Assumptions!$D$6)*Baseline!Q54+'History Y-1'!$G$58*(1+Assumptions!$D$7)*Baseline!R54+J54</f>
        <v>269588.629451614</v>
      </c>
      <c r="J54" s="21" t="n">
        <f aca="false">'History Y-1'!$H$58*(1+Assumptions!$D$8)*Baseline!S54</f>
        <v>27111.0892359816</v>
      </c>
      <c r="K54" s="55" t="n">
        <f aca="false">D54+F54+H54+I54</f>
        <v>447470.781728264</v>
      </c>
      <c r="L54" s="21" t="n">
        <f aca="false">K54*Baseline!B54*(1+Assumptions!$D$18)*(1+Calendar!G54)</f>
        <v>11541.0279764229</v>
      </c>
      <c r="M54" s="20" t="n">
        <f aca="false">L54*Baseline!C54*(1+Assumptions!$D$19)</f>
        <v>779540.396007157</v>
      </c>
      <c r="N54" s="31" t="n">
        <f aca="false">MAX(0,MIN(0.9,Baseline!E54+Assumptions!$D$20))</f>
        <v>0.315418319657578</v>
      </c>
      <c r="O54" s="31" t="n">
        <f aca="false">MAX(0,Baseline!F54+Assumptions!$D$21)</f>
        <v>0.235779204030486</v>
      </c>
      <c r="P54" s="49" t="n">
        <f aca="false">M54*O54</f>
        <v>183799.414080177</v>
      </c>
      <c r="Q54" s="49" t="n">
        <f aca="false">M54-P54</f>
        <v>595740.98192698</v>
      </c>
      <c r="R54" s="21" t="n">
        <f aca="false">L54*Baseline!D54</f>
        <v>21936.0713531787</v>
      </c>
      <c r="S54" s="21" t="n">
        <f aca="false">IFERROR(P54/(Baseline!C54*(1+Assumptions!$D$19)),0)</f>
        <v>2721.13438997456</v>
      </c>
      <c r="T54" s="20" t="n">
        <f aca="false">Q54/(1-N54)*(1-Assumptions!$D$23)</f>
        <v>330685.993553053</v>
      </c>
      <c r="U54" s="20" t="n">
        <f aca="false">P54/(1-N54)*(1-Assumptions!$D$23)*Assumptions!$D$24</f>
        <v>5101.20116824716</v>
      </c>
      <c r="V54" s="49" t="n">
        <f aca="false">Q54-T54-U54</f>
        <v>259953.78720568</v>
      </c>
      <c r="W54" s="20" t="n">
        <f aca="false">T54*Assumptions!$D$25+L54*(Assumptions!$D$27-Assumptions!$D$28+Assumptions!$D$29+Assumptions!$D$36*Assumptions!$D$37)+R54*Assumptions!$D$30+S54*(Assumptions!$D$31+Assumptions!$D$32)+M54*(Assumptions!$D$33+Assumptions!$D$38)+IFERROR(M54*J54/K54,0)*Assumptions!$D$35*Assumptions!$D$34</f>
        <v>104321.722430905</v>
      </c>
      <c r="X54" s="49" t="n">
        <f aca="false">V54-W54</f>
        <v>155632.064774775</v>
      </c>
      <c r="Y54" s="49" t="n">
        <f aca="false">C54+E54+G54</f>
        <v>73412.3426662056</v>
      </c>
      <c r="Z54" s="49" t="n">
        <f aca="false">X54-Y54</f>
        <v>82219.7221085695</v>
      </c>
      <c r="AA54" s="20" t="n">
        <f aca="false">'Fixed Costs'!$G$31/52</f>
        <v>25332.6923076923</v>
      </c>
      <c r="AB54" s="49" t="n">
        <f aca="false">Z54-AA54</f>
        <v>56887.0298008772</v>
      </c>
      <c r="AC54" s="21" t="n">
        <f aca="false">L54*Baseline!G54</f>
        <v>5321.16667777634</v>
      </c>
    </row>
    <row r="55" customFormat="false" ht="15" hidden="false" customHeight="false" outlineLevel="0" collapsed="false">
      <c r="A55" s="13" t="n">
        <v>50</v>
      </c>
      <c r="B55" s="14" t="str">
        <f aca="false">Calendar!D55</f>
        <v>P12</v>
      </c>
      <c r="C55" s="20" t="n">
        <f aca="false">IF('Media Plan'!D55&lt;&gt;"",'Media Plan'!D55,Assumptions!$D$10*Baseline!T55)</f>
        <v>38762.7750228916</v>
      </c>
      <c r="D55" s="21" t="n">
        <f aca="false">IFERROR(C55/(Baseline!H55*(1+Assumptions!$D$13)*IFERROR(MAX(0,C55)/'History Y-1'!P55,1)^Assumptions!$D$14),0)</f>
        <v>81819.0981733454</v>
      </c>
      <c r="E55" s="20" t="n">
        <f aca="false">IF('Media Plan'!J55&lt;&gt;"",'Media Plan'!J55,Assumptions!$D$11*Baseline!U55)</f>
        <v>19563.5976470906</v>
      </c>
      <c r="F55" s="21" t="n">
        <f aca="false">IFERROR(E55/(Baseline!I55*(1+Assumptions!$D$13)*IFERROR(MAX(0,E55)/'History Y-1'!Q55,1)^Assumptions!$D$15),0)</f>
        <v>54262.5883820828</v>
      </c>
      <c r="G55" s="20" t="n">
        <f aca="false">IF('Media Plan'!P55&lt;&gt;"",'Media Plan'!P55,Assumptions!$D$12*Baseline!V55)</f>
        <v>4148.04228733217</v>
      </c>
      <c r="H55" s="21" t="n">
        <f aca="false">IFERROR(G55/(Baseline!J55*(1+Assumptions!$D$13)*IFERROR(MAX(0,G55)/'History Y-1'!R55,1)^Assumptions!$D$16),0)</f>
        <v>16668.1134053981</v>
      </c>
      <c r="I55" s="21" t="n">
        <f aca="false">'History Y-1'!$F$58*(1+Assumptions!$D$6)*Baseline!Q55+'History Y-1'!$G$58*(1+Assumptions!$D$7)*Baseline!R55+J55</f>
        <v>203229.987557476</v>
      </c>
      <c r="J55" s="21" t="n">
        <f aca="false">'History Y-1'!$H$58*(1+Assumptions!$D$8)*Baseline!S55</f>
        <v>24084.2156310887</v>
      </c>
      <c r="K55" s="55" t="n">
        <f aca="false">D55+F55+H55+I55</f>
        <v>355979.787518302</v>
      </c>
      <c r="L55" s="21" t="n">
        <f aca="false">K55*Baseline!B55*(1+Assumptions!$D$18)*(1+Calendar!G55)</f>
        <v>8400.02928783847</v>
      </c>
      <c r="M55" s="20" t="n">
        <f aca="false">L55*Baseline!C55*(1+Assumptions!$D$19)</f>
        <v>579216.501553958</v>
      </c>
      <c r="N55" s="31" t="n">
        <f aca="false">MAX(0,MIN(0.9,Baseline!E55+Assumptions!$D$20))</f>
        <v>0.282384646337648</v>
      </c>
      <c r="O55" s="31" t="n">
        <f aca="false">MAX(0,Baseline!F55+Assumptions!$D$21)</f>
        <v>0.245082040930921</v>
      </c>
      <c r="P55" s="49" t="n">
        <f aca="false">M55*O55</f>
        <v>141955.562341712</v>
      </c>
      <c r="Q55" s="49" t="n">
        <f aca="false">M55-P55</f>
        <v>437260.939212246</v>
      </c>
      <c r="R55" s="21" t="n">
        <f aca="false">L55*Baseline!D55</f>
        <v>15827.3061248531</v>
      </c>
      <c r="S55" s="21" t="n">
        <f aca="false">IFERROR(P55/(Baseline!C55*(1+Assumptions!$D$19)),0)</f>
        <v>2058.69632174297</v>
      </c>
      <c r="T55" s="20" t="n">
        <f aca="false">Q55/(1-N55)*(1-Assumptions!$D$23)</f>
        <v>231543.480853161</v>
      </c>
      <c r="U55" s="20" t="n">
        <f aca="false">P55/(1-N55)*(1-Assumptions!$D$23)*Assumptions!$D$24</f>
        <v>3758.49773939143</v>
      </c>
      <c r="V55" s="49" t="n">
        <f aca="false">Q55-T55-U55</f>
        <v>201958.960619693</v>
      </c>
      <c r="W55" s="20" t="n">
        <f aca="false">T55*Assumptions!$D$25+L55*(Assumptions!$D$27-Assumptions!$D$28+Assumptions!$D$29+Assumptions!$D$36*Assumptions!$D$37)+R55*Assumptions!$D$30+S55*(Assumptions!$D$31+Assumptions!$D$32)+M55*(Assumptions!$D$33+Assumptions!$D$38)+IFERROR(M55*J55/K55,0)*Assumptions!$D$35*Assumptions!$D$34</f>
        <v>76488.9266263952</v>
      </c>
      <c r="X55" s="49" t="n">
        <f aca="false">V55-W55</f>
        <v>125470.033993298</v>
      </c>
      <c r="Y55" s="49" t="n">
        <f aca="false">C55+E55+G55</f>
        <v>62474.4149573144</v>
      </c>
      <c r="Z55" s="49" t="n">
        <f aca="false">X55-Y55</f>
        <v>62995.6190359836</v>
      </c>
      <c r="AA55" s="20" t="n">
        <f aca="false">'Fixed Costs'!$G$31/52</f>
        <v>25332.6923076923</v>
      </c>
      <c r="AB55" s="49" t="n">
        <f aca="false">Z55-AA55</f>
        <v>37662.9267282913</v>
      </c>
      <c r="AC55" s="21" t="n">
        <f aca="false">L55*Baseline!G55</f>
        <v>3695.98943065243</v>
      </c>
    </row>
    <row r="56" customFormat="false" ht="15" hidden="false" customHeight="false" outlineLevel="0" collapsed="false">
      <c r="A56" s="13" t="n">
        <v>51</v>
      </c>
      <c r="B56" s="14" t="str">
        <f aca="false">Calendar!D56</f>
        <v>P12</v>
      </c>
      <c r="C56" s="20" t="n">
        <f aca="false">IF('Media Plan'!D56&lt;&gt;"",'Media Plan'!D56,Assumptions!$D$10*Baseline!T56)</f>
        <v>32535.3669107572</v>
      </c>
      <c r="D56" s="21" t="n">
        <f aca="false">IFERROR(C56/(Baseline!H56*(1+Assumptions!$D$13)*IFERROR(MAX(0,C56)/'History Y-1'!P56,1)^Assumptions!$D$14),0)</f>
        <v>67883.0281252751</v>
      </c>
      <c r="E56" s="20" t="n">
        <f aca="false">IF('Media Plan'!J56&lt;&gt;"",'Media Plan'!J56,Assumptions!$D$11*Baseline!U56)</f>
        <v>15095.7652449029</v>
      </c>
      <c r="F56" s="21" t="n">
        <f aca="false">IFERROR(E56/(Baseline!I56*(1+Assumptions!$D$13)*IFERROR(MAX(0,E56)/'History Y-1'!Q56,1)^Assumptions!$D$15),0)</f>
        <v>41739.3841702405</v>
      </c>
      <c r="G56" s="20" t="n">
        <f aca="false">IF('Media Plan'!P56&lt;&gt;"",'Media Plan'!P56,Assumptions!$D$12*Baseline!V56)</f>
        <v>3312.5647020816</v>
      </c>
      <c r="H56" s="21" t="n">
        <f aca="false">IFERROR(G56/(Baseline!J56*(1+Assumptions!$D$13)*IFERROR(MAX(0,G56)/'History Y-1'!R56,1)^Assumptions!$D$16),0)</f>
        <v>13182.6671219156</v>
      </c>
      <c r="I56" s="21" t="n">
        <f aca="false">'History Y-1'!$F$58*(1+Assumptions!$D$6)*Baseline!Q56+'History Y-1'!$G$58*(1+Assumptions!$D$7)*Baseline!R56+J56</f>
        <v>158176.317195917</v>
      </c>
      <c r="J56" s="21" t="n">
        <f aca="false">'History Y-1'!$H$58*(1+Assumptions!$D$8)*Baseline!S56</f>
        <v>18706.2285733882</v>
      </c>
      <c r="K56" s="55" t="n">
        <f aca="false">D56+F56+H56+I56</f>
        <v>280981.396613349</v>
      </c>
      <c r="L56" s="21" t="n">
        <f aca="false">K56*Baseline!B56*(1+Assumptions!$D$18)*(1+Calendar!G56)</f>
        <v>6197.08002478299</v>
      </c>
      <c r="M56" s="20" t="n">
        <f aca="false">L56*Baseline!C56*(1+Assumptions!$D$19)</f>
        <v>475269.457711671</v>
      </c>
      <c r="N56" s="31" t="n">
        <f aca="false">MAX(0,MIN(0.9,Baseline!E56+Assumptions!$D$20))</f>
        <v>0.126406503925247</v>
      </c>
      <c r="O56" s="31" t="n">
        <f aca="false">MAX(0,Baseline!F56+Assumptions!$D$21)</f>
        <v>0.260301910154981</v>
      </c>
      <c r="P56" s="49" t="n">
        <f aca="false">M56*O56</f>
        <v>123713.54768067</v>
      </c>
      <c r="Q56" s="49" t="n">
        <f aca="false">M56-P56</f>
        <v>351555.910031001</v>
      </c>
      <c r="R56" s="21" t="n">
        <f aca="false">L56*Baseline!D56</f>
        <v>11924.3204925259</v>
      </c>
      <c r="S56" s="21" t="n">
        <f aca="false">IFERROR(P56/(Baseline!C56*(1+Assumptions!$D$19)),0)</f>
        <v>1613.11176783429</v>
      </c>
      <c r="T56" s="20" t="n">
        <f aca="false">Q56/(1-N56)*(1-Assumptions!$D$23)</f>
        <v>152921.520606593</v>
      </c>
      <c r="U56" s="20" t="n">
        <f aca="false">P56/(1-N56)*(1-Assumptions!$D$23)*Assumptions!$D$24</f>
        <v>2690.67640326341</v>
      </c>
      <c r="V56" s="49" t="n">
        <f aca="false">Q56-T56-U56</f>
        <v>195943.713021145</v>
      </c>
      <c r="W56" s="20" t="n">
        <f aca="false">T56*Assumptions!$D$25+L56*(Assumptions!$D$27-Assumptions!$D$28+Assumptions!$D$29+Assumptions!$D$36*Assumptions!$D$37)+R56*Assumptions!$D$30+S56*(Assumptions!$D$31+Assumptions!$D$32)+M56*(Assumptions!$D$33+Assumptions!$D$38)+IFERROR(M56*J56/K56,0)*Assumptions!$D$35*Assumptions!$D$34</f>
        <v>57594.5259074629</v>
      </c>
      <c r="X56" s="49" t="n">
        <f aca="false">V56-W56</f>
        <v>138349.187113683</v>
      </c>
      <c r="Y56" s="49" t="n">
        <f aca="false">C56+E56+G56</f>
        <v>50943.6968577416</v>
      </c>
      <c r="Z56" s="49" t="n">
        <f aca="false">X56-Y56</f>
        <v>87405.4902559409</v>
      </c>
      <c r="AA56" s="20" t="n">
        <f aca="false">'Fixed Costs'!$G$31/52</f>
        <v>25332.6923076923</v>
      </c>
      <c r="AB56" s="49" t="n">
        <f aca="false">Z56-AA56</f>
        <v>62072.7979482486</v>
      </c>
      <c r="AC56" s="21" t="n">
        <f aca="false">L56*Baseline!G56</f>
        <v>2199.61091873299</v>
      </c>
    </row>
    <row r="57" customFormat="false" ht="15" hidden="false" customHeight="false" outlineLevel="0" collapsed="false">
      <c r="A57" s="13" t="n">
        <v>52</v>
      </c>
      <c r="B57" s="14" t="str">
        <f aca="false">Calendar!D57</f>
        <v>P12</v>
      </c>
      <c r="C57" s="20" t="n">
        <f aca="false">IF('Media Plan'!D57&lt;&gt;"",'Media Plan'!D57,Assumptions!$D$10*Baseline!T57)</f>
        <v>28139.0966262004</v>
      </c>
      <c r="D57" s="21" t="n">
        <f aca="false">IFERROR(C57/(Baseline!H57*(1+Assumptions!$D$13)*IFERROR(MAX(0,C57)/'History Y-1'!P57,1)^Assumptions!$D$14),0)</f>
        <v>60495.1733200745</v>
      </c>
      <c r="E57" s="20" t="n">
        <f aca="false">IF('Media Plan'!J57&lt;&gt;"",'Media Plan'!J57,Assumptions!$D$11*Baseline!U57)</f>
        <v>14098.8884886689</v>
      </c>
      <c r="F57" s="21" t="n">
        <f aca="false">IFERROR(E57/(Baseline!I57*(1+Assumptions!$D$13)*IFERROR(MAX(0,E57)/'History Y-1'!Q57,1)^Assumptions!$D$15),0)</f>
        <v>38107.5557764595</v>
      </c>
      <c r="G57" s="20" t="n">
        <f aca="false">IF('Media Plan'!P57&lt;&gt;"",'Media Plan'!P57,Assumptions!$D$12*Baseline!V57)</f>
        <v>3084.41654702221</v>
      </c>
      <c r="H57" s="21" t="n">
        <f aca="false">IFERROR(G57/(Baseline!J57*(1+Assumptions!$D$13)*IFERROR(MAX(0,G57)/'History Y-1'!R57,1)^Assumptions!$D$16),0)</f>
        <v>13037.4640790254</v>
      </c>
      <c r="I57" s="21" t="n">
        <f aca="false">'History Y-1'!$F$58*(1+Assumptions!$D$6)*Baseline!Q57+'History Y-1'!$G$58*(1+Assumptions!$D$7)*Baseline!R57+J57</f>
        <v>146358.513629823</v>
      </c>
      <c r="J57" s="21" t="n">
        <f aca="false">'History Y-1'!$H$58*(1+Assumptions!$D$8)*Baseline!S57</f>
        <v>17441.9423444807</v>
      </c>
      <c r="K57" s="55" t="n">
        <f aca="false">D57+F57+H57+I57</f>
        <v>257998.706805382</v>
      </c>
      <c r="L57" s="21" t="n">
        <f aca="false">K57*Baseline!B57*(1+Assumptions!$D$18)*(1+Calendar!G57)</f>
        <v>5712.74393726517</v>
      </c>
      <c r="M57" s="20" t="n">
        <f aca="false">L57*Baseline!C57*(1+Assumptions!$D$19)</f>
        <v>437431.030131167</v>
      </c>
      <c r="N57" s="31" t="n">
        <f aca="false">MAX(0,MIN(0.9,Baseline!E57+Assumptions!$D$20))</f>
        <v>0.076088875518101</v>
      </c>
      <c r="O57" s="31" t="n">
        <f aca="false">MAX(0,Baseline!F57+Assumptions!$D$21)</f>
        <v>0.258966830327399</v>
      </c>
      <c r="P57" s="49" t="n">
        <f aca="false">M57*O57</f>
        <v>113280.127359917</v>
      </c>
      <c r="Q57" s="49" t="n">
        <f aca="false">M57-P57</f>
        <v>324150.90277125</v>
      </c>
      <c r="R57" s="21" t="n">
        <f aca="false">L57*Baseline!D57</f>
        <v>10986.5725344269</v>
      </c>
      <c r="S57" s="21" t="n">
        <f aca="false">IFERROR(P57/(Baseline!C57*(1+Assumptions!$D$19)),0)</f>
        <v>1479.41118990562</v>
      </c>
      <c r="T57" s="20" t="n">
        <f aca="false">Q57/(1-N57)*(1-Assumptions!$D$23)</f>
        <v>133321.636453018</v>
      </c>
      <c r="U57" s="20" t="n">
        <f aca="false">P57/(1-N57)*(1-Assumptions!$D$23)*Assumptions!$D$24</f>
        <v>2329.57734007736</v>
      </c>
      <c r="V57" s="49" t="n">
        <f aca="false">Q57-T57-U57</f>
        <v>188499.688978154</v>
      </c>
      <c r="W57" s="20" t="n">
        <f aca="false">T57*Assumptions!$D$25+L57*(Assumptions!$D$27-Assumptions!$D$28+Assumptions!$D$29+Assumptions!$D$36*Assumptions!$D$37)+R57*Assumptions!$D$30+S57*(Assumptions!$D$31+Assumptions!$D$32)+M57*(Assumptions!$D$33+Assumptions!$D$38)+IFERROR(M57*J57/K57,0)*Assumptions!$D$35*Assumptions!$D$34</f>
        <v>52843.957493652</v>
      </c>
      <c r="X57" s="49" t="n">
        <f aca="false">V57-W57</f>
        <v>135655.731484502</v>
      </c>
      <c r="Y57" s="49" t="n">
        <f aca="false">C57+E57+G57</f>
        <v>45322.4016618914</v>
      </c>
      <c r="Z57" s="49" t="n">
        <f aca="false">X57-Y57</f>
        <v>90333.3298226109</v>
      </c>
      <c r="AA57" s="20" t="n">
        <f aca="false">'Fixed Costs'!$G$31/52</f>
        <v>25332.6923076923</v>
      </c>
      <c r="AB57" s="49" t="n">
        <f aca="false">Z57-AA57</f>
        <v>65000.6375149186</v>
      </c>
      <c r="AC57" s="21" t="n">
        <f aca="false">L57*Baseline!G57</f>
        <v>2082.30704883917</v>
      </c>
    </row>
    <row r="58" customFormat="false" ht="15" hidden="false" customHeight="false" outlineLevel="0" collapsed="false">
      <c r="A58" s="60" t="s">
        <v>483</v>
      </c>
      <c r="B58" s="61"/>
      <c r="C58" s="63" t="n">
        <f aca="false">SUM(C6:C57)</f>
        <v>1900000</v>
      </c>
      <c r="D58" s="62" t="n">
        <f aca="false">SUM(D6:D57)</f>
        <v>4011669.67706276</v>
      </c>
      <c r="E58" s="63" t="n">
        <f aca="false">SUM(E6:E57)</f>
        <v>950000</v>
      </c>
      <c r="F58" s="62" t="n">
        <f aca="false">SUM(F6:F57)</f>
        <v>2583529.17106229</v>
      </c>
      <c r="G58" s="63" t="n">
        <f aca="false">SUM(G6:G57)</f>
        <v>200000</v>
      </c>
      <c r="H58" s="62" t="n">
        <f aca="false">SUM(H6:H57)</f>
        <v>816753.992159585</v>
      </c>
      <c r="I58" s="62" t="n">
        <f aca="false">SUM(I6:I57)</f>
        <v>9981789.98</v>
      </c>
      <c r="J58" s="62" t="n">
        <f aca="false">SUM(J6:J57)</f>
        <v>1144505</v>
      </c>
      <c r="K58" s="62" t="n">
        <f aca="false">SUM(K6:K57)</f>
        <v>17393742.8202846</v>
      </c>
      <c r="L58" s="62" t="n">
        <f aca="false">SUM(L6:L57)</f>
        <v>398890.497897461</v>
      </c>
      <c r="M58" s="63" t="n">
        <f aca="false">SUM(M6:M57)</f>
        <v>30010308.7743128</v>
      </c>
      <c r="N58" s="76"/>
      <c r="O58" s="76"/>
      <c r="P58" s="63" t="n">
        <f aca="false">SUM(P6:P57)</f>
        <v>7775497.4522918</v>
      </c>
      <c r="Q58" s="63" t="n">
        <f aca="false">SUM(Q6:Q57)</f>
        <v>22234811.322021</v>
      </c>
      <c r="R58" s="62" t="n">
        <f aca="false">SUM(R6:R57)</f>
        <v>758365.457941886</v>
      </c>
      <c r="S58" s="62" t="n">
        <f aca="false">SUM(S6:S57)</f>
        <v>103188.0073526</v>
      </c>
      <c r="T58" s="63" t="n">
        <f aca="false">SUM(T6:T57)</f>
        <v>9865024.29956233</v>
      </c>
      <c r="U58" s="63" t="n">
        <f aca="false">SUM(U6:U57)</f>
        <v>171868.951718997</v>
      </c>
      <c r="V58" s="63" t="n">
        <f aca="false">SUM(V6:V57)</f>
        <v>12197918.0707396</v>
      </c>
      <c r="W58" s="63" t="n">
        <f aca="false">SUM(W6:W57)</f>
        <v>3681823.44543601</v>
      </c>
      <c r="X58" s="63" t="n">
        <f aca="false">SUM(X6:X57)</f>
        <v>8516094.62530364</v>
      </c>
      <c r="Y58" s="63" t="n">
        <f aca="false">SUM(Y6:Y57)</f>
        <v>3050000</v>
      </c>
      <c r="Z58" s="63" t="n">
        <f aca="false">SUM(Z6:Z57)</f>
        <v>5466094.62530364</v>
      </c>
      <c r="AA58" s="63" t="n">
        <f aca="false">SUM(AA6:AA57)</f>
        <v>1317300</v>
      </c>
      <c r="AB58" s="63" t="n">
        <f aca="false">SUM(AB6:AB57)</f>
        <v>4148794.62530364</v>
      </c>
      <c r="AC58" s="62" t="n">
        <f aca="false">SUM(AC6:AC57)</f>
        <v>151175.716573213</v>
      </c>
    </row>
  </sheetData>
  <sheetProtection sheet="true" formatColumns="false" formatRows="false"/>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C5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7.35" hidden="false" customHeight="false" outlineLevel="0" collapsed="false">
      <c r="A1" s="1" t="s">
        <v>809</v>
      </c>
    </row>
    <row r="2" customFormat="false" ht="15" hidden="false" customHeight="false" outlineLevel="0" collapsed="false">
      <c r="A2" s="2" t="s">
        <v>802</v>
      </c>
    </row>
    <row r="5" customFormat="false" ht="42" hidden="false" customHeight="true" outlineLevel="0" collapsed="false">
      <c r="A5" s="19" t="s">
        <v>410</v>
      </c>
      <c r="B5" s="19" t="s">
        <v>413</v>
      </c>
      <c r="C5" s="19" t="s">
        <v>803</v>
      </c>
      <c r="D5" s="19" t="s">
        <v>551</v>
      </c>
      <c r="E5" s="19" t="s">
        <v>804</v>
      </c>
      <c r="F5" s="19" t="s">
        <v>557</v>
      </c>
      <c r="G5" s="19" t="s">
        <v>805</v>
      </c>
      <c r="H5" s="19" t="s">
        <v>563</v>
      </c>
      <c r="I5" s="19" t="s">
        <v>806</v>
      </c>
      <c r="J5" s="19" t="s">
        <v>807</v>
      </c>
      <c r="K5" s="19" t="s">
        <v>663</v>
      </c>
      <c r="L5" s="19" t="s">
        <v>454</v>
      </c>
      <c r="M5" s="19" t="s">
        <v>601</v>
      </c>
      <c r="N5" s="19" t="s">
        <v>467</v>
      </c>
      <c r="O5" s="19" t="s">
        <v>468</v>
      </c>
      <c r="P5" s="19" t="s">
        <v>603</v>
      </c>
      <c r="Q5" s="19" t="s">
        <v>87</v>
      </c>
      <c r="R5" s="19" t="s">
        <v>456</v>
      </c>
      <c r="S5" s="19" t="s">
        <v>576</v>
      </c>
      <c r="T5" s="19" t="s">
        <v>604</v>
      </c>
      <c r="U5" s="19" t="s">
        <v>605</v>
      </c>
      <c r="V5" s="19" t="s">
        <v>606</v>
      </c>
      <c r="W5" s="19" t="s">
        <v>608</v>
      </c>
      <c r="X5" s="19" t="s">
        <v>596</v>
      </c>
      <c r="Y5" s="19" t="s">
        <v>808</v>
      </c>
      <c r="Z5" s="19" t="s">
        <v>89</v>
      </c>
      <c r="AA5" s="19" t="s">
        <v>490</v>
      </c>
      <c r="AB5" s="19" t="s">
        <v>90</v>
      </c>
      <c r="AC5" s="19" t="s">
        <v>91</v>
      </c>
    </row>
    <row r="6" customFormat="false" ht="15" hidden="false" customHeight="false" outlineLevel="0" collapsed="false">
      <c r="A6" s="13" t="n">
        <v>1</v>
      </c>
      <c r="B6" s="14" t="str">
        <f aca="false">Calendar!D6</f>
        <v>P1</v>
      </c>
      <c r="C6" s="20" t="n">
        <f aca="false">IF('Media Plan'!D6&lt;&gt;"",'Media Plan'!D6,Assumptions!$E$10*Baseline!T6)</f>
        <v>34556.1765000699</v>
      </c>
      <c r="D6" s="21" t="n">
        <f aca="false">IFERROR(C6/(Baseline!H6*(1+Assumptions!$E$13)*IFERROR(MAX(0,C6)/'History Y-1'!P6,1)^Assumptions!$E$14),0)</f>
        <v>70577.2940834052</v>
      </c>
      <c r="E6" s="20" t="n">
        <f aca="false">IF('Media Plan'!J6&lt;&gt;"",'Media Plan'!J6,Assumptions!$E$11*Baseline!U6)</f>
        <v>16394.5227960517</v>
      </c>
      <c r="F6" s="21" t="n">
        <f aca="false">IFERROR(E6/(Baseline!I6*(1+Assumptions!$E$13)*IFERROR(MAX(0,E6)/'History Y-1'!Q6,1)^Assumptions!$E$15),0)</f>
        <v>44555.4382069472</v>
      </c>
      <c r="G6" s="20" t="n">
        <f aca="false">IF('Media Plan'!P6&lt;&gt;"",'Media Plan'!P6,Assumptions!$E$12*Baseline!V6)</f>
        <v>4076.36592195434</v>
      </c>
      <c r="H6" s="21" t="n">
        <f aca="false">IFERROR(G6/(Baseline!J6*(1+Assumptions!$E$13)*IFERROR(MAX(0,G6)/'History Y-1'!R6,1)^Assumptions!$E$16),0)</f>
        <v>16536.834725104</v>
      </c>
      <c r="I6" s="21" t="n">
        <f aca="false">'History Y-1'!$F$58*(1+Assumptions!$E$6)*Baseline!Q6+'History Y-1'!$G$58*(1+Assumptions!$E$7)*Baseline!R6+J6</f>
        <v>160981.577631561</v>
      </c>
      <c r="J6" s="21" t="n">
        <f aca="false">'History Y-1'!$H$58*(1+Assumptions!$E$8)*Baseline!S6</f>
        <v>17891.9593365736</v>
      </c>
      <c r="K6" s="55" t="n">
        <f aca="false">D6+F6+H6+I6</f>
        <v>292651.144647017</v>
      </c>
      <c r="L6" s="21" t="n">
        <f aca="false">K6*Baseline!B6*(1+Assumptions!$E$18)*(1+Calendar!G6)</f>
        <v>6410.16832711119</v>
      </c>
      <c r="M6" s="20" t="n">
        <f aca="false">L6*Baseline!C6*(1+Assumptions!$E$19)</f>
        <v>502400.200101355</v>
      </c>
      <c r="N6" s="31" t="n">
        <f aca="false">MAX(0,MIN(0.9,Baseline!E6+Assumptions!$E$20))</f>
        <v>0.067110324454184</v>
      </c>
      <c r="O6" s="31" t="n">
        <f aca="false">MAX(0,Baseline!F6+Assumptions!$E$21)</f>
        <v>0.244153851431718</v>
      </c>
      <c r="P6" s="49" t="n">
        <f aca="false">M6*O6</f>
        <v>122662.943814811</v>
      </c>
      <c r="Q6" s="49" t="n">
        <f aca="false">M6-P6</f>
        <v>379737.256286544</v>
      </c>
      <c r="R6" s="21" t="n">
        <f aca="false">L6*Baseline!D6</f>
        <v>12254.5044901599</v>
      </c>
      <c r="S6" s="21" t="n">
        <f aca="false">IFERROR(P6/(Baseline!C6*(1+Assumptions!$E$19)),0)</f>
        <v>1565.06728538981</v>
      </c>
      <c r="T6" s="20" t="n">
        <f aca="false">Q6/(1-N6)*(1-Assumptions!$E$23)</f>
        <v>154680.838658075</v>
      </c>
      <c r="U6" s="20" t="n">
        <f aca="false">P6/(1-N6)*(1-Assumptions!$E$23)*Assumptions!$E$24</f>
        <v>1998.60368793798</v>
      </c>
      <c r="V6" s="49" t="n">
        <f aca="false">Q6-T6-U6</f>
        <v>223057.813940531</v>
      </c>
      <c r="W6" s="20" t="n">
        <f aca="false">T6*Assumptions!$E$25+L6*(Assumptions!$E$27-Assumptions!$E$28+Assumptions!$E$29+Assumptions!$E$36*Assumptions!$E$37)+R6*Assumptions!$E$30+S6*(Assumptions!$E$31+Assumptions!$E$32)+M6*(Assumptions!$E$33+Assumptions!$E$38)+IFERROR(M6*J6/K6,0)*Assumptions!$E$35*Assumptions!$E$34</f>
        <v>55657.5880687829</v>
      </c>
      <c r="X6" s="49" t="n">
        <f aca="false">V6-W6</f>
        <v>167400.225871748</v>
      </c>
      <c r="Y6" s="49" t="n">
        <f aca="false">C6+E6+G6</f>
        <v>55027.0652180759</v>
      </c>
      <c r="Z6" s="49" t="n">
        <f aca="false">X6-Y6</f>
        <v>112373.160653672</v>
      </c>
      <c r="AA6" s="20" t="n">
        <f aca="false">'Fixed Costs'!$G$31/52</f>
        <v>25332.6923076923</v>
      </c>
      <c r="AB6" s="49" t="n">
        <f aca="false">Z6-AA6</f>
        <v>87040.4683459793</v>
      </c>
      <c r="AC6" s="21" t="n">
        <f aca="false">L6*Baseline!G6</f>
        <v>2288.26006505951</v>
      </c>
    </row>
    <row r="7" customFormat="false" ht="15" hidden="false" customHeight="false" outlineLevel="0" collapsed="false">
      <c r="A7" s="13" t="n">
        <v>2</v>
      </c>
      <c r="B7" s="14" t="str">
        <f aca="false">Calendar!D7</f>
        <v>P1</v>
      </c>
      <c r="C7" s="20" t="n">
        <f aca="false">IF('Media Plan'!D7&lt;&gt;"",'Media Plan'!D7,Assumptions!$E$10*Baseline!T7)</f>
        <v>36667.4065220233</v>
      </c>
      <c r="D7" s="21" t="n">
        <f aca="false">IFERROR(C7/(Baseline!H7*(1+Assumptions!$E$13)*IFERROR(MAX(0,C7)/'History Y-1'!P7,1)^Assumptions!$E$14),0)</f>
        <v>76006.4238967954</v>
      </c>
      <c r="E7" s="20" t="n">
        <f aca="false">IF('Media Plan'!J7&lt;&gt;"",'Media Plan'!J7,Assumptions!$E$11*Baseline!U7)</f>
        <v>18087.9845404935</v>
      </c>
      <c r="F7" s="21" t="n">
        <f aca="false">IFERROR(E7/(Baseline!I7*(1+Assumptions!$E$13)*IFERROR(MAX(0,E7)/'History Y-1'!Q7,1)^Assumptions!$E$15),0)</f>
        <v>48729.185156269</v>
      </c>
      <c r="G7" s="20" t="n">
        <f aca="false">IF('Media Plan'!P7&lt;&gt;"",'Media Plan'!P7,Assumptions!$E$12*Baseline!V7)</f>
        <v>4113.49460784681</v>
      </c>
      <c r="H7" s="21" t="n">
        <f aca="false">IFERROR(G7/(Baseline!J7*(1+Assumptions!$E$13)*IFERROR(MAX(0,G7)/'History Y-1'!R7,1)^Assumptions!$E$16),0)</f>
        <v>16957.0671008872</v>
      </c>
      <c r="I7" s="21" t="n">
        <f aca="false">'History Y-1'!$F$58*(1+Assumptions!$E$6)*Baseline!Q7+'History Y-1'!$G$58*(1+Assumptions!$E$7)*Baseline!R7+J7</f>
        <v>166361.223959215</v>
      </c>
      <c r="J7" s="21" t="n">
        <f aca="false">'History Y-1'!$H$58*(1+Assumptions!$E$8)*Baseline!S7</f>
        <v>19563.851071451</v>
      </c>
      <c r="K7" s="55" t="n">
        <f aca="false">D7+F7+H7+I7</f>
        <v>308053.900113166</v>
      </c>
      <c r="L7" s="21" t="n">
        <f aca="false">K7*Baseline!B7*(1+Assumptions!$E$18)*(1+Calendar!G7)</f>
        <v>6853.9374053542</v>
      </c>
      <c r="M7" s="20" t="n">
        <f aca="false">L7*Baseline!C7*(1+Assumptions!$E$19)</f>
        <v>536230.356664858</v>
      </c>
      <c r="N7" s="31" t="n">
        <f aca="false">MAX(0,MIN(0.9,Baseline!E7+Assumptions!$E$20))</f>
        <v>0.0663282292155085</v>
      </c>
      <c r="O7" s="31" t="n">
        <f aca="false">MAX(0,Baseline!F7+Assumptions!$E$21)</f>
        <v>0.250498513514979</v>
      </c>
      <c r="P7" s="49" t="n">
        <f aca="false">M7*O7</f>
        <v>134324.907246154</v>
      </c>
      <c r="Q7" s="49" t="n">
        <f aca="false">M7-P7</f>
        <v>401905.449418705</v>
      </c>
      <c r="R7" s="21" t="n">
        <f aca="false">L7*Baseline!D7</f>
        <v>13245.5564902655</v>
      </c>
      <c r="S7" s="21" t="n">
        <f aca="false">IFERROR(P7/(Baseline!C7*(1+Assumptions!$E$19)),0)</f>
        <v>1716.90113176594</v>
      </c>
      <c r="T7" s="20" t="n">
        <f aca="false">Q7/(1-N7)*(1-Assumptions!$E$23)</f>
        <v>163573.619293197</v>
      </c>
      <c r="U7" s="20" t="n">
        <f aca="false">P7/(1-N7)*(1-Assumptions!$E$23)*Assumptions!$E$24</f>
        <v>2186.78410768061</v>
      </c>
      <c r="V7" s="49" t="n">
        <f aca="false">Q7-T7-U7</f>
        <v>236145.046017827</v>
      </c>
      <c r="W7" s="20" t="n">
        <f aca="false">T7*Assumptions!$E$25+L7*(Assumptions!$E$27-Assumptions!$E$28+Assumptions!$E$29+Assumptions!$E$36*Assumptions!$E$37)+R7*Assumptions!$E$30+S7*(Assumptions!$E$31+Assumptions!$E$32)+M7*(Assumptions!$E$33+Assumptions!$E$38)+IFERROR(M7*J7/K7,0)*Assumptions!$E$35*Assumptions!$E$34</f>
        <v>59838.6852862321</v>
      </c>
      <c r="X7" s="49" t="n">
        <f aca="false">V7-W7</f>
        <v>176306.360731595</v>
      </c>
      <c r="Y7" s="49" t="n">
        <f aca="false">C7+E7+G7</f>
        <v>58868.8856703636</v>
      </c>
      <c r="Z7" s="49" t="n">
        <f aca="false">X7-Y7</f>
        <v>117437.475061231</v>
      </c>
      <c r="AA7" s="20" t="n">
        <f aca="false">'Fixed Costs'!$G$31/52</f>
        <v>25332.6923076923</v>
      </c>
      <c r="AB7" s="49" t="n">
        <f aca="false">Z7-AA7</f>
        <v>92104.7827535387</v>
      </c>
      <c r="AC7" s="21" t="n">
        <f aca="false">L7*Baseline!G7</f>
        <v>2469.68457449496</v>
      </c>
    </row>
    <row r="8" customFormat="false" ht="15" hidden="false" customHeight="false" outlineLevel="0" collapsed="false">
      <c r="A8" s="13" t="n">
        <v>3</v>
      </c>
      <c r="B8" s="14" t="str">
        <f aca="false">Calendar!D8</f>
        <v>P1</v>
      </c>
      <c r="C8" s="20" t="n">
        <f aca="false">IF('Media Plan'!D8&lt;&gt;"",'Media Plan'!D8,Assumptions!$E$10*Baseline!T8)</f>
        <v>37490.3411659095</v>
      </c>
      <c r="D8" s="21" t="n">
        <f aca="false">IFERROR(C8/(Baseline!H8*(1+Assumptions!$E$13)*IFERROR(MAX(0,C8)/'History Y-1'!P8,1)^Assumptions!$E$14),0)</f>
        <v>77139.2133670881</v>
      </c>
      <c r="E8" s="20" t="n">
        <f aca="false">IF('Media Plan'!J8&lt;&gt;"",'Media Plan'!J8,Assumptions!$E$11*Baseline!U8)</f>
        <v>18215.1748127432</v>
      </c>
      <c r="F8" s="21" t="n">
        <f aca="false">IFERROR(E8/(Baseline!I8*(1+Assumptions!$E$13)*IFERROR(MAX(0,E8)/'History Y-1'!Q8,1)^Assumptions!$E$15),0)</f>
        <v>48214.7097627571</v>
      </c>
      <c r="G8" s="20" t="n">
        <f aca="false">IF('Media Plan'!P8&lt;&gt;"",'Media Plan'!P8,Assumptions!$E$12*Baseline!V8)</f>
        <v>4198.54731705962</v>
      </c>
      <c r="H8" s="21" t="n">
        <f aca="false">IFERROR(G8/(Baseline!J8*(1+Assumptions!$E$13)*IFERROR(MAX(0,G8)/'History Y-1'!R8,1)^Assumptions!$E$16),0)</f>
        <v>17382.2733411372</v>
      </c>
      <c r="I8" s="21" t="n">
        <f aca="false">'History Y-1'!$F$58*(1+Assumptions!$E$6)*Baseline!Q8+'History Y-1'!$G$58*(1+Assumptions!$E$7)*Baseline!R8+J8</f>
        <v>168678.164143802</v>
      </c>
      <c r="J8" s="21" t="n">
        <f aca="false">'History Y-1'!$H$58*(1+Assumptions!$E$8)*Baseline!S8</f>
        <v>20254.4508917782</v>
      </c>
      <c r="K8" s="55" t="n">
        <f aca="false">D8+F8+H8+I8</f>
        <v>311414.360614784</v>
      </c>
      <c r="L8" s="21" t="n">
        <f aca="false">K8*Baseline!B8*(1+Assumptions!$E$18)*(1+Calendar!G8)</f>
        <v>7003.54996541425</v>
      </c>
      <c r="M8" s="20" t="n">
        <f aca="false">L8*Baseline!C8*(1+Assumptions!$E$19)</f>
        <v>556129.275742515</v>
      </c>
      <c r="N8" s="31" t="n">
        <f aca="false">MAX(0,MIN(0.9,Baseline!E8+Assumptions!$E$20))</f>
        <v>0.0725000239061912</v>
      </c>
      <c r="O8" s="31" t="n">
        <f aca="false">MAX(0,Baseline!F8+Assumptions!$E$21)</f>
        <v>0.243393127812901</v>
      </c>
      <c r="P8" s="49" t="n">
        <f aca="false">M8*O8</f>
        <v>135358.043891294</v>
      </c>
      <c r="Q8" s="49" t="n">
        <f aca="false">M8-P8</f>
        <v>420771.231851221</v>
      </c>
      <c r="R8" s="21" t="n">
        <f aca="false">L8*Baseline!D8</f>
        <v>13247.2625420591</v>
      </c>
      <c r="S8" s="21" t="n">
        <f aca="false">IFERROR(P8/(Baseline!C8*(1+Assumptions!$E$19)),0)</f>
        <v>1704.61593187611</v>
      </c>
      <c r="T8" s="20" t="n">
        <f aca="false">Q8/(1-N8)*(1-Assumptions!$E$23)</f>
        <v>172391.452533355</v>
      </c>
      <c r="U8" s="20" t="n">
        <f aca="false">P8/(1-N8)*(1-Assumptions!$E$23)*Assumptions!$E$24</f>
        <v>2218.26665248299</v>
      </c>
      <c r="V8" s="49" t="n">
        <f aca="false">Q8-T8-U8</f>
        <v>246161.512665383</v>
      </c>
      <c r="W8" s="20" t="n">
        <f aca="false">T8*Assumptions!$E$25+L8*(Assumptions!$E$27-Assumptions!$E$28+Assumptions!$E$29+Assumptions!$E$36*Assumptions!$E$37)+R8*Assumptions!$E$30+S8*(Assumptions!$E$31+Assumptions!$E$32)+M8*(Assumptions!$E$33+Assumptions!$E$38)+IFERROR(M8*J8/K8,0)*Assumptions!$E$35*Assumptions!$E$34</f>
        <v>61076.7278870808</v>
      </c>
      <c r="X8" s="49" t="n">
        <f aca="false">V8-W8</f>
        <v>185084.784778302</v>
      </c>
      <c r="Y8" s="49" t="n">
        <f aca="false">C8+E8+G8</f>
        <v>59904.0632957124</v>
      </c>
      <c r="Z8" s="49" t="n">
        <f aca="false">X8-Y8</f>
        <v>125180.72148259</v>
      </c>
      <c r="AA8" s="20" t="n">
        <f aca="false">'Fixed Costs'!$G$31/52</f>
        <v>25332.6923076923</v>
      </c>
      <c r="AB8" s="49" t="n">
        <f aca="false">Z8-AA8</f>
        <v>99848.0291748975</v>
      </c>
      <c r="AC8" s="21" t="n">
        <f aca="false">L8*Baseline!G8</f>
        <v>2520.52643614811</v>
      </c>
    </row>
    <row r="9" customFormat="false" ht="15" hidden="false" customHeight="false" outlineLevel="0" collapsed="false">
      <c r="A9" s="13" t="n">
        <v>4</v>
      </c>
      <c r="B9" s="14" t="str">
        <f aca="false">Calendar!D9</f>
        <v>P1</v>
      </c>
      <c r="C9" s="20" t="n">
        <f aca="false">IF('Media Plan'!D9&lt;&gt;"",'Media Plan'!D9,Assumptions!$E$10*Baseline!T9)</f>
        <v>34380.4443741335</v>
      </c>
      <c r="D9" s="21" t="n">
        <f aca="false">IFERROR(C9/(Baseline!H9*(1+Assumptions!$E$13)*IFERROR(MAX(0,C9)/'History Y-1'!P9,1)^Assumptions!$E$14),0)</f>
        <v>67968.71929958</v>
      </c>
      <c r="E9" s="20" t="n">
        <f aca="false">IF('Media Plan'!J9&lt;&gt;"",'Media Plan'!J9,Assumptions!$E$11*Baseline!U9)</f>
        <v>16708.1026865999</v>
      </c>
      <c r="F9" s="21" t="n">
        <f aca="false">IFERROR(E9/(Baseline!I9*(1+Assumptions!$E$13)*IFERROR(MAX(0,E9)/'History Y-1'!Q9,1)^Assumptions!$E$15),0)</f>
        <v>44734.315729527</v>
      </c>
      <c r="G9" s="20" t="n">
        <f aca="false">IF('Media Plan'!P9&lt;&gt;"",'Media Plan'!P9,Assumptions!$E$12*Baseline!V9)</f>
        <v>3951.324259196</v>
      </c>
      <c r="H9" s="21" t="n">
        <f aca="false">IFERROR(G9/(Baseline!J9*(1+Assumptions!$E$13)*IFERROR(MAX(0,G9)/'History Y-1'!R9,1)^Assumptions!$E$16),0)</f>
        <v>15999.144091041</v>
      </c>
      <c r="I9" s="21" t="n">
        <f aca="false">'History Y-1'!$F$58*(1+Assumptions!$E$6)*Baseline!Q9+'History Y-1'!$G$58*(1+Assumptions!$E$7)*Baseline!R9+J9</f>
        <v>157560.696719934</v>
      </c>
      <c r="J9" s="21" t="n">
        <f aca="false">'History Y-1'!$H$58*(1+Assumptions!$E$8)*Baseline!S9</f>
        <v>18217.7120400799</v>
      </c>
      <c r="K9" s="55" t="n">
        <f aca="false">D9+F9+H9+I9</f>
        <v>286262.875840083</v>
      </c>
      <c r="L9" s="21" t="n">
        <f aca="false">K9*Baseline!B9*(1+Assumptions!$E$18)*(1+Calendar!G9)</f>
        <v>6270.54590837714</v>
      </c>
      <c r="M9" s="20" t="n">
        <f aca="false">L9*Baseline!C9*(1+Assumptions!$E$19)</f>
        <v>498844.241332623</v>
      </c>
      <c r="N9" s="31" t="n">
        <f aca="false">MAX(0,MIN(0.9,Baseline!E9+Assumptions!$E$20))</f>
        <v>0.0733619544337161</v>
      </c>
      <c r="O9" s="31" t="n">
        <f aca="false">MAX(0,Baseline!F9+Assumptions!$E$21)</f>
        <v>0.241372841126127</v>
      </c>
      <c r="P9" s="49" t="n">
        <f aca="false">M9*O9</f>
        <v>120407.451809863</v>
      </c>
      <c r="Q9" s="49" t="n">
        <f aca="false">M9-P9</f>
        <v>378436.78952276</v>
      </c>
      <c r="R9" s="21" t="n">
        <f aca="false">L9*Baseline!D9</f>
        <v>12063.3409369574</v>
      </c>
      <c r="S9" s="21" t="n">
        <f aca="false">IFERROR(P9/(Baseline!C9*(1+Assumptions!$E$19)),0)</f>
        <v>1513.5394813168</v>
      </c>
      <c r="T9" s="20" t="n">
        <f aca="false">Q9/(1-N9)*(1-Assumptions!$E$23)</f>
        <v>155191.102617383</v>
      </c>
      <c r="U9" s="20" t="n">
        <f aca="false">P9/(1-N9)*(1-Assumptions!$E$23)*Assumptions!$E$24</f>
        <v>1975.08970872381</v>
      </c>
      <c r="V9" s="49" t="n">
        <f aca="false">Q9-T9-U9</f>
        <v>221270.597196653</v>
      </c>
      <c r="W9" s="20" t="n">
        <f aca="false">T9*Assumptions!$E$25+L9*(Assumptions!$E$27-Assumptions!$E$28+Assumptions!$E$29+Assumptions!$E$36*Assumptions!$E$37)+R9*Assumptions!$E$30+S9*(Assumptions!$E$31+Assumptions!$E$32)+M9*(Assumptions!$E$33+Assumptions!$E$38)+IFERROR(M9*J9/K9,0)*Assumptions!$E$35*Assumptions!$E$34</f>
        <v>54788.2514723699</v>
      </c>
      <c r="X9" s="49" t="n">
        <f aca="false">V9-W9</f>
        <v>166482.345724283</v>
      </c>
      <c r="Y9" s="49" t="n">
        <f aca="false">C9+E9+G9</f>
        <v>55039.8713199294</v>
      </c>
      <c r="Z9" s="49" t="n">
        <f aca="false">X9-Y9</f>
        <v>111442.474404353</v>
      </c>
      <c r="AA9" s="20" t="n">
        <f aca="false">'Fixed Costs'!$G$31/52</f>
        <v>25332.6923076923</v>
      </c>
      <c r="AB9" s="49" t="n">
        <f aca="false">Z9-AA9</f>
        <v>86109.7820966612</v>
      </c>
      <c r="AC9" s="21" t="n">
        <f aca="false">L9*Baseline!G9</f>
        <v>2138.06575855927</v>
      </c>
    </row>
    <row r="10" customFormat="false" ht="15" hidden="false" customHeight="false" outlineLevel="0" collapsed="false">
      <c r="A10" s="13" t="n">
        <v>5</v>
      </c>
      <c r="B10" s="14" t="str">
        <f aca="false">Calendar!D10</f>
        <v>P2</v>
      </c>
      <c r="C10" s="20" t="n">
        <f aca="false">IF('Media Plan'!D10&lt;&gt;"",'Media Plan'!D10,Assumptions!$E$10*Baseline!T10)</f>
        <v>35384.3089559549</v>
      </c>
      <c r="D10" s="21" t="n">
        <f aca="false">IFERROR(C10/(Baseline!H10*(1+Assumptions!$E$13)*IFERROR(MAX(0,C10)/'History Y-1'!P10,1)^Assumptions!$E$14),0)</f>
        <v>74881.1044929095</v>
      </c>
      <c r="E10" s="20" t="n">
        <f aca="false">IF('Media Plan'!J10&lt;&gt;"",'Media Plan'!J10,Assumptions!$E$11*Baseline!U10)</f>
        <v>17746.1562817669</v>
      </c>
      <c r="F10" s="21" t="n">
        <f aca="false">IFERROR(E10/(Baseline!I10*(1+Assumptions!$E$13)*IFERROR(MAX(0,E10)/'History Y-1'!Q10,1)^Assumptions!$E$15),0)</f>
        <v>47309.3402590981</v>
      </c>
      <c r="G10" s="20" t="n">
        <f aca="false">IF('Media Plan'!P10&lt;&gt;"",'Media Plan'!P10,Assumptions!$E$12*Baseline!V10)</f>
        <v>4189.08749880713</v>
      </c>
      <c r="H10" s="21" t="n">
        <f aca="false">IFERROR(G10/(Baseline!J10*(1+Assumptions!$E$13)*IFERROR(MAX(0,G10)/'History Y-1'!R10,1)^Assumptions!$E$16),0)</f>
        <v>17030.9448454208</v>
      </c>
      <c r="I10" s="21" t="n">
        <f aca="false">'History Y-1'!$F$58*(1+Assumptions!$E$6)*Baseline!Q10+'History Y-1'!$G$58*(1+Assumptions!$E$7)*Baseline!R10+J10</f>
        <v>159914.140014762</v>
      </c>
      <c r="J10" s="21" t="n">
        <f aca="false">'History Y-1'!$H$58*(1+Assumptions!$E$8)*Baseline!S10</f>
        <v>18979.6432239422</v>
      </c>
      <c r="K10" s="55" t="n">
        <f aca="false">D10+F10+H10+I10</f>
        <v>299135.529612191</v>
      </c>
      <c r="L10" s="21" t="n">
        <f aca="false">K10*Baseline!B10*(1+Assumptions!$E$18)*(1+Calendar!G10)</f>
        <v>6565.35579693807</v>
      </c>
      <c r="M10" s="20" t="n">
        <f aca="false">L10*Baseline!C10*(1+Assumptions!$E$19)</f>
        <v>504857.822944705</v>
      </c>
      <c r="N10" s="31" t="n">
        <f aca="false">MAX(0,MIN(0.9,Baseline!E10+Assumptions!$E$20))</f>
        <v>0.0729063407147102</v>
      </c>
      <c r="O10" s="31" t="n">
        <f aca="false">MAX(0,Baseline!F10+Assumptions!$E$21)</f>
        <v>0.252005503131197</v>
      </c>
      <c r="P10" s="49" t="n">
        <f aca="false">M10*O10</f>
        <v>127226.949680901</v>
      </c>
      <c r="Q10" s="49" t="n">
        <f aca="false">M10-P10</f>
        <v>377630.873263804</v>
      </c>
      <c r="R10" s="21" t="n">
        <f aca="false">L10*Baseline!D10</f>
        <v>12358.1570656726</v>
      </c>
      <c r="S10" s="21" t="n">
        <f aca="false">IFERROR(P10/(Baseline!C10*(1+Assumptions!$E$19)),0)</f>
        <v>1654.5057908427</v>
      </c>
      <c r="T10" s="20" t="n">
        <f aca="false">Q10/(1-N10)*(1-Assumptions!$E$23)</f>
        <v>154784.503596834</v>
      </c>
      <c r="U10" s="20" t="n">
        <f aca="false">P10/(1-N10)*(1-Assumptions!$E$23)*Assumptions!$E$24</f>
        <v>2085.92693497713</v>
      </c>
      <c r="V10" s="49" t="n">
        <f aca="false">Q10-T10-U10</f>
        <v>220760.442731993</v>
      </c>
      <c r="W10" s="20" t="n">
        <f aca="false">T10*Assumptions!$E$25+L10*(Assumptions!$E$27-Assumptions!$E$28+Assumptions!$E$29+Assumptions!$E$36*Assumptions!$E$37)+R10*Assumptions!$E$30+S10*(Assumptions!$E$31+Assumptions!$E$32)+M10*(Assumptions!$E$33+Assumptions!$E$38)+IFERROR(M10*J10/K10,0)*Assumptions!$E$35*Assumptions!$E$34</f>
        <v>56850.9652688484</v>
      </c>
      <c r="X10" s="49" t="n">
        <f aca="false">V10-W10</f>
        <v>163909.477463145</v>
      </c>
      <c r="Y10" s="49" t="n">
        <f aca="false">C10+E10+G10</f>
        <v>57319.552736529</v>
      </c>
      <c r="Z10" s="49" t="n">
        <f aca="false">X10-Y10</f>
        <v>106589.924726616</v>
      </c>
      <c r="AA10" s="20" t="n">
        <f aca="false">'Fixed Costs'!$G$31/52</f>
        <v>25332.6923076923</v>
      </c>
      <c r="AB10" s="49" t="n">
        <f aca="false">Z10-AA10</f>
        <v>81257.2324189236</v>
      </c>
      <c r="AC10" s="21" t="n">
        <f aca="false">L10*Baseline!G10</f>
        <v>2341.57961807131</v>
      </c>
    </row>
    <row r="11" customFormat="false" ht="15" hidden="false" customHeight="false" outlineLevel="0" collapsed="false">
      <c r="A11" s="13" t="n">
        <v>6</v>
      </c>
      <c r="B11" s="14" t="str">
        <f aca="false">Calendar!D11</f>
        <v>P2</v>
      </c>
      <c r="C11" s="20" t="n">
        <f aca="false">IF('Media Plan'!D11&lt;&gt;"",'Media Plan'!D11,Assumptions!$E$10*Baseline!T11)</f>
        <v>36038.3788362641</v>
      </c>
      <c r="D11" s="21" t="n">
        <f aca="false">IFERROR(C11/(Baseline!H11*(1+Assumptions!$E$13)*IFERROR(MAX(0,C11)/'History Y-1'!P11,1)^Assumptions!$E$14),0)</f>
        <v>73464.9777981352</v>
      </c>
      <c r="E11" s="20" t="n">
        <f aca="false">IF('Media Plan'!J11&lt;&gt;"",'Media Plan'!J11,Assumptions!$E$11*Baseline!U11)</f>
        <v>17483.8060363938</v>
      </c>
      <c r="F11" s="21" t="n">
        <f aca="false">IFERROR(E11/(Baseline!I11*(1+Assumptions!$E$13)*IFERROR(MAX(0,E11)/'History Y-1'!Q11,1)^Assumptions!$E$15),0)</f>
        <v>46996.2769369166</v>
      </c>
      <c r="G11" s="20" t="n">
        <f aca="false">IF('Media Plan'!P11&lt;&gt;"",'Media Plan'!P11,Assumptions!$E$12*Baseline!V11)</f>
        <v>3982.32053963366</v>
      </c>
      <c r="H11" s="21" t="n">
        <f aca="false">IFERROR(G11/(Baseline!J11*(1+Assumptions!$E$13)*IFERROR(MAX(0,G11)/'History Y-1'!R11,1)^Assumptions!$E$16),0)</f>
        <v>16492.9734613458</v>
      </c>
      <c r="I11" s="21" t="n">
        <f aca="false">'History Y-1'!$F$58*(1+Assumptions!$E$6)*Baseline!Q11+'History Y-1'!$G$58*(1+Assumptions!$E$7)*Baseline!R11+J11</f>
        <v>163351.15739341</v>
      </c>
      <c r="J11" s="21" t="n">
        <f aca="false">'History Y-1'!$H$58*(1+Assumptions!$E$8)*Baseline!S11</f>
        <v>19431.5888706275</v>
      </c>
      <c r="K11" s="55" t="n">
        <f aca="false">D11+F11+H11+I11</f>
        <v>300305.385589807</v>
      </c>
      <c r="L11" s="21" t="n">
        <f aca="false">K11*Baseline!B11*(1+Assumptions!$E$18)*(1+Calendar!G11)</f>
        <v>6864.63722609924</v>
      </c>
      <c r="M11" s="20" t="n">
        <f aca="false">L11*Baseline!C11*(1+Assumptions!$E$19)</f>
        <v>542317.789665809</v>
      </c>
      <c r="N11" s="31" t="n">
        <f aca="false">MAX(0,MIN(0.9,Baseline!E11+Assumptions!$E$20))</f>
        <v>0.0682325313472703</v>
      </c>
      <c r="O11" s="31" t="n">
        <f aca="false">MAX(0,Baseline!F11+Assumptions!$E$21)</f>
        <v>0.247710082310918</v>
      </c>
      <c r="P11" s="49" t="n">
        <f aca="false">M11*O11</f>
        <v>134337.584316793</v>
      </c>
      <c r="Q11" s="49" t="n">
        <f aca="false">M11-P11</f>
        <v>407980.205349016</v>
      </c>
      <c r="R11" s="21" t="n">
        <f aca="false">L11*Baseline!D11</f>
        <v>13307.7698719956</v>
      </c>
      <c r="S11" s="21" t="n">
        <f aca="false">IFERROR(P11/(Baseline!C11*(1+Assumptions!$E$19)),0)</f>
        <v>1700.43985231164</v>
      </c>
      <c r="T11" s="20" t="n">
        <f aca="false">Q11/(1-N11)*(1-Assumptions!$E$23)</f>
        <v>166385.373227069</v>
      </c>
      <c r="U11" s="20" t="n">
        <f aca="false">P11/(1-N11)*(1-Assumptions!$E$23)*Assumptions!$E$24</f>
        <v>2191.4601553623</v>
      </c>
      <c r="V11" s="49" t="n">
        <f aca="false">Q11-T11-U11</f>
        <v>239403.371966584</v>
      </c>
      <c r="W11" s="20" t="n">
        <f aca="false">T11*Assumptions!$E$25+L11*(Assumptions!$E$27-Assumptions!$E$28+Assumptions!$E$29+Assumptions!$E$36*Assumptions!$E$37)+R11*Assumptions!$E$30+S11*(Assumptions!$E$31+Assumptions!$E$32)+M11*(Assumptions!$E$33+Assumptions!$E$38)+IFERROR(M11*J11/K11,0)*Assumptions!$E$35*Assumptions!$E$34</f>
        <v>60113.5205816605</v>
      </c>
      <c r="X11" s="49" t="n">
        <f aca="false">V11-W11</f>
        <v>179289.851384924</v>
      </c>
      <c r="Y11" s="49" t="n">
        <f aca="false">C11+E11+G11</f>
        <v>57504.5054122916</v>
      </c>
      <c r="Z11" s="49" t="n">
        <f aca="false">X11-Y11</f>
        <v>121785.345972632</v>
      </c>
      <c r="AA11" s="20" t="n">
        <f aca="false">'Fixed Costs'!$G$31/52</f>
        <v>25332.6923076923</v>
      </c>
      <c r="AB11" s="49" t="n">
        <f aca="false">Z11-AA11</f>
        <v>96452.6536649399</v>
      </c>
      <c r="AC11" s="21" t="n">
        <f aca="false">L11*Baseline!G11</f>
        <v>2378.63376455429</v>
      </c>
    </row>
    <row r="12" customFormat="false" ht="15" hidden="false" customHeight="false" outlineLevel="0" collapsed="false">
      <c r="A12" s="13" t="n">
        <v>7</v>
      </c>
      <c r="B12" s="14" t="str">
        <f aca="false">Calendar!D12</f>
        <v>P2</v>
      </c>
      <c r="C12" s="20" t="n">
        <f aca="false">IF('Media Plan'!D12&lt;&gt;"",'Media Plan'!D12,Assumptions!$E$10*Baseline!T12)</f>
        <v>34494.4934847457</v>
      </c>
      <c r="D12" s="21" t="n">
        <f aca="false">IFERROR(C12/(Baseline!H12*(1+Assumptions!$E$13)*IFERROR(MAX(0,C12)/'History Y-1'!P12,1)^Assumptions!$E$14),0)</f>
        <v>72294.2214737659</v>
      </c>
      <c r="E12" s="20" t="n">
        <f aca="false">IF('Media Plan'!J12&lt;&gt;"",'Media Plan'!J12,Assumptions!$E$11*Baseline!U12)</f>
        <v>18240.456066683</v>
      </c>
      <c r="F12" s="21" t="n">
        <f aca="false">IFERROR(E12/(Baseline!I12*(1+Assumptions!$E$13)*IFERROR(MAX(0,E12)/'History Y-1'!Q12,1)^Assumptions!$E$15),0)</f>
        <v>48300.4904419427</v>
      </c>
      <c r="G12" s="20" t="n">
        <f aca="false">IF('Media Plan'!P12&lt;&gt;"",'Media Plan'!P12,Assumptions!$E$12*Baseline!V12)</f>
        <v>3986.5189279482</v>
      </c>
      <c r="H12" s="21" t="n">
        <f aca="false">IFERROR(G12/(Baseline!J12*(1+Assumptions!$E$13)*IFERROR(MAX(0,G12)/'History Y-1'!R12,1)^Assumptions!$E$16),0)</f>
        <v>17257.5801202547</v>
      </c>
      <c r="I12" s="21" t="n">
        <f aca="false">'History Y-1'!$F$58*(1+Assumptions!$E$6)*Baseline!Q12+'History Y-1'!$G$58*(1+Assumptions!$E$7)*Baseline!R12+J12</f>
        <v>166589.942937646</v>
      </c>
      <c r="J12" s="21" t="n">
        <f aca="false">'History Y-1'!$H$58*(1+Assumptions!$E$8)*Baseline!S12</f>
        <v>19375.3938657809</v>
      </c>
      <c r="K12" s="55" t="n">
        <f aca="false">D12+F12+H12+I12</f>
        <v>304442.23497361</v>
      </c>
      <c r="L12" s="21" t="n">
        <f aca="false">K12*Baseline!B12*(1+Assumptions!$E$18)*(1+Calendar!G12)</f>
        <v>6720.33208708543</v>
      </c>
      <c r="M12" s="20" t="n">
        <f aca="false">L12*Baseline!C12*(1+Assumptions!$E$19)</f>
        <v>521155.901655938</v>
      </c>
      <c r="N12" s="31" t="n">
        <f aca="false">MAX(0,MIN(0.9,Baseline!E12+Assumptions!$E$20))</f>
        <v>0.0696188438534107</v>
      </c>
      <c r="O12" s="31" t="n">
        <f aca="false">MAX(0,Baseline!F12+Assumptions!$E$21)</f>
        <v>0.249534122550686</v>
      </c>
      <c r="P12" s="49" t="n">
        <f aca="false">M12*O12</f>
        <v>130046.180631826</v>
      </c>
      <c r="Q12" s="49" t="n">
        <f aca="false">M12-P12</f>
        <v>391109.721024112</v>
      </c>
      <c r="R12" s="21" t="n">
        <f aca="false">L12*Baseline!D12</f>
        <v>12821.682067991</v>
      </c>
      <c r="S12" s="21" t="n">
        <f aca="false">IFERROR(P12/(Baseline!C12*(1+Assumptions!$E$19)),0)</f>
        <v>1676.95217060008</v>
      </c>
      <c r="T12" s="20" t="n">
        <f aca="false">Q12/(1-N12)*(1-Assumptions!$E$23)</f>
        <v>159742.803266478</v>
      </c>
      <c r="U12" s="20" t="n">
        <f aca="false">P12/(1-N12)*(1-Assumptions!$E$23)*Assumptions!$E$24</f>
        <v>2124.61519942082</v>
      </c>
      <c r="V12" s="49" t="n">
        <f aca="false">Q12-T12-U12</f>
        <v>229242.302558214</v>
      </c>
      <c r="W12" s="20" t="n">
        <f aca="false">T12*Assumptions!$E$25+L12*(Assumptions!$E$27-Assumptions!$E$28+Assumptions!$E$29+Assumptions!$E$36*Assumptions!$E$37)+R12*Assumptions!$E$30+S12*(Assumptions!$E$31+Assumptions!$E$32)+M12*(Assumptions!$E$33+Assumptions!$E$38)+IFERROR(M12*J12/K12,0)*Assumptions!$E$35*Assumptions!$E$34</f>
        <v>58397.3146430305</v>
      </c>
      <c r="X12" s="49" t="n">
        <f aca="false">V12-W12</f>
        <v>170844.987915183</v>
      </c>
      <c r="Y12" s="49" t="n">
        <f aca="false">C12+E12+G12</f>
        <v>56721.4684793769</v>
      </c>
      <c r="Z12" s="49" t="n">
        <f aca="false">X12-Y12</f>
        <v>114123.519435806</v>
      </c>
      <c r="AA12" s="20" t="n">
        <f aca="false">'Fixed Costs'!$G$31/52</f>
        <v>25332.6923076923</v>
      </c>
      <c r="AB12" s="49" t="n">
        <f aca="false">Z12-AA12</f>
        <v>88790.8271281139</v>
      </c>
      <c r="AC12" s="21" t="n">
        <f aca="false">L12*Baseline!G12</f>
        <v>2316.04296933377</v>
      </c>
    </row>
    <row r="13" customFormat="false" ht="15" hidden="false" customHeight="false" outlineLevel="0" collapsed="false">
      <c r="A13" s="13" t="n">
        <v>8</v>
      </c>
      <c r="B13" s="14" t="str">
        <f aca="false">Calendar!D13</f>
        <v>P2</v>
      </c>
      <c r="C13" s="20" t="n">
        <f aca="false">IF('Media Plan'!D13&lt;&gt;"",'Media Plan'!D13,Assumptions!$E$10*Baseline!T13)</f>
        <v>33740.2885978299</v>
      </c>
      <c r="D13" s="21" t="n">
        <f aca="false">IFERROR(C13/(Baseline!H13*(1+Assumptions!$E$13)*IFERROR(MAX(0,C13)/'History Y-1'!P13,1)^Assumptions!$E$14),0)</f>
        <v>69526.8424243345</v>
      </c>
      <c r="E13" s="20" t="n">
        <f aca="false">IF('Media Plan'!J13&lt;&gt;"",'Media Plan'!J13,Assumptions!$E$11*Baseline!U13)</f>
        <v>17448.9729383578</v>
      </c>
      <c r="F13" s="21" t="n">
        <f aca="false">IFERROR(E13/(Baseline!I13*(1+Assumptions!$E$13)*IFERROR(MAX(0,E13)/'History Y-1'!Q13,1)^Assumptions!$E$15),0)</f>
        <v>47162.5387650562</v>
      </c>
      <c r="G13" s="20" t="n">
        <f aca="false">IF('Media Plan'!P13&lt;&gt;"",'Media Plan'!P13,Assumptions!$E$12*Baseline!V13)</f>
        <v>4106.52191866954</v>
      </c>
      <c r="H13" s="21" t="n">
        <f aca="false">IFERROR(G13/(Baseline!J13*(1+Assumptions!$E$13)*IFERROR(MAX(0,G13)/'History Y-1'!R13,1)^Assumptions!$E$16),0)</f>
        <v>16773.9639033511</v>
      </c>
      <c r="I13" s="21" t="n">
        <f aca="false">'History Y-1'!$F$58*(1+Assumptions!$E$6)*Baseline!Q13+'History Y-1'!$G$58*(1+Assumptions!$E$7)*Baseline!R13+J13</f>
        <v>158740.925733531</v>
      </c>
      <c r="J13" s="21" t="n">
        <f aca="false">'History Y-1'!$H$58*(1+Assumptions!$E$8)*Baseline!S13</f>
        <v>19173.5649961095</v>
      </c>
      <c r="K13" s="55" t="n">
        <f aca="false">D13+F13+H13+I13</f>
        <v>292204.270826273</v>
      </c>
      <c r="L13" s="21" t="n">
        <f aca="false">K13*Baseline!B13*(1+Assumptions!$E$18)*(1+Calendar!G13)</f>
        <v>6485.84939403344</v>
      </c>
      <c r="M13" s="20" t="n">
        <f aca="false">L13*Baseline!C13*(1+Assumptions!$E$19)</f>
        <v>510147.44562032</v>
      </c>
      <c r="N13" s="31" t="n">
        <f aca="false">MAX(0,MIN(0.9,Baseline!E13+Assumptions!$E$20))</f>
        <v>0.0694971979963994</v>
      </c>
      <c r="O13" s="31" t="n">
        <f aca="false">MAX(0,Baseline!F13+Assumptions!$E$21)</f>
        <v>0.244978271906444</v>
      </c>
      <c r="P13" s="49" t="n">
        <f aca="false">M13*O13</f>
        <v>124975.039645553</v>
      </c>
      <c r="Q13" s="49" t="n">
        <f aca="false">M13-P13</f>
        <v>385172.405974767</v>
      </c>
      <c r="R13" s="21" t="n">
        <f aca="false">L13*Baseline!D13</f>
        <v>12074.6583594519</v>
      </c>
      <c r="S13" s="21" t="n">
        <f aca="false">IFERROR(P13/(Baseline!C13*(1+Assumptions!$E$19)),0)</f>
        <v>1588.89217639577</v>
      </c>
      <c r="T13" s="20" t="n">
        <f aca="false">Q13/(1-N13)*(1-Assumptions!$E$23)</f>
        <v>157297.231083293</v>
      </c>
      <c r="U13" s="20" t="n">
        <f aca="false">P13/(1-N13)*(1-Assumptions!$E$23)*Assumptions!$E$24</f>
        <v>2041.4990675171</v>
      </c>
      <c r="V13" s="49" t="n">
        <f aca="false">Q13-T13-U13</f>
        <v>225833.675823958</v>
      </c>
      <c r="W13" s="20" t="n">
        <f aca="false">T13*Assumptions!$E$25+L13*(Assumptions!$E$27-Assumptions!$E$28+Assumptions!$E$29+Assumptions!$E$36*Assumptions!$E$37)+R13*Assumptions!$E$30+S13*(Assumptions!$E$31+Assumptions!$E$32)+M13*(Assumptions!$E$33+Assumptions!$E$38)+IFERROR(M13*J13/K13,0)*Assumptions!$E$35*Assumptions!$E$34</f>
        <v>56298.0323586784</v>
      </c>
      <c r="X13" s="49" t="n">
        <f aca="false">V13-W13</f>
        <v>169535.643465279</v>
      </c>
      <c r="Y13" s="49" t="n">
        <f aca="false">C13+E13+G13</f>
        <v>55295.7834548572</v>
      </c>
      <c r="Z13" s="49" t="n">
        <f aca="false">X13-Y13</f>
        <v>114239.860010422</v>
      </c>
      <c r="AA13" s="20" t="n">
        <f aca="false">'Fixed Costs'!$G$31/52</f>
        <v>25332.6923076923</v>
      </c>
      <c r="AB13" s="49" t="n">
        <f aca="false">Z13-AA13</f>
        <v>88907.1677027296</v>
      </c>
      <c r="AC13" s="21" t="n">
        <f aca="false">L13*Baseline!G13</f>
        <v>2351.89245800315</v>
      </c>
    </row>
    <row r="14" customFormat="false" ht="15" hidden="false" customHeight="false" outlineLevel="0" collapsed="false">
      <c r="A14" s="13" t="n">
        <v>9</v>
      </c>
      <c r="B14" s="14" t="str">
        <f aca="false">Calendar!D14</f>
        <v>P3</v>
      </c>
      <c r="C14" s="20" t="n">
        <f aca="false">IF('Media Plan'!D14&lt;&gt;"",'Media Plan'!D14,Assumptions!$E$10*Baseline!T14)</f>
        <v>40958.5478889359</v>
      </c>
      <c r="D14" s="21" t="n">
        <f aca="false">IFERROR(C14/(Baseline!H14*(1+Assumptions!$E$13)*IFERROR(MAX(0,C14)/'History Y-1'!P14,1)^Assumptions!$E$14),0)</f>
        <v>82752.1776100528</v>
      </c>
      <c r="E14" s="20" t="n">
        <f aca="false">IF('Media Plan'!J14&lt;&gt;"",'Media Plan'!J14,Assumptions!$E$11*Baseline!U14)</f>
        <v>20089.4691183586</v>
      </c>
      <c r="F14" s="21" t="n">
        <f aca="false">IFERROR(E14/(Baseline!I14*(1+Assumptions!$E$13)*IFERROR(MAX(0,E14)/'History Y-1'!Q14,1)^Assumptions!$E$15),0)</f>
        <v>54414.1990929099</v>
      </c>
      <c r="G14" s="20" t="n">
        <f aca="false">IF('Media Plan'!P14&lt;&gt;"",'Media Plan'!P14,Assumptions!$E$12*Baseline!V14)</f>
        <v>4497.01512318643</v>
      </c>
      <c r="H14" s="21" t="n">
        <f aca="false">IFERROR(G14/(Baseline!J14*(1+Assumptions!$E$13)*IFERROR(MAX(0,G14)/'History Y-1'!R14,1)^Assumptions!$E$16),0)</f>
        <v>18486.2641540532</v>
      </c>
      <c r="I14" s="21" t="n">
        <f aca="false">'History Y-1'!$F$58*(1+Assumptions!$E$6)*Baseline!Q14+'History Y-1'!$G$58*(1+Assumptions!$E$7)*Baseline!R14+J14</f>
        <v>188931.469714332</v>
      </c>
      <c r="J14" s="21" t="n">
        <f aca="false">'History Y-1'!$H$58*(1+Assumptions!$E$8)*Baseline!S14</f>
        <v>22179.5307750806</v>
      </c>
      <c r="K14" s="55" t="n">
        <f aca="false">D14+F14+H14+I14</f>
        <v>344584.110571348</v>
      </c>
      <c r="L14" s="21" t="n">
        <f aca="false">K14*Baseline!B14*(1+Assumptions!$E$18)*(1+Calendar!G14)</f>
        <v>7683.72994337541</v>
      </c>
      <c r="M14" s="20" t="n">
        <f aca="false">L14*Baseline!C14*(1+Assumptions!$E$19)</f>
        <v>597728.30499711</v>
      </c>
      <c r="N14" s="31" t="n">
        <f aca="false">MAX(0,MIN(0.9,Baseline!E14+Assumptions!$E$20))</f>
        <v>0.072405820674153</v>
      </c>
      <c r="O14" s="31" t="n">
        <f aca="false">MAX(0,Baseline!F14+Assumptions!$E$21)</f>
        <v>0.243287307330355</v>
      </c>
      <c r="P14" s="49" t="n">
        <f aca="false">M14*O14</f>
        <v>145419.709837884</v>
      </c>
      <c r="Q14" s="49" t="n">
        <f aca="false">M14-P14</f>
        <v>452308.595159226</v>
      </c>
      <c r="R14" s="21" t="n">
        <f aca="false">L14*Baseline!D14</f>
        <v>14698.074129799</v>
      </c>
      <c r="S14" s="21" t="n">
        <f aca="false">IFERROR(P14/(Baseline!C14*(1+Assumptions!$E$19)),0)</f>
        <v>1869.35396817742</v>
      </c>
      <c r="T14" s="20" t="n">
        <f aca="false">Q14/(1-N14)*(1-Assumptions!$E$23)</f>
        <v>185293.601438317</v>
      </c>
      <c r="U14" s="20" t="n">
        <f aca="false">P14/(1-N14)*(1-Assumptions!$E$23)*Assumptions!$E$24</f>
        <v>2382.91662323958</v>
      </c>
      <c r="V14" s="49" t="n">
        <f aca="false">Q14-T14-U14</f>
        <v>264632.07709767</v>
      </c>
      <c r="W14" s="20" t="n">
        <f aca="false">T14*Assumptions!$E$25+L14*(Assumptions!$E$27-Assumptions!$E$28+Assumptions!$E$29+Assumptions!$E$36*Assumptions!$E$37)+R14*Assumptions!$E$30+S14*(Assumptions!$E$31+Assumptions!$E$32)+M14*(Assumptions!$E$33+Assumptions!$E$38)+IFERROR(M14*J14/K14,0)*Assumptions!$E$35*Assumptions!$E$34</f>
        <v>66736.1031217831</v>
      </c>
      <c r="X14" s="49" t="n">
        <f aca="false">V14-W14</f>
        <v>197895.973975887</v>
      </c>
      <c r="Y14" s="49" t="n">
        <f aca="false">C14+E14+G14</f>
        <v>65545.032130481</v>
      </c>
      <c r="Z14" s="49" t="n">
        <f aca="false">X14-Y14</f>
        <v>132350.941845406</v>
      </c>
      <c r="AA14" s="20" t="n">
        <f aca="false">'Fixed Costs'!$G$31/52</f>
        <v>25332.6923076923</v>
      </c>
      <c r="AB14" s="49" t="n">
        <f aca="false">Z14-AA14</f>
        <v>107018.249537714</v>
      </c>
      <c r="AC14" s="21" t="n">
        <f aca="false">L14*Baseline!G14</f>
        <v>2647.10630008388</v>
      </c>
    </row>
    <row r="15" customFormat="false" ht="15" hidden="false" customHeight="false" outlineLevel="0" collapsed="false">
      <c r="A15" s="13" t="n">
        <v>10</v>
      </c>
      <c r="B15" s="14" t="str">
        <f aca="false">Calendar!D15</f>
        <v>P3</v>
      </c>
      <c r="C15" s="20" t="n">
        <f aca="false">IF('Media Plan'!D15&lt;&gt;"",'Media Plan'!D15,Assumptions!$E$10*Baseline!T15)</f>
        <v>39117.8041730505</v>
      </c>
      <c r="D15" s="21" t="n">
        <f aca="false">IFERROR(C15/(Baseline!H15*(1+Assumptions!$E$13)*IFERROR(MAX(0,C15)/'History Y-1'!P15,1)^Assumptions!$E$14),0)</f>
        <v>80128.7200796089</v>
      </c>
      <c r="E15" s="20" t="n">
        <f aca="false">IF('Media Plan'!J15&lt;&gt;"",'Media Plan'!J15,Assumptions!$E$11*Baseline!U15)</f>
        <v>20141.7542642916</v>
      </c>
      <c r="F15" s="21" t="n">
        <f aca="false">IFERROR(E15/(Baseline!I15*(1+Assumptions!$E$13)*IFERROR(MAX(0,E15)/'History Y-1'!Q15,1)^Assumptions!$E$15),0)</f>
        <v>53786.1416575768</v>
      </c>
      <c r="G15" s="20" t="n">
        <f aca="false">IF('Media Plan'!P15&lt;&gt;"",'Media Plan'!P15,Assumptions!$E$12*Baseline!V15)</f>
        <v>4577.467890339</v>
      </c>
      <c r="H15" s="21" t="n">
        <f aca="false">IFERROR(G15/(Baseline!J15*(1+Assumptions!$E$13)*IFERROR(MAX(0,G15)/'History Y-1'!R15,1)^Assumptions!$E$16),0)</f>
        <v>19490.8308716873</v>
      </c>
      <c r="I15" s="21" t="n">
        <f aca="false">'History Y-1'!$F$58*(1+Assumptions!$E$6)*Baseline!Q15+'History Y-1'!$G$58*(1+Assumptions!$E$7)*Baseline!R15+J15</f>
        <v>178370.369613908</v>
      </c>
      <c r="J15" s="21" t="n">
        <f aca="false">'History Y-1'!$H$58*(1+Assumptions!$E$8)*Baseline!S15</f>
        <v>20748.391014906</v>
      </c>
      <c r="K15" s="55" t="n">
        <f aca="false">D15+F15+H15+I15</f>
        <v>331776.062222781</v>
      </c>
      <c r="L15" s="21" t="n">
        <f aca="false">K15*Baseline!B15*(1+Assumptions!$E$18)*(1+Calendar!G15)</f>
        <v>7459.87685346691</v>
      </c>
      <c r="M15" s="20" t="n">
        <f aca="false">L15*Baseline!C15*(1+Assumptions!$E$19)</f>
        <v>586644.635662529</v>
      </c>
      <c r="N15" s="31" t="n">
        <f aca="false">MAX(0,MIN(0.9,Baseline!E15+Assumptions!$E$20))</f>
        <v>0.0689715642970281</v>
      </c>
      <c r="O15" s="31" t="n">
        <f aca="false">MAX(0,Baseline!F15+Assumptions!$E$21)</f>
        <v>0.249779330718454</v>
      </c>
      <c r="P15" s="49" t="n">
        <f aca="false">M15*O15</f>
        <v>146531.704465358</v>
      </c>
      <c r="Q15" s="49" t="n">
        <f aca="false">M15-P15</f>
        <v>440112.931197172</v>
      </c>
      <c r="R15" s="21" t="n">
        <f aca="false">L15*Baseline!D15</f>
        <v>14401.393206762</v>
      </c>
      <c r="S15" s="21" t="n">
        <f aca="false">IFERROR(P15/(Baseline!C15*(1+Assumptions!$E$19)),0)</f>
        <v>1863.32304770105</v>
      </c>
      <c r="T15" s="20" t="n">
        <f aca="false">Q15/(1-N15)*(1-Assumptions!$E$23)</f>
        <v>179632.444554337</v>
      </c>
      <c r="U15" s="20" t="n">
        <f aca="false">P15/(1-N15)*(1-Assumptions!$E$23)*Assumptions!$E$24</f>
        <v>2392.28129073387</v>
      </c>
      <c r="V15" s="49" t="n">
        <f aca="false">Q15-T15-U15</f>
        <v>258088.205352101</v>
      </c>
      <c r="W15" s="20" t="n">
        <f aca="false">T15*Assumptions!$E$25+L15*(Assumptions!$E$27-Assumptions!$E$28+Assumptions!$E$29+Assumptions!$E$36*Assumptions!$E$37)+R15*Assumptions!$E$30+S15*(Assumptions!$E$31+Assumptions!$E$32)+M15*(Assumptions!$E$33+Assumptions!$E$38)+IFERROR(M15*J15/K15,0)*Assumptions!$E$35*Assumptions!$E$34</f>
        <v>65161.9698810834</v>
      </c>
      <c r="X15" s="49" t="n">
        <f aca="false">V15-W15</f>
        <v>192926.235471017</v>
      </c>
      <c r="Y15" s="49" t="n">
        <f aca="false">C15+E15+G15</f>
        <v>63837.0263276811</v>
      </c>
      <c r="Z15" s="49" t="n">
        <f aca="false">X15-Y15</f>
        <v>129089.209143336</v>
      </c>
      <c r="AA15" s="20" t="n">
        <f aca="false">'Fixed Costs'!$G$31/52</f>
        <v>25332.6923076923</v>
      </c>
      <c r="AB15" s="49" t="n">
        <f aca="false">Z15-AA15</f>
        <v>103756.516835644</v>
      </c>
      <c r="AC15" s="21" t="n">
        <f aca="false">L15*Baseline!G15</f>
        <v>3439.29817198485</v>
      </c>
    </row>
    <row r="16" customFormat="false" ht="15" hidden="false" customHeight="false" outlineLevel="0" collapsed="false">
      <c r="A16" s="13" t="n">
        <v>11</v>
      </c>
      <c r="B16" s="14" t="str">
        <f aca="false">Calendar!D16</f>
        <v>P3</v>
      </c>
      <c r="C16" s="20" t="n">
        <f aca="false">IF('Media Plan'!D16&lt;&gt;"",'Media Plan'!D16,Assumptions!$E$10*Baseline!T16)</f>
        <v>41118.6641417685</v>
      </c>
      <c r="D16" s="21" t="n">
        <f aca="false">IFERROR(C16/(Baseline!H16*(1+Assumptions!$E$13)*IFERROR(MAX(0,C16)/'History Y-1'!P16,1)^Assumptions!$E$14),0)</f>
        <v>85524.594780763</v>
      </c>
      <c r="E16" s="20" t="n">
        <f aca="false">IF('Media Plan'!J16&lt;&gt;"",'Media Plan'!J16,Assumptions!$E$11*Baseline!U16)</f>
        <v>19534.0337496116</v>
      </c>
      <c r="F16" s="21" t="n">
        <f aca="false">IFERROR(E16/(Baseline!I16*(1+Assumptions!$E$13)*IFERROR(MAX(0,E16)/'History Y-1'!Q16,1)^Assumptions!$E$15),0)</f>
        <v>53787.4867504354</v>
      </c>
      <c r="G16" s="20" t="n">
        <f aca="false">IF('Media Plan'!P16&lt;&gt;"",'Media Plan'!P16,Assumptions!$E$12*Baseline!V16)</f>
        <v>4666.73703728306</v>
      </c>
      <c r="H16" s="21" t="n">
        <f aca="false">IFERROR(G16/(Baseline!J16*(1+Assumptions!$E$13)*IFERROR(MAX(0,G16)/'History Y-1'!R16,1)^Assumptions!$E$16),0)</f>
        <v>19292.8913683227</v>
      </c>
      <c r="I16" s="21" t="n">
        <f aca="false">'History Y-1'!$F$58*(1+Assumptions!$E$6)*Baseline!Q16+'History Y-1'!$G$58*(1+Assumptions!$E$7)*Baseline!R16+J16</f>
        <v>185636.072091237</v>
      </c>
      <c r="J16" s="21" t="n">
        <f aca="false">'History Y-1'!$H$58*(1+Assumptions!$E$8)*Baseline!S16</f>
        <v>22023.9303243656</v>
      </c>
      <c r="K16" s="55" t="n">
        <f aca="false">D16+F16+H16+I16</f>
        <v>344241.044990758</v>
      </c>
      <c r="L16" s="21" t="n">
        <f aca="false">K16*Baseline!B16*(1+Assumptions!$E$18)*(1+Calendar!G16)</f>
        <v>7816.35328427499</v>
      </c>
      <c r="M16" s="20" t="n">
        <f aca="false">L16*Baseline!C16*(1+Assumptions!$E$19)</f>
        <v>604673.282450534</v>
      </c>
      <c r="N16" s="31" t="n">
        <f aca="false">MAX(0,MIN(0.9,Baseline!E16+Assumptions!$E$20))</f>
        <v>0.0697780632675516</v>
      </c>
      <c r="O16" s="31" t="n">
        <f aca="false">MAX(0,Baseline!F16+Assumptions!$E$21)</f>
        <v>0.257338092206024</v>
      </c>
      <c r="P16" s="49" t="n">
        <f aca="false">M16*O16</f>
        <v>155605.468913774</v>
      </c>
      <c r="Q16" s="49" t="n">
        <f aca="false">M16-P16</f>
        <v>449067.813536759</v>
      </c>
      <c r="R16" s="21" t="n">
        <f aca="false">L16*Baseline!D16</f>
        <v>14569.1922420177</v>
      </c>
      <c r="S16" s="21" t="n">
        <f aca="false">IFERROR(P16/(Baseline!C16*(1+Assumptions!$E$19)),0)</f>
        <v>2011.44544218362</v>
      </c>
      <c r="T16" s="20" t="n">
        <f aca="false">Q16/(1-N16)*(1-Assumptions!$E$23)</f>
        <v>183446.296421893</v>
      </c>
      <c r="U16" s="20" t="n">
        <f aca="false">P16/(1-N16)*(1-Assumptions!$E$23)*Assumptions!$E$24</f>
        <v>2542.62239374565</v>
      </c>
      <c r="V16" s="49" t="n">
        <f aca="false">Q16-T16-U16</f>
        <v>263078.89472112</v>
      </c>
      <c r="W16" s="20" t="n">
        <f aca="false">T16*Assumptions!$E$25+L16*(Assumptions!$E$27-Assumptions!$E$28+Assumptions!$E$29+Assumptions!$E$36*Assumptions!$E$37)+R16*Assumptions!$E$30+S16*(Assumptions!$E$31+Assumptions!$E$32)+M16*(Assumptions!$E$33+Assumptions!$E$38)+IFERROR(M16*J16/K16,0)*Assumptions!$E$35*Assumptions!$E$34</f>
        <v>67824.4959329367</v>
      </c>
      <c r="X16" s="49" t="n">
        <f aca="false">V16-W16</f>
        <v>195254.398788183</v>
      </c>
      <c r="Y16" s="49" t="n">
        <f aca="false">C16+E16+G16</f>
        <v>65319.4349286631</v>
      </c>
      <c r="Z16" s="49" t="n">
        <f aca="false">X16-Y16</f>
        <v>129934.96385952</v>
      </c>
      <c r="AA16" s="20" t="n">
        <f aca="false">'Fixed Costs'!$G$31/52</f>
        <v>25332.6923076923</v>
      </c>
      <c r="AB16" s="49" t="n">
        <f aca="false">Z16-AA16</f>
        <v>104602.271551828</v>
      </c>
      <c r="AC16" s="21" t="n">
        <f aca="false">L16*Baseline!G16</f>
        <v>2737.18199870828</v>
      </c>
    </row>
    <row r="17" customFormat="false" ht="15" hidden="false" customHeight="false" outlineLevel="0" collapsed="false">
      <c r="A17" s="13" t="n">
        <v>12</v>
      </c>
      <c r="B17" s="14" t="str">
        <f aca="false">Calendar!D17</f>
        <v>P3</v>
      </c>
      <c r="C17" s="20" t="n">
        <f aca="false">IF('Media Plan'!D17&lt;&gt;"",'Media Plan'!D17,Assumptions!$E$10*Baseline!T17)</f>
        <v>36289.4028060981</v>
      </c>
      <c r="D17" s="21" t="n">
        <f aca="false">IFERROR(C17/(Baseline!H17*(1+Assumptions!$E$13)*IFERROR(MAX(0,C17)/'History Y-1'!P17,1)^Assumptions!$E$14),0)</f>
        <v>84347.5117799185</v>
      </c>
      <c r="E17" s="20" t="n">
        <f aca="false">IF('Media Plan'!J17&lt;&gt;"",'Media Plan'!J17,Assumptions!$E$11*Baseline!U17)</f>
        <v>20580.4499563746</v>
      </c>
      <c r="F17" s="21" t="n">
        <f aca="false">IFERROR(E17/(Baseline!I17*(1+Assumptions!$E$13)*IFERROR(MAX(0,E17)/'History Y-1'!Q17,1)^Assumptions!$E$15),0)</f>
        <v>58993.5876954213</v>
      </c>
      <c r="G17" s="20" t="n">
        <f aca="false">IF('Media Plan'!P17&lt;&gt;"",'Media Plan'!P17,Assumptions!$E$12*Baseline!V17)</f>
        <v>4501.2227801032</v>
      </c>
      <c r="H17" s="21" t="n">
        <f aca="false">IFERROR(G17/(Baseline!J17*(1+Assumptions!$E$13)*IFERROR(MAX(0,G17)/'History Y-1'!R17,1)^Assumptions!$E$16),0)</f>
        <v>19728.4246539542</v>
      </c>
      <c r="I17" s="21" t="n">
        <f aca="false">'History Y-1'!$F$58*(1+Assumptions!$E$6)*Baseline!Q17+'History Y-1'!$G$58*(1+Assumptions!$E$7)*Baseline!R17+J17</f>
        <v>180551.788548796</v>
      </c>
      <c r="J17" s="21" t="n">
        <f aca="false">'History Y-1'!$H$58*(1+Assumptions!$E$8)*Baseline!S17</f>
        <v>20869.651761345</v>
      </c>
      <c r="K17" s="55" t="n">
        <f aca="false">D17+F17+H17+I17</f>
        <v>343621.312678091</v>
      </c>
      <c r="L17" s="21" t="n">
        <f aca="false">K17*Baseline!B17*(1+Assumptions!$E$18)*(1+Calendar!G17)</f>
        <v>7628.41682089569</v>
      </c>
      <c r="M17" s="20" t="n">
        <f aca="false">L17*Baseline!C17*(1+Assumptions!$E$19)</f>
        <v>577014.024080349</v>
      </c>
      <c r="N17" s="31" t="n">
        <f aca="false">MAX(0,MIN(0.9,Baseline!E17+Assumptions!$E$20))</f>
        <v>0.0720858914901117</v>
      </c>
      <c r="O17" s="31" t="n">
        <f aca="false">MAX(0,Baseline!F17+Assumptions!$E$21)</f>
        <v>0.257646799119499</v>
      </c>
      <c r="P17" s="49" t="n">
        <f aca="false">M17*O17</f>
        <v>148665.816351364</v>
      </c>
      <c r="Q17" s="49" t="n">
        <f aca="false">M17-P17</f>
        <v>428348.207728985</v>
      </c>
      <c r="R17" s="21" t="n">
        <f aca="false">L17*Baseline!D17</f>
        <v>14320.0019657583</v>
      </c>
      <c r="S17" s="21" t="n">
        <f aca="false">IFERROR(P17/(Baseline!C17*(1+Assumptions!$E$19)),0)</f>
        <v>1965.43717625312</v>
      </c>
      <c r="T17" s="20" t="n">
        <f aca="false">Q17/(1-N17)*(1-Assumptions!$E$23)</f>
        <v>175417.441597484</v>
      </c>
      <c r="U17" s="20" t="n">
        <f aca="false">P17/(1-N17)*(1-Assumptions!$E$23)*Assumptions!$E$24</f>
        <v>2435.26894118417</v>
      </c>
      <c r="V17" s="49" t="n">
        <f aca="false">Q17-T17-U17</f>
        <v>250495.497190318</v>
      </c>
      <c r="W17" s="20" t="n">
        <f aca="false">T17*Assumptions!$E$25+L17*(Assumptions!$E$27-Assumptions!$E$28+Assumptions!$E$29+Assumptions!$E$36*Assumptions!$E$37)+R17*Assumptions!$E$30+S17*(Assumptions!$E$31+Assumptions!$E$32)+M17*(Assumptions!$E$33+Assumptions!$E$38)+IFERROR(M17*J17/K17,0)*Assumptions!$E$35*Assumptions!$E$34</f>
        <v>65770.818909409</v>
      </c>
      <c r="X17" s="49" t="n">
        <f aca="false">V17-W17</f>
        <v>184724.678280909</v>
      </c>
      <c r="Y17" s="49" t="n">
        <f aca="false">C17+E17+G17</f>
        <v>61371.0755425759</v>
      </c>
      <c r="Z17" s="49" t="n">
        <f aca="false">X17-Y17</f>
        <v>123353.602738333</v>
      </c>
      <c r="AA17" s="20" t="n">
        <f aca="false">'Fixed Costs'!$G$31/52</f>
        <v>25332.6923076923</v>
      </c>
      <c r="AB17" s="49" t="n">
        <f aca="false">Z17-AA17</f>
        <v>98020.9104306404</v>
      </c>
      <c r="AC17" s="21" t="n">
        <f aca="false">L17*Baseline!G17</f>
        <v>2581.59908555288</v>
      </c>
    </row>
    <row r="18" customFormat="false" ht="15" hidden="false" customHeight="false" outlineLevel="0" collapsed="false">
      <c r="A18" s="13" t="n">
        <v>13</v>
      </c>
      <c r="B18" s="14" t="str">
        <f aca="false">Calendar!D18</f>
        <v>P3</v>
      </c>
      <c r="C18" s="20" t="n">
        <f aca="false">IF('Media Plan'!D18&lt;&gt;"",'Media Plan'!D18,Assumptions!$E$10*Baseline!T18)</f>
        <v>40263.8763438505</v>
      </c>
      <c r="D18" s="21" t="n">
        <f aca="false">IFERROR(C18/(Baseline!H18*(1+Assumptions!$E$13)*IFERROR(MAX(0,C18)/'History Y-1'!P18,1)^Assumptions!$E$14),0)</f>
        <v>79212.963243833</v>
      </c>
      <c r="E18" s="20" t="n">
        <f aca="false">IF('Media Plan'!J18&lt;&gt;"",'Media Plan'!J18,Assumptions!$E$11*Baseline!U18)</f>
        <v>20203.8016988526</v>
      </c>
      <c r="F18" s="21" t="n">
        <f aca="false">IFERROR(E18/(Baseline!I18*(1+Assumptions!$E$13)*IFERROR(MAX(0,E18)/'History Y-1'!Q18,1)^Assumptions!$E$15),0)</f>
        <v>55262.2086258248</v>
      </c>
      <c r="G18" s="20" t="n">
        <f aca="false">IF('Media Plan'!P18&lt;&gt;"",'Media Plan'!P18,Assumptions!$E$12*Baseline!V18)</f>
        <v>4403.75423610601</v>
      </c>
      <c r="H18" s="21" t="n">
        <f aca="false">IFERROR(G18/(Baseline!J18*(1+Assumptions!$E$13)*IFERROR(MAX(0,G18)/'History Y-1'!R18,1)^Assumptions!$E$16),0)</f>
        <v>18479.127013319</v>
      </c>
      <c r="I18" s="21" t="n">
        <f aca="false">'History Y-1'!$F$58*(1+Assumptions!$E$6)*Baseline!Q18+'History Y-1'!$G$58*(1+Assumptions!$E$7)*Baseline!R18+J18</f>
        <v>182977.245330067</v>
      </c>
      <c r="J18" s="21" t="n">
        <f aca="false">'History Y-1'!$H$58*(1+Assumptions!$E$8)*Baseline!S18</f>
        <v>21925.6447562752</v>
      </c>
      <c r="K18" s="55" t="n">
        <f aca="false">D18+F18+H18+I18</f>
        <v>335931.544213043</v>
      </c>
      <c r="L18" s="21" t="n">
        <f aca="false">K18*Baseline!B18*(1+Assumptions!$E$18)*(1+Calendar!G18)</f>
        <v>7431.71222611666</v>
      </c>
      <c r="M18" s="20" t="n">
        <f aca="false">L18*Baseline!C18*(1+Assumptions!$E$19)</f>
        <v>581634.574079248</v>
      </c>
      <c r="N18" s="31" t="n">
        <f aca="false">MAX(0,MIN(0.9,Baseline!E18+Assumptions!$E$20))</f>
        <v>0.0726368635711652</v>
      </c>
      <c r="O18" s="31" t="n">
        <f aca="false">MAX(0,Baseline!F18+Assumptions!$E$21)</f>
        <v>0.246998513757347</v>
      </c>
      <c r="P18" s="49" t="n">
        <f aca="false">M18*O18</f>
        <v>143662.875347462</v>
      </c>
      <c r="Q18" s="49" t="n">
        <f aca="false">M18-P18</f>
        <v>437971.698731786</v>
      </c>
      <c r="R18" s="21" t="n">
        <f aca="false">L18*Baseline!D18</f>
        <v>13988.1877671226</v>
      </c>
      <c r="S18" s="21" t="n">
        <f aca="false">IFERROR(P18/(Baseline!C18*(1+Assumptions!$E$19)),0)</f>
        <v>1835.62187452312</v>
      </c>
      <c r="T18" s="20" t="n">
        <f aca="false">Q18/(1-N18)*(1-Assumptions!$E$23)</f>
        <v>179465.021824113</v>
      </c>
      <c r="U18" s="20" t="n">
        <f aca="false">P18/(1-N18)*(1-Assumptions!$E$23)*Assumptions!$E$24</f>
        <v>2354.71480318971</v>
      </c>
      <c r="V18" s="49" t="n">
        <f aca="false">Q18-T18-U18</f>
        <v>256151.962104484</v>
      </c>
      <c r="W18" s="20" t="n">
        <f aca="false">T18*Assumptions!$E$25+L18*(Assumptions!$E$27-Assumptions!$E$28+Assumptions!$E$29+Assumptions!$E$36*Assumptions!$E$37)+R18*Assumptions!$E$30+S18*(Assumptions!$E$31+Assumptions!$E$32)+M18*(Assumptions!$E$33+Assumptions!$E$38)+IFERROR(M18*J18/K18,0)*Assumptions!$E$35*Assumptions!$E$34</f>
        <v>64601.5612764322</v>
      </c>
      <c r="X18" s="49" t="n">
        <f aca="false">V18-W18</f>
        <v>191550.400828051</v>
      </c>
      <c r="Y18" s="49" t="n">
        <f aca="false">C18+E18+G18</f>
        <v>64871.4322788092</v>
      </c>
      <c r="Z18" s="49" t="n">
        <f aca="false">X18-Y18</f>
        <v>126678.968549242</v>
      </c>
      <c r="AA18" s="20" t="n">
        <f aca="false">'Fixed Costs'!$G$31/52</f>
        <v>25332.6923076923</v>
      </c>
      <c r="AB18" s="49" t="n">
        <f aca="false">Z18-AA18</f>
        <v>101346.27624155</v>
      </c>
      <c r="AC18" s="21" t="n">
        <f aca="false">L18*Baseline!G18</f>
        <v>2588.17863522697</v>
      </c>
    </row>
    <row r="19" customFormat="false" ht="15" hidden="false" customHeight="false" outlineLevel="0" collapsed="false">
      <c r="A19" s="13" t="n">
        <v>14</v>
      </c>
      <c r="B19" s="14" t="str">
        <f aca="false">Calendar!D19</f>
        <v>P4</v>
      </c>
      <c r="C19" s="20" t="n">
        <f aca="false">IF('Media Plan'!D19&lt;&gt;"",'Media Plan'!D19,Assumptions!$E$10*Baseline!T19)</f>
        <v>42655.8584133052</v>
      </c>
      <c r="D19" s="21" t="n">
        <f aca="false">IFERROR(C19/(Baseline!H19*(1+Assumptions!$E$13)*IFERROR(MAX(0,C19)/'History Y-1'!P19,1)^Assumptions!$E$14),0)</f>
        <v>88063.0075904312</v>
      </c>
      <c r="E19" s="20" t="n">
        <f aca="false">IF('Media Plan'!J19&lt;&gt;"",'Media Plan'!J19,Assumptions!$E$11*Baseline!U19)</f>
        <v>21221.5863415018</v>
      </c>
      <c r="F19" s="21" t="n">
        <f aca="false">IFERROR(E19/(Baseline!I19*(1+Assumptions!$E$13)*IFERROR(MAX(0,E19)/'History Y-1'!Q19,1)^Assumptions!$E$15),0)</f>
        <v>55994.0719475117</v>
      </c>
      <c r="G19" s="20" t="n">
        <f aca="false">IF('Media Plan'!P19&lt;&gt;"",'Media Plan'!P19,Assumptions!$E$12*Baseline!V19)</f>
        <v>4818.58564016421</v>
      </c>
      <c r="H19" s="21" t="n">
        <f aca="false">IFERROR(G19/(Baseline!J19*(1+Assumptions!$E$13)*IFERROR(MAX(0,G19)/'History Y-1'!R19,1)^Assumptions!$E$16),0)</f>
        <v>19670.6054701891</v>
      </c>
      <c r="I19" s="21" t="n">
        <f aca="false">'History Y-1'!$F$58*(1+Assumptions!$E$6)*Baseline!Q19+'History Y-1'!$G$58*(1+Assumptions!$E$7)*Baseline!R19+J19</f>
        <v>194135.085700166</v>
      </c>
      <c r="J19" s="21" t="n">
        <f aca="false">'History Y-1'!$H$58*(1+Assumptions!$E$8)*Baseline!S19</f>
        <v>23029.920283134</v>
      </c>
      <c r="K19" s="55" t="n">
        <f aca="false">D19+F19+H19+I19</f>
        <v>357862.770708298</v>
      </c>
      <c r="L19" s="21" t="n">
        <f aca="false">K19*Baseline!B19*(1+Assumptions!$E$18)*(1+Calendar!G19)</f>
        <v>8093.30952043027</v>
      </c>
      <c r="M19" s="20" t="n">
        <f aca="false">L19*Baseline!C19*(1+Assumptions!$E$19)</f>
        <v>634864.114175207</v>
      </c>
      <c r="N19" s="31" t="n">
        <f aca="false">MAX(0,MIN(0.9,Baseline!E19+Assumptions!$E$20))</f>
        <v>0.0682264682320803</v>
      </c>
      <c r="O19" s="31" t="n">
        <f aca="false">MAX(0,Baseline!F19+Assumptions!$E$21)</f>
        <v>0.248401284826854</v>
      </c>
      <c r="P19" s="49" t="n">
        <f aca="false">M19*O19</f>
        <v>157701.061651584</v>
      </c>
      <c r="Q19" s="49" t="n">
        <f aca="false">M19-P19</f>
        <v>477163.052523623</v>
      </c>
      <c r="R19" s="21" t="n">
        <f aca="false">L19*Baseline!D19</f>
        <v>15097.68721879</v>
      </c>
      <c r="S19" s="21" t="n">
        <f aca="false">IFERROR(P19/(Baseline!C19*(1+Assumptions!$E$19)),0)</f>
        <v>2010.38848337629</v>
      </c>
      <c r="T19" s="20" t="n">
        <f aca="false">Q19/(1-N19)*(1-Assumptions!$E$23)</f>
        <v>194598.745056582</v>
      </c>
      <c r="U19" s="20" t="n">
        <f aca="false">P19/(1-N19)*(1-Assumptions!$E$23)*Assumptions!$E$24</f>
        <v>2572.5737589433</v>
      </c>
      <c r="V19" s="49" t="n">
        <f aca="false">Q19-T19-U19</f>
        <v>279991.733708097</v>
      </c>
      <c r="W19" s="20" t="n">
        <f aca="false">T19*Assumptions!$E$25+L19*(Assumptions!$E$27-Assumptions!$E$28+Assumptions!$E$29+Assumptions!$E$36*Assumptions!$E$37)+R19*Assumptions!$E$30+S19*(Assumptions!$E$31+Assumptions!$E$32)+M19*(Assumptions!$E$33+Assumptions!$E$38)+IFERROR(M19*J19/K19,0)*Assumptions!$E$35*Assumptions!$E$34</f>
        <v>70255.0431522968</v>
      </c>
      <c r="X19" s="49" t="n">
        <f aca="false">V19-W19</f>
        <v>209736.6905558</v>
      </c>
      <c r="Y19" s="49" t="n">
        <f aca="false">C19+E19+G19</f>
        <v>68696.0303949712</v>
      </c>
      <c r="Z19" s="49" t="n">
        <f aca="false">X19-Y19</f>
        <v>141040.660160829</v>
      </c>
      <c r="AA19" s="20" t="n">
        <f aca="false">'Fixed Costs'!$G$31/52</f>
        <v>25332.6923076923</v>
      </c>
      <c r="AB19" s="49" t="n">
        <f aca="false">Z19-AA19</f>
        <v>115707.967853137</v>
      </c>
      <c r="AC19" s="21" t="n">
        <f aca="false">L19*Baseline!G19</f>
        <v>2824.06274245504</v>
      </c>
    </row>
    <row r="20" customFormat="false" ht="15" hidden="false" customHeight="false" outlineLevel="0" collapsed="false">
      <c r="A20" s="13" t="n">
        <v>15</v>
      </c>
      <c r="B20" s="14" t="str">
        <f aca="false">Calendar!D20</f>
        <v>P4</v>
      </c>
      <c r="C20" s="20" t="n">
        <f aca="false">IF('Media Plan'!D20&lt;&gt;"",'Media Plan'!D20,Assumptions!$E$10*Baseline!T20)</f>
        <v>43301.2413060074</v>
      </c>
      <c r="D20" s="21" t="n">
        <f aca="false">IFERROR(C20/(Baseline!H20*(1+Assumptions!$E$13)*IFERROR(MAX(0,C20)/'History Y-1'!P20,1)^Assumptions!$E$14),0)</f>
        <v>88178.714282174</v>
      </c>
      <c r="E20" s="20" t="n">
        <f aca="false">IF('Media Plan'!J20&lt;&gt;"",'Media Plan'!J20,Assumptions!$E$11*Baseline!U20)</f>
        <v>19721.1676359833</v>
      </c>
      <c r="F20" s="21" t="n">
        <f aca="false">IFERROR(E20/(Baseline!I20*(1+Assumptions!$E$13)*IFERROR(MAX(0,E20)/'History Y-1'!Q20,1)^Assumptions!$E$15),0)</f>
        <v>54878.8432226583</v>
      </c>
      <c r="G20" s="20" t="n">
        <f aca="false">IF('Media Plan'!P20&lt;&gt;"",'Media Plan'!P20,Assumptions!$E$12*Baseline!V20)</f>
        <v>4745.10423920395</v>
      </c>
      <c r="H20" s="21" t="n">
        <f aca="false">IFERROR(G20/(Baseline!J20*(1+Assumptions!$E$13)*IFERROR(MAX(0,G20)/'History Y-1'!R20,1)^Assumptions!$E$16),0)</f>
        <v>19660.2482738275</v>
      </c>
      <c r="I20" s="21" t="n">
        <f aca="false">'History Y-1'!$F$58*(1+Assumptions!$E$6)*Baseline!Q20+'History Y-1'!$G$58*(1+Assumptions!$E$7)*Baseline!R20+J20</f>
        <v>189116.417650557</v>
      </c>
      <c r="J20" s="21" t="n">
        <f aca="false">'History Y-1'!$H$58*(1+Assumptions!$E$8)*Baseline!S20</f>
        <v>22098.88939794</v>
      </c>
      <c r="K20" s="55" t="n">
        <f aca="false">D20+F20+H20+I20</f>
        <v>351834.223429217</v>
      </c>
      <c r="L20" s="21" t="n">
        <f aca="false">K20*Baseline!B20*(1+Assumptions!$E$18)*(1+Calendar!G20)</f>
        <v>7833.47107929874</v>
      </c>
      <c r="M20" s="20" t="n">
        <f aca="false">L20*Baseline!C20*(1+Assumptions!$E$19)</f>
        <v>620725.539138172</v>
      </c>
      <c r="N20" s="31" t="n">
        <f aca="false">MAX(0,MIN(0.9,Baseline!E20+Assumptions!$E$20))</f>
        <v>0.0675871775762531</v>
      </c>
      <c r="O20" s="31" t="n">
        <f aca="false">MAX(0,Baseline!F20+Assumptions!$E$21)</f>
        <v>0.247247648462997</v>
      </c>
      <c r="P20" s="49" t="n">
        <f aca="false">M20*O20</f>
        <v>153472.929892839</v>
      </c>
      <c r="Q20" s="49" t="n">
        <f aca="false">M20-P20</f>
        <v>467252.609245333</v>
      </c>
      <c r="R20" s="21" t="n">
        <f aca="false">L20*Baseline!D20</f>
        <v>14924.3387483759</v>
      </c>
      <c r="S20" s="21" t="n">
        <f aca="false">IFERROR(P20/(Baseline!C20*(1+Assumptions!$E$19)),0)</f>
        <v>1936.80730365951</v>
      </c>
      <c r="T20" s="20" t="n">
        <f aca="false">Q20/(1-N20)*(1-Assumptions!$E$23)</f>
        <v>190426.372571412</v>
      </c>
      <c r="U20" s="20" t="n">
        <f aca="false">P20/(1-N20)*(1-Assumptions!$E$23)*Assumptions!$E$24</f>
        <v>2501.88379896709</v>
      </c>
      <c r="V20" s="49" t="n">
        <f aca="false">Q20-T20-U20</f>
        <v>274324.352874954</v>
      </c>
      <c r="W20" s="20" t="n">
        <f aca="false">T20*Assumptions!$E$25+L20*(Assumptions!$E$27-Assumptions!$E$28+Assumptions!$E$29+Assumptions!$E$36*Assumptions!$E$37)+R20*Assumptions!$E$30+S20*(Assumptions!$E$31+Assumptions!$E$32)+M20*(Assumptions!$E$33+Assumptions!$E$38)+IFERROR(M20*J20/K20,0)*Assumptions!$E$35*Assumptions!$E$34</f>
        <v>68337.9460853963</v>
      </c>
      <c r="X20" s="49" t="n">
        <f aca="false">V20-W20</f>
        <v>205986.406789557</v>
      </c>
      <c r="Y20" s="49" t="n">
        <f aca="false">C20+E20+G20</f>
        <v>67767.5131811947</v>
      </c>
      <c r="Z20" s="49" t="n">
        <f aca="false">X20-Y20</f>
        <v>138218.893608363</v>
      </c>
      <c r="AA20" s="20" t="n">
        <f aca="false">'Fixed Costs'!$G$31/52</f>
        <v>25332.6923076923</v>
      </c>
      <c r="AB20" s="49" t="n">
        <f aca="false">Z20-AA20</f>
        <v>112886.20130067</v>
      </c>
      <c r="AC20" s="21" t="n">
        <f aca="false">L20*Baseline!G20</f>
        <v>2711.64730428124</v>
      </c>
    </row>
    <row r="21" customFormat="false" ht="15" hidden="false" customHeight="false" outlineLevel="0" collapsed="false">
      <c r="A21" s="13" t="n">
        <v>16</v>
      </c>
      <c r="B21" s="14" t="str">
        <f aca="false">Calendar!D21</f>
        <v>P4</v>
      </c>
      <c r="C21" s="20" t="n">
        <f aca="false">IF('Media Plan'!D21&lt;&gt;"",'Media Plan'!D21,Assumptions!$E$10*Baseline!T21)</f>
        <v>41887.1231937274</v>
      </c>
      <c r="D21" s="21" t="n">
        <f aca="false">IFERROR(C21/(Baseline!H21*(1+Assumptions!$E$13)*IFERROR(MAX(0,C21)/'History Y-1'!P21,1)^Assumptions!$E$14),0)</f>
        <v>85448.8979292762</v>
      </c>
      <c r="E21" s="20" t="n">
        <f aca="false">IF('Media Plan'!J21&lt;&gt;"",'Media Plan'!J21,Assumptions!$E$11*Baseline!U21)</f>
        <v>20426.8449644945</v>
      </c>
      <c r="F21" s="21" t="n">
        <f aca="false">IFERROR(E21/(Baseline!I21*(1+Assumptions!$E$13)*IFERROR(MAX(0,E21)/'History Y-1'!Q21,1)^Assumptions!$E$15),0)</f>
        <v>56380.8831456866</v>
      </c>
      <c r="G21" s="20" t="n">
        <f aca="false">IF('Media Plan'!P21&lt;&gt;"",'Media Plan'!P21,Assumptions!$E$12*Baseline!V21)</f>
        <v>4982.36989839644</v>
      </c>
      <c r="H21" s="21" t="n">
        <f aca="false">IFERROR(G21/(Baseline!J21*(1+Assumptions!$E$13)*IFERROR(MAX(0,G21)/'History Y-1'!R21,1)^Assumptions!$E$16),0)</f>
        <v>20813.808091967</v>
      </c>
      <c r="I21" s="21" t="n">
        <f aca="false">'History Y-1'!$F$58*(1+Assumptions!$E$6)*Baseline!Q21+'History Y-1'!$G$58*(1+Assumptions!$E$7)*Baseline!R21+J21</f>
        <v>196360.513568783</v>
      </c>
      <c r="J21" s="21" t="n">
        <f aca="false">'History Y-1'!$H$58*(1+Assumptions!$E$8)*Baseline!S21</f>
        <v>23540.5018306336</v>
      </c>
      <c r="K21" s="55" t="n">
        <f aca="false">D21+F21+H21+I21</f>
        <v>359004.102735713</v>
      </c>
      <c r="L21" s="21" t="n">
        <f aca="false">K21*Baseline!B21*(1+Assumptions!$E$18)*(1+Calendar!G21)</f>
        <v>8045.02089662487</v>
      </c>
      <c r="M21" s="20" t="n">
        <f aca="false">L21*Baseline!C21*(1+Assumptions!$E$19)</f>
        <v>637839.994294816</v>
      </c>
      <c r="N21" s="31" t="n">
        <f aca="false">MAX(0,MIN(0.9,Baseline!E21+Assumptions!$E$20))</f>
        <v>0.0724666775659074</v>
      </c>
      <c r="O21" s="31" t="n">
        <f aca="false">MAX(0,Baseline!F21+Assumptions!$E$21)</f>
        <v>0.247869977537873</v>
      </c>
      <c r="P21" s="49" t="n">
        <f aca="false">M21*O21</f>
        <v>158101.385058613</v>
      </c>
      <c r="Q21" s="49" t="n">
        <f aca="false">M21-P21</f>
        <v>479738.609236203</v>
      </c>
      <c r="R21" s="21" t="n">
        <f aca="false">L21*Baseline!D21</f>
        <v>15417.8944860259</v>
      </c>
      <c r="S21" s="21" t="n">
        <f aca="false">IFERROR(P21/(Baseline!C21*(1+Assumptions!$E$19)),0)</f>
        <v>1994.11914893812</v>
      </c>
      <c r="T21" s="20" t="n">
        <f aca="false">Q21/(1-N21)*(1-Assumptions!$E$23)</f>
        <v>196543.527979515</v>
      </c>
      <c r="U21" s="20" t="n">
        <f aca="false">P21/(1-N21)*(1-Assumptions!$E$23)*Assumptions!$E$24</f>
        <v>2590.8945746385</v>
      </c>
      <c r="V21" s="49" t="n">
        <f aca="false">Q21-T21-U21</f>
        <v>280604.18668205</v>
      </c>
      <c r="W21" s="20" t="n">
        <f aca="false">T21*Assumptions!$E$25+L21*(Assumptions!$E$27-Assumptions!$E$28+Assumptions!$E$29+Assumptions!$E$36*Assumptions!$E$37)+R21*Assumptions!$E$30+S21*(Assumptions!$E$31+Assumptions!$E$32)+M21*(Assumptions!$E$33+Assumptions!$E$38)+IFERROR(M21*J21/K21,0)*Assumptions!$E$35*Assumptions!$E$34</f>
        <v>70443.289786621</v>
      </c>
      <c r="X21" s="49" t="n">
        <f aca="false">V21-W21</f>
        <v>210160.896895429</v>
      </c>
      <c r="Y21" s="49" t="n">
        <f aca="false">C21+E21+G21</f>
        <v>67296.3380566184</v>
      </c>
      <c r="Z21" s="49" t="n">
        <f aca="false">X21-Y21</f>
        <v>142864.558838811</v>
      </c>
      <c r="AA21" s="20" t="n">
        <f aca="false">'Fixed Costs'!$G$31/52</f>
        <v>25332.6923076923</v>
      </c>
      <c r="AB21" s="49" t="n">
        <f aca="false">Z21-AA21</f>
        <v>117531.866531118</v>
      </c>
      <c r="AC21" s="21" t="n">
        <f aca="false">L21*Baseline!G21</f>
        <v>2775.93172770026</v>
      </c>
    </row>
    <row r="22" customFormat="false" ht="15" hidden="false" customHeight="false" outlineLevel="0" collapsed="false">
      <c r="A22" s="13" t="n">
        <v>17</v>
      </c>
      <c r="B22" s="14" t="str">
        <f aca="false">Calendar!D22</f>
        <v>P4</v>
      </c>
      <c r="C22" s="20" t="n">
        <f aca="false">IF('Media Plan'!D22&lt;&gt;"",'Media Plan'!D22,Assumptions!$E$10*Baseline!T22)</f>
        <v>42215.529711334</v>
      </c>
      <c r="D22" s="21" t="n">
        <f aca="false">IFERROR(C22/(Baseline!H22*(1+Assumptions!$E$13)*IFERROR(MAX(0,C22)/'History Y-1'!P22,1)^Assumptions!$E$14),0)</f>
        <v>89121.0021261382</v>
      </c>
      <c r="E22" s="20" t="n">
        <f aca="false">IF('Media Plan'!J22&lt;&gt;"",'Media Plan'!J22,Assumptions!$E$11*Baseline!U22)</f>
        <v>21904.4456451476</v>
      </c>
      <c r="F22" s="21" t="n">
        <f aca="false">IFERROR(E22/(Baseline!I22*(1+Assumptions!$E$13)*IFERROR(MAX(0,E22)/'History Y-1'!Q22,1)^Assumptions!$E$15),0)</f>
        <v>59429.960415132</v>
      </c>
      <c r="G22" s="20" t="n">
        <f aca="false">IF('Media Plan'!P22&lt;&gt;"",'Media Plan'!P22,Assumptions!$E$12*Baseline!V22)</f>
        <v>4653.7337744888</v>
      </c>
      <c r="H22" s="21" t="n">
        <f aca="false">IFERROR(G22/(Baseline!J22*(1+Assumptions!$E$13)*IFERROR(MAX(0,G22)/'History Y-1'!R22,1)^Assumptions!$E$16),0)</f>
        <v>19594.390254902</v>
      </c>
      <c r="I22" s="21" t="n">
        <f aca="false">'History Y-1'!$F$58*(1+Assumptions!$E$6)*Baseline!Q22+'History Y-1'!$G$58*(1+Assumptions!$E$7)*Baseline!R22+J22</f>
        <v>193364.342898454</v>
      </c>
      <c r="J22" s="21" t="n">
        <f aca="false">'History Y-1'!$H$58*(1+Assumptions!$E$8)*Baseline!S22</f>
        <v>23055.1772700665</v>
      </c>
      <c r="K22" s="55" t="n">
        <f aca="false">D22+F22+H22+I22</f>
        <v>361509.695694626</v>
      </c>
      <c r="L22" s="21" t="n">
        <f aca="false">K22*Baseline!B22*(1+Assumptions!$E$18)*(1+Calendar!G22)</f>
        <v>7852.12219314901</v>
      </c>
      <c r="M22" s="20" t="n">
        <f aca="false">L22*Baseline!C22*(1+Assumptions!$E$19)</f>
        <v>607871.287339104</v>
      </c>
      <c r="N22" s="31" t="n">
        <f aca="false">MAX(0,MIN(0.9,Baseline!E22+Assumptions!$E$20))</f>
        <v>0.0691205885732181</v>
      </c>
      <c r="O22" s="31" t="n">
        <f aca="false">MAX(0,Baseline!F22+Assumptions!$E$21)</f>
        <v>0.25626757724974</v>
      </c>
      <c r="P22" s="49" t="n">
        <f aca="false">M22*O22</f>
        <v>155777.702086073</v>
      </c>
      <c r="Q22" s="49" t="n">
        <f aca="false">M22-P22</f>
        <v>452093.585253031</v>
      </c>
      <c r="R22" s="21" t="n">
        <f aca="false">L22*Baseline!D22</f>
        <v>15112.297879868</v>
      </c>
      <c r="S22" s="21" t="n">
        <f aca="false">IFERROR(P22/(Baseline!C22*(1+Assumptions!$E$19)),0)</f>
        <v>2012.24433070721</v>
      </c>
      <c r="T22" s="20" t="n">
        <f aca="false">Q22/(1-N22)*(1-Assumptions!$E$23)</f>
        <v>184551.898223677</v>
      </c>
      <c r="U22" s="20" t="n">
        <f aca="false">P22/(1-N22)*(1-Assumptions!$E$23)*Assumptions!$E$24</f>
        <v>2543.63888882137</v>
      </c>
      <c r="V22" s="49" t="n">
        <f aca="false">Q22-T22-U22</f>
        <v>264998.048140533</v>
      </c>
      <c r="W22" s="20" t="n">
        <f aca="false">T22*Assumptions!$E$25+L22*(Assumptions!$E$27-Assumptions!$E$28+Assumptions!$E$29+Assumptions!$E$36*Assumptions!$E$37)+R22*Assumptions!$E$30+S22*(Assumptions!$E$31+Assumptions!$E$32)+M22*(Assumptions!$E$33+Assumptions!$E$38)+IFERROR(M22*J22/K22,0)*Assumptions!$E$35*Assumptions!$E$34</f>
        <v>68496.1850654573</v>
      </c>
      <c r="X22" s="49" t="n">
        <f aca="false">V22-W22</f>
        <v>196501.863075076</v>
      </c>
      <c r="Y22" s="49" t="n">
        <f aca="false">C22+E22+G22</f>
        <v>68773.7091309704</v>
      </c>
      <c r="Z22" s="49" t="n">
        <f aca="false">X22-Y22</f>
        <v>127728.153944105</v>
      </c>
      <c r="AA22" s="20" t="n">
        <f aca="false">'Fixed Costs'!$G$31/52</f>
        <v>25332.6923076923</v>
      </c>
      <c r="AB22" s="49" t="n">
        <f aca="false">Z22-AA22</f>
        <v>102395.461636413</v>
      </c>
      <c r="AC22" s="21" t="n">
        <f aca="false">L22*Baseline!G22</f>
        <v>2818.61193920749</v>
      </c>
    </row>
    <row r="23" customFormat="false" ht="15" hidden="false" customHeight="false" outlineLevel="0" collapsed="false">
      <c r="A23" s="13" t="n">
        <v>18</v>
      </c>
      <c r="B23" s="14" t="str">
        <f aca="false">Calendar!D23</f>
        <v>P5</v>
      </c>
      <c r="C23" s="20" t="n">
        <f aca="false">IF('Media Plan'!D23&lt;&gt;"",'Media Plan'!D23,Assumptions!$E$10*Baseline!T23)</f>
        <v>41230.5138677601</v>
      </c>
      <c r="D23" s="21" t="n">
        <f aca="false">IFERROR(C23/(Baseline!H23*(1+Assumptions!$E$13)*IFERROR(MAX(0,C23)/'History Y-1'!P23,1)^Assumptions!$E$14),0)</f>
        <v>83493.4712414328</v>
      </c>
      <c r="E23" s="20" t="n">
        <f aca="false">IF('Media Plan'!J23&lt;&gt;"",'Media Plan'!J23,Assumptions!$E$11*Baseline!U23)</f>
        <v>20454.3782488843</v>
      </c>
      <c r="F23" s="21" t="n">
        <f aca="false">IFERROR(E23/(Baseline!I23*(1+Assumptions!$E$13)*IFERROR(MAX(0,E23)/'History Y-1'!Q23,1)^Assumptions!$E$15),0)</f>
        <v>54388.2337332992</v>
      </c>
      <c r="G23" s="20" t="n">
        <f aca="false">IF('Media Plan'!P23&lt;&gt;"",'Media Plan'!P23,Assumptions!$E$12*Baseline!V23)</f>
        <v>4790.12424242762</v>
      </c>
      <c r="H23" s="21" t="n">
        <f aca="false">IFERROR(G23/(Baseline!J23*(1+Assumptions!$E$13)*IFERROR(MAX(0,G23)/'History Y-1'!R23,1)^Assumptions!$E$16),0)</f>
        <v>19513.1532038372</v>
      </c>
      <c r="I23" s="21" t="n">
        <f aca="false">'History Y-1'!$F$58*(1+Assumptions!$E$6)*Baseline!Q23+'History Y-1'!$G$58*(1+Assumptions!$E$7)*Baseline!R23+J23</f>
        <v>191259.763880733</v>
      </c>
      <c r="J23" s="21" t="n">
        <f aca="false">'History Y-1'!$H$58*(1+Assumptions!$E$8)*Baseline!S23</f>
        <v>21923.6703865343</v>
      </c>
      <c r="K23" s="55" t="n">
        <f aca="false">D23+F23+H23+I23</f>
        <v>348654.622059303</v>
      </c>
      <c r="L23" s="21" t="n">
        <f aca="false">K23*Baseline!B23*(1+Assumptions!$E$18)*(1+Calendar!G23)</f>
        <v>7590.01664135062</v>
      </c>
      <c r="M23" s="20" t="n">
        <f aca="false">L23*Baseline!C23*(1+Assumptions!$E$19)</f>
        <v>601959.256164097</v>
      </c>
      <c r="N23" s="31" t="n">
        <f aca="false">MAX(0,MIN(0.9,Baseline!E23+Assumptions!$E$20))</f>
        <v>0.0687994209704977</v>
      </c>
      <c r="O23" s="31" t="n">
        <f aca="false">MAX(0,Baseline!F23+Assumptions!$E$21)</f>
        <v>0.245407042600766</v>
      </c>
      <c r="P23" s="49" t="n">
        <f aca="false">M23*O23</f>
        <v>147725.040821388</v>
      </c>
      <c r="Q23" s="49" t="n">
        <f aca="false">M23-P23</f>
        <v>454234.215342709</v>
      </c>
      <c r="R23" s="21" t="n">
        <f aca="false">L23*Baseline!D23</f>
        <v>14613.6930768778</v>
      </c>
      <c r="S23" s="21" t="n">
        <f aca="false">IFERROR(P23/(Baseline!C23*(1+Assumptions!$E$19)),0)</f>
        <v>1862.64353724445</v>
      </c>
      <c r="T23" s="20" t="n">
        <f aca="false">Q23/(1-N23)*(1-Assumptions!$E$23)</f>
        <v>185361.785331064</v>
      </c>
      <c r="U23" s="20" t="n">
        <f aca="false">P23/(1-N23)*(1-Assumptions!$E$23)*Assumptions!$E$24</f>
        <v>2411.31789546917</v>
      </c>
      <c r="V23" s="49" t="n">
        <f aca="false">Q23-T23-U23</f>
        <v>266461.112116175</v>
      </c>
      <c r="W23" s="20" t="n">
        <f aca="false">T23*Assumptions!$E$25+L23*(Assumptions!$E$27-Assumptions!$E$28+Assumptions!$E$29+Assumptions!$E$36*Assumptions!$E$37)+R23*Assumptions!$E$30+S23*(Assumptions!$E$31+Assumptions!$E$32)+M23*(Assumptions!$E$33+Assumptions!$E$38)+IFERROR(M23*J23/K23,0)*Assumptions!$E$35*Assumptions!$E$34</f>
        <v>66317.0665221753</v>
      </c>
      <c r="X23" s="49" t="n">
        <f aca="false">V23-W23</f>
        <v>200144.045594</v>
      </c>
      <c r="Y23" s="49" t="n">
        <f aca="false">C23+E23+G23</f>
        <v>66475.016359072</v>
      </c>
      <c r="Z23" s="49" t="n">
        <f aca="false">X23-Y23</f>
        <v>133669.029234928</v>
      </c>
      <c r="AA23" s="20" t="n">
        <f aca="false">'Fixed Costs'!$G$31/52</f>
        <v>25332.6923076923</v>
      </c>
      <c r="AB23" s="49" t="n">
        <f aca="false">Z23-AA23</f>
        <v>108336.336927236</v>
      </c>
      <c r="AC23" s="21" t="n">
        <f aca="false">L23*Baseline!G23</f>
        <v>2680.33517503237</v>
      </c>
    </row>
    <row r="24" customFormat="false" ht="15" hidden="false" customHeight="false" outlineLevel="0" collapsed="false">
      <c r="A24" s="13" t="n">
        <v>19</v>
      </c>
      <c r="B24" s="14" t="str">
        <f aca="false">Calendar!D24</f>
        <v>P5</v>
      </c>
      <c r="C24" s="20" t="n">
        <f aca="false">IF('Media Plan'!D24&lt;&gt;"",'Media Plan'!D24,Assumptions!$E$10*Baseline!T24)</f>
        <v>43751.7408372195</v>
      </c>
      <c r="D24" s="21" t="n">
        <f aca="false">IFERROR(C24/(Baseline!H24*(1+Assumptions!$E$13)*IFERROR(MAX(0,C24)/'History Y-1'!P24,1)^Assumptions!$E$14),0)</f>
        <v>87762.1156306174</v>
      </c>
      <c r="E24" s="20" t="n">
        <f aca="false">IF('Media Plan'!J24&lt;&gt;"",'Media Plan'!J24,Assumptions!$E$11*Baseline!U24)</f>
        <v>21218.3738189581</v>
      </c>
      <c r="F24" s="21" t="n">
        <f aca="false">IFERROR(E24/(Baseline!I24*(1+Assumptions!$E$13)*IFERROR(MAX(0,E24)/'History Y-1'!Q24,1)^Assumptions!$E$15),0)</f>
        <v>58683.9025106984</v>
      </c>
      <c r="G24" s="20" t="n">
        <f aca="false">IF('Media Plan'!P24&lt;&gt;"",'Media Plan'!P24,Assumptions!$E$12*Baseline!V24)</f>
        <v>5081.03424970617</v>
      </c>
      <c r="H24" s="21" t="n">
        <f aca="false">IFERROR(G24/(Baseline!J24*(1+Assumptions!$E$13)*IFERROR(MAX(0,G24)/'History Y-1'!R24,1)^Assumptions!$E$16),0)</f>
        <v>20518.6816178705</v>
      </c>
      <c r="I24" s="21" t="n">
        <f aca="false">'History Y-1'!$F$58*(1+Assumptions!$E$6)*Baseline!Q24+'History Y-1'!$G$58*(1+Assumptions!$E$7)*Baseline!R24+J24</f>
        <v>196643.798684331</v>
      </c>
      <c r="J24" s="21" t="n">
        <f aca="false">'History Y-1'!$H$58*(1+Assumptions!$E$8)*Baseline!S24</f>
        <v>22541.3341934646</v>
      </c>
      <c r="K24" s="55" t="n">
        <f aca="false">D24+F24+H24+I24</f>
        <v>363608.498443517</v>
      </c>
      <c r="L24" s="21" t="n">
        <f aca="false">K24*Baseline!B24*(1+Assumptions!$E$18)*(1+Calendar!G24)</f>
        <v>8282.32266608797</v>
      </c>
      <c r="M24" s="20" t="n">
        <f aca="false">L24*Baseline!C24*(1+Assumptions!$E$19)</f>
        <v>652925.467974918</v>
      </c>
      <c r="N24" s="31" t="n">
        <f aca="false">MAX(0,MIN(0.9,Baseline!E24+Assumptions!$E$20))</f>
        <v>0.06985340933346</v>
      </c>
      <c r="O24" s="31" t="n">
        <f aca="false">MAX(0,Baseline!F24+Assumptions!$E$21)</f>
        <v>0.254483437794478</v>
      </c>
      <c r="P24" s="49" t="n">
        <f aca="false">M24*O24</f>
        <v>166158.717713826</v>
      </c>
      <c r="Q24" s="49" t="n">
        <f aca="false">M24-P24</f>
        <v>486766.750261092</v>
      </c>
      <c r="R24" s="21" t="n">
        <f aca="false">L24*Baseline!D24</f>
        <v>16104.0394512388</v>
      </c>
      <c r="S24" s="21" t="n">
        <f aca="false">IFERROR(P24/(Baseline!C24*(1+Assumptions!$E$19)),0)</f>
        <v>2107.7139449892</v>
      </c>
      <c r="T24" s="20" t="n">
        <f aca="false">Q24/(1-N24)*(1-Assumptions!$E$23)</f>
        <v>198862.595375064</v>
      </c>
      <c r="U24" s="20" t="n">
        <f aca="false">P24/(1-N24)*(1-Assumptions!$E$23)*Assumptions!$E$24</f>
        <v>2715.28438054082</v>
      </c>
      <c r="V24" s="49" t="n">
        <f aca="false">Q24-T24-U24</f>
        <v>285188.870505488</v>
      </c>
      <c r="W24" s="20" t="n">
        <f aca="false">T24*Assumptions!$E$25+L24*(Assumptions!$E$27-Assumptions!$E$28+Assumptions!$E$29+Assumptions!$E$36*Assumptions!$E$37)+R24*Assumptions!$E$30+S24*(Assumptions!$E$31+Assumptions!$E$32)+M24*(Assumptions!$E$33+Assumptions!$E$38)+IFERROR(M24*J24/K24,0)*Assumptions!$E$35*Assumptions!$E$34</f>
        <v>72604.0304231215</v>
      </c>
      <c r="X24" s="49" t="n">
        <f aca="false">V24-W24</f>
        <v>212584.840082366</v>
      </c>
      <c r="Y24" s="49" t="n">
        <f aca="false">C24+E24+G24</f>
        <v>70051.1489058837</v>
      </c>
      <c r="Z24" s="49" t="n">
        <f aca="false">X24-Y24</f>
        <v>142533.691176483</v>
      </c>
      <c r="AA24" s="20" t="n">
        <f aca="false">'Fixed Costs'!$G$31/52</f>
        <v>25332.6923076923</v>
      </c>
      <c r="AB24" s="49" t="n">
        <f aca="false">Z24-AA24</f>
        <v>117200.99886879</v>
      </c>
      <c r="AC24" s="21" t="n">
        <f aca="false">L24*Baseline!G24</f>
        <v>2899.01891806192</v>
      </c>
    </row>
    <row r="25" customFormat="false" ht="15" hidden="false" customHeight="false" outlineLevel="0" collapsed="false">
      <c r="A25" s="13" t="n">
        <v>20</v>
      </c>
      <c r="B25" s="14" t="str">
        <f aca="false">Calendar!D25</f>
        <v>P5</v>
      </c>
      <c r="C25" s="20" t="n">
        <f aca="false">IF('Media Plan'!D25&lt;&gt;"",'Media Plan'!D25,Assumptions!$E$10*Baseline!T25)</f>
        <v>43339.831267227</v>
      </c>
      <c r="D25" s="21" t="n">
        <f aca="false">IFERROR(C25/(Baseline!H25*(1+Assumptions!$E$13)*IFERROR(MAX(0,C25)/'History Y-1'!P25,1)^Assumptions!$E$14),0)</f>
        <v>89391.3436420497</v>
      </c>
      <c r="E25" s="20" t="n">
        <f aca="false">IF('Media Plan'!J25&lt;&gt;"",'Media Plan'!J25,Assumptions!$E$11*Baseline!U25)</f>
        <v>20896.5395688239</v>
      </c>
      <c r="F25" s="21" t="n">
        <f aca="false">IFERROR(E25/(Baseline!I25*(1+Assumptions!$E$13)*IFERROR(MAX(0,E25)/'History Y-1'!Q25,1)^Assumptions!$E$15),0)</f>
        <v>57731.6759436106</v>
      </c>
      <c r="G25" s="20" t="n">
        <f aca="false">IF('Media Plan'!P25&lt;&gt;"",'Media Plan'!P25,Assumptions!$E$12*Baseline!V25)</f>
        <v>4867.48519589281</v>
      </c>
      <c r="H25" s="21" t="n">
        <f aca="false">IFERROR(G25/(Baseline!J25*(1+Assumptions!$E$13)*IFERROR(MAX(0,G25)/'History Y-1'!R25,1)^Assumptions!$E$16),0)</f>
        <v>20340.0311629121</v>
      </c>
      <c r="I25" s="21" t="n">
        <f aca="false">'History Y-1'!$F$58*(1+Assumptions!$E$6)*Baseline!Q25+'History Y-1'!$G$58*(1+Assumptions!$E$7)*Baseline!R25+J25</f>
        <v>196306.364890992</v>
      </c>
      <c r="J25" s="21" t="n">
        <f aca="false">'History Y-1'!$H$58*(1+Assumptions!$E$8)*Baseline!S25</f>
        <v>22744.2411798542</v>
      </c>
      <c r="K25" s="55" t="n">
        <f aca="false">D25+F25+H25+I25</f>
        <v>363769.415639565</v>
      </c>
      <c r="L25" s="21" t="n">
        <f aca="false">K25*Baseline!B25*(1+Assumptions!$E$18)*(1+Calendar!G25)</f>
        <v>8145.23206883954</v>
      </c>
      <c r="M25" s="20" t="n">
        <f aca="false">L25*Baseline!C25*(1+Assumptions!$E$19)</f>
        <v>632132.173115154</v>
      </c>
      <c r="N25" s="31" t="n">
        <f aca="false">MAX(0,MIN(0.9,Baseline!E25+Assumptions!$E$20))</f>
        <v>0.0706176457412808</v>
      </c>
      <c r="O25" s="31" t="n">
        <f aca="false">MAX(0,Baseline!F25+Assumptions!$E$21)</f>
        <v>0.252434612603968</v>
      </c>
      <c r="P25" s="49" t="n">
        <f aca="false">M25*O25</f>
        <v>159572.040234828</v>
      </c>
      <c r="Q25" s="49" t="n">
        <f aca="false">M25-P25</f>
        <v>472560.132880326</v>
      </c>
      <c r="R25" s="21" t="n">
        <f aca="false">L25*Baseline!D25</f>
        <v>15854.4060762483</v>
      </c>
      <c r="S25" s="21" t="n">
        <f aca="false">IFERROR(P25/(Baseline!C25*(1+Assumptions!$E$19)),0)</f>
        <v>2056.13850186693</v>
      </c>
      <c r="T25" s="20" t="n">
        <f aca="false">Q25/(1-N25)*(1-Assumptions!$E$23)</f>
        <v>193217.409036943</v>
      </c>
      <c r="U25" s="20" t="n">
        <f aca="false">P25/(1-N25)*(1-Assumptions!$E$23)*Assumptions!$E$24</f>
        <v>2609.79240724231</v>
      </c>
      <c r="V25" s="49" t="n">
        <f aca="false">Q25-T25-U25</f>
        <v>276732.931436141</v>
      </c>
      <c r="W25" s="20" t="n">
        <f aca="false">T25*Assumptions!$E$25+L25*(Assumptions!$E$27-Assumptions!$E$28+Assumptions!$E$29+Assumptions!$E$36*Assumptions!$E$37)+R25*Assumptions!$E$30+S25*(Assumptions!$E$31+Assumptions!$E$32)+M25*(Assumptions!$E$33+Assumptions!$E$38)+IFERROR(M25*J25/K25,0)*Assumptions!$E$35*Assumptions!$E$34</f>
        <v>71089.0764993362</v>
      </c>
      <c r="X25" s="49" t="n">
        <f aca="false">V25-W25</f>
        <v>205643.854936804</v>
      </c>
      <c r="Y25" s="49" t="n">
        <f aca="false">C25+E25+G25</f>
        <v>69103.8560319437</v>
      </c>
      <c r="Z25" s="49" t="n">
        <f aca="false">X25-Y25</f>
        <v>136539.998904861</v>
      </c>
      <c r="AA25" s="20" t="n">
        <f aca="false">'Fixed Costs'!$G$31/52</f>
        <v>25332.6923076923</v>
      </c>
      <c r="AB25" s="49" t="n">
        <f aca="false">Z25-AA25</f>
        <v>111207.306597169</v>
      </c>
      <c r="AC25" s="21" t="n">
        <f aca="false">L25*Baseline!G25</f>
        <v>2897.79811890015</v>
      </c>
    </row>
    <row r="26" customFormat="false" ht="15" hidden="false" customHeight="false" outlineLevel="0" collapsed="false">
      <c r="A26" s="13" t="n">
        <v>21</v>
      </c>
      <c r="B26" s="14" t="str">
        <f aca="false">Calendar!D26</f>
        <v>P5</v>
      </c>
      <c r="C26" s="20" t="n">
        <f aca="false">IF('Media Plan'!D26&lt;&gt;"",'Media Plan'!D26,Assumptions!$E$10*Baseline!T26)</f>
        <v>57213.1062504493</v>
      </c>
      <c r="D26" s="21" t="n">
        <f aca="false">IFERROR(C26/(Baseline!H26*(1+Assumptions!$E$13)*IFERROR(MAX(0,C26)/'History Y-1'!P26,1)^Assumptions!$E$14),0)</f>
        <v>118969.981954614</v>
      </c>
      <c r="E26" s="20" t="n">
        <f aca="false">IF('Media Plan'!J26&lt;&gt;"",'Media Plan'!J26,Assumptions!$E$11*Baseline!U26)</f>
        <v>29131.700303589</v>
      </c>
      <c r="F26" s="21" t="n">
        <f aca="false">IFERROR(E26/(Baseline!I26*(1+Assumptions!$E$13)*IFERROR(MAX(0,E26)/'History Y-1'!Q26,1)^Assumptions!$E$15),0)</f>
        <v>80224.3863299795</v>
      </c>
      <c r="G26" s="20" t="n">
        <f aca="false">IF('Media Plan'!P26&lt;&gt;"",'Media Plan'!P26,Assumptions!$E$12*Baseline!V26)</f>
        <v>6272.7783865167</v>
      </c>
      <c r="H26" s="21" t="n">
        <f aca="false">IFERROR(G26/(Baseline!J26*(1+Assumptions!$E$13)*IFERROR(MAX(0,G26)/'History Y-1'!R26,1)^Assumptions!$E$16),0)</f>
        <v>26259.2657200403</v>
      </c>
      <c r="I26" s="21" t="n">
        <f aca="false">'History Y-1'!$F$58*(1+Assumptions!$E$6)*Baseline!Q26+'History Y-1'!$G$58*(1+Assumptions!$E$7)*Baseline!R26+J26</f>
        <v>295436.871978774</v>
      </c>
      <c r="J26" s="21" t="n">
        <f aca="false">'History Y-1'!$H$58*(1+Assumptions!$E$8)*Baseline!S26</f>
        <v>30574.2714798635</v>
      </c>
      <c r="K26" s="55" t="n">
        <f aca="false">D26+F26+H26+I26</f>
        <v>520890.505983408</v>
      </c>
      <c r="L26" s="21" t="n">
        <f aca="false">K26*Baseline!B26*(1+Assumptions!$E$18)*(1+Calendar!G26)</f>
        <v>14085.0985630907</v>
      </c>
      <c r="M26" s="20" t="n">
        <f aca="false">L26*Baseline!C26*(1+Assumptions!$E$19)</f>
        <v>988536.024500271</v>
      </c>
      <c r="N26" s="31" t="n">
        <f aca="false">MAX(0,MIN(0.9,Baseline!E26+Assumptions!$E$20))</f>
        <v>0.305129204534006</v>
      </c>
      <c r="O26" s="31" t="n">
        <f aca="false">MAX(0,Baseline!F26+Assumptions!$E$21)</f>
        <v>0.219097918862144</v>
      </c>
      <c r="P26" s="49" t="n">
        <f aca="false">M26*O26</f>
        <v>216586.185688267</v>
      </c>
      <c r="Q26" s="49" t="n">
        <f aca="false">M26-P26</f>
        <v>771949.838812004</v>
      </c>
      <c r="R26" s="21" t="n">
        <f aca="false">L26*Baseline!D26</f>
        <v>26884.5418123918</v>
      </c>
      <c r="S26" s="21" t="n">
        <f aca="false">IFERROR(P26/(Baseline!C26*(1+Assumptions!$E$19)),0)</f>
        <v>3086.01578214135</v>
      </c>
      <c r="T26" s="20" t="n">
        <f aca="false">Q26/(1-N26)*(1-Assumptions!$E$23)</f>
        <v>422151.773628422</v>
      </c>
      <c r="U26" s="20" t="n">
        <f aca="false">P26/(1-N26)*(1-Assumptions!$E$23)*Assumptions!$E$24</f>
        <v>4737.72972463737</v>
      </c>
      <c r="V26" s="49" t="n">
        <f aca="false">Q26-T26-U26</f>
        <v>345060.335458945</v>
      </c>
      <c r="W26" s="20" t="n">
        <f aca="false">T26*Assumptions!$E$25+L26*(Assumptions!$E$27-Assumptions!$E$28+Assumptions!$E$29+Assumptions!$E$36*Assumptions!$E$37)+R26*Assumptions!$E$30+S26*(Assumptions!$E$31+Assumptions!$E$32)+M26*(Assumptions!$E$33+Assumptions!$E$38)+IFERROR(M26*J26/K26,0)*Assumptions!$E$35*Assumptions!$E$34</f>
        <v>120608.620226871</v>
      </c>
      <c r="X26" s="49" t="n">
        <f aca="false">V26-W26</f>
        <v>224451.715232074</v>
      </c>
      <c r="Y26" s="49" t="n">
        <f aca="false">C26+E26+G26</f>
        <v>92617.5849405549</v>
      </c>
      <c r="Z26" s="49" t="n">
        <f aca="false">X26-Y26</f>
        <v>131834.130291519</v>
      </c>
      <c r="AA26" s="20" t="n">
        <f aca="false">'Fixed Costs'!$G$31/52</f>
        <v>25332.6923076923</v>
      </c>
      <c r="AB26" s="49" t="n">
        <f aca="false">Z26-AA26</f>
        <v>106501.437983827</v>
      </c>
      <c r="AC26" s="21" t="n">
        <f aca="false">L26*Baseline!G26</f>
        <v>6266.66491165827</v>
      </c>
    </row>
    <row r="27" customFormat="false" ht="15" hidden="false" customHeight="false" outlineLevel="0" collapsed="false">
      <c r="A27" s="13" t="n">
        <v>22</v>
      </c>
      <c r="B27" s="14" t="str">
        <f aca="false">Calendar!D27</f>
        <v>P6</v>
      </c>
      <c r="C27" s="20" t="n">
        <f aca="false">IF('Media Plan'!D27&lt;&gt;"",'Media Plan'!D27,Assumptions!$E$10*Baseline!T27)</f>
        <v>53047.0611196695</v>
      </c>
      <c r="D27" s="21" t="n">
        <f aca="false">IFERROR(C27/(Baseline!H27*(1+Assumptions!$E$13)*IFERROR(MAX(0,C27)/'History Y-1'!P27,1)^Assumptions!$E$14),0)</f>
        <v>104796.7316779</v>
      </c>
      <c r="E27" s="20" t="n">
        <f aca="false">IF('Media Plan'!J27&lt;&gt;"",'Media Plan'!J27,Assumptions!$E$11*Baseline!U27)</f>
        <v>25924.5059279667</v>
      </c>
      <c r="F27" s="21" t="n">
        <f aca="false">IFERROR(E27/(Baseline!I27*(1+Assumptions!$E$13)*IFERROR(MAX(0,E27)/'History Y-1'!Q27,1)^Assumptions!$E$15),0)</f>
        <v>69074.540821848</v>
      </c>
      <c r="G27" s="20" t="n">
        <f aca="false">IF('Media Plan'!P27&lt;&gt;"",'Media Plan'!P27,Assumptions!$E$12*Baseline!V27)</f>
        <v>5998.72326397227</v>
      </c>
      <c r="H27" s="21" t="n">
        <f aca="false">IFERROR(G27/(Baseline!J27*(1+Assumptions!$E$13)*IFERROR(MAX(0,G27)/'History Y-1'!R27,1)^Assumptions!$E$16),0)</f>
        <v>25335.9681600095</v>
      </c>
      <c r="I27" s="21" t="n">
        <f aca="false">'History Y-1'!$F$58*(1+Assumptions!$E$6)*Baseline!Q27+'History Y-1'!$G$58*(1+Assumptions!$E$7)*Baseline!R27+J27</f>
        <v>250176.319628529</v>
      </c>
      <c r="J27" s="21" t="n">
        <f aca="false">'History Y-1'!$H$58*(1+Assumptions!$E$8)*Baseline!S27</f>
        <v>29515.0793128431</v>
      </c>
      <c r="K27" s="55" t="n">
        <f aca="false">D27+F27+H27+I27</f>
        <v>449383.560288287</v>
      </c>
      <c r="L27" s="21" t="n">
        <f aca="false">K27*Baseline!B27*(1+Assumptions!$E$18)*(1+Calendar!G27)</f>
        <v>12138.7541003083</v>
      </c>
      <c r="M27" s="20" t="n">
        <f aca="false">L27*Baseline!C27*(1+Assumptions!$E$19)</f>
        <v>839407.163616623</v>
      </c>
      <c r="N27" s="31" t="n">
        <f aca="false">MAX(0,MIN(0.9,Baseline!E27+Assumptions!$E$20))</f>
        <v>0.296191373705647</v>
      </c>
      <c r="O27" s="31" t="n">
        <f aca="false">MAX(0,Baseline!F27+Assumptions!$E$21)</f>
        <v>0.224700919176987</v>
      </c>
      <c r="P27" s="49" t="n">
        <f aca="false">M27*O27</f>
        <v>188615.561228403</v>
      </c>
      <c r="Q27" s="49" t="n">
        <f aca="false">M27-P27</f>
        <v>650791.60238822</v>
      </c>
      <c r="R27" s="21" t="n">
        <f aca="false">L27*Baseline!D27</f>
        <v>22473.5268471476</v>
      </c>
      <c r="S27" s="21" t="n">
        <f aca="false">IFERROR(P27/(Baseline!C27*(1+Assumptions!$E$19)),0)</f>
        <v>2727.58920400271</v>
      </c>
      <c r="T27" s="20" t="n">
        <f aca="false">Q27/(1-N27)*(1-Assumptions!$E$23)</f>
        <v>351375.07508198</v>
      </c>
      <c r="U27" s="20" t="n">
        <f aca="false">P27/(1-N27)*(1-Assumptions!$E$23)*Assumptions!$E$24</f>
        <v>4073.48876322621</v>
      </c>
      <c r="V27" s="49" t="n">
        <f aca="false">Q27-T27-U27</f>
        <v>295343.038543014</v>
      </c>
      <c r="W27" s="20" t="n">
        <f aca="false">T27*Assumptions!$E$25+L27*(Assumptions!$E$27-Assumptions!$E$28+Assumptions!$E$29+Assumptions!$E$36*Assumptions!$E$37)+R27*Assumptions!$E$30+S27*(Assumptions!$E$31+Assumptions!$E$32)+M27*(Assumptions!$E$33+Assumptions!$E$38)+IFERROR(M27*J27/K27,0)*Assumptions!$E$35*Assumptions!$E$34</f>
        <v>103467.179582047</v>
      </c>
      <c r="X27" s="49" t="n">
        <f aca="false">V27-W27</f>
        <v>191875.858960966</v>
      </c>
      <c r="Y27" s="49" t="n">
        <f aca="false">C27+E27+G27</f>
        <v>84970.2903116085</v>
      </c>
      <c r="Z27" s="49" t="n">
        <f aca="false">X27-Y27</f>
        <v>106905.568649358</v>
      </c>
      <c r="AA27" s="20" t="n">
        <f aca="false">'Fixed Costs'!$G$31/52</f>
        <v>25332.6923076923</v>
      </c>
      <c r="AB27" s="49" t="n">
        <f aca="false">Z27-AA27</f>
        <v>81572.8763416656</v>
      </c>
      <c r="AC27" s="21" t="n">
        <f aca="false">L27*Baseline!G27</f>
        <v>5345.84793657024</v>
      </c>
    </row>
    <row r="28" customFormat="false" ht="15" hidden="false" customHeight="false" outlineLevel="0" collapsed="false">
      <c r="A28" s="13" t="n">
        <v>23</v>
      </c>
      <c r="B28" s="14" t="str">
        <f aca="false">Calendar!D28</f>
        <v>P6</v>
      </c>
      <c r="C28" s="20" t="n">
        <f aca="false">IF('Media Plan'!D28&lt;&gt;"",'Media Plan'!D28,Assumptions!$E$10*Baseline!T28)</f>
        <v>50029.3882234541</v>
      </c>
      <c r="D28" s="21" t="n">
        <f aca="false">IFERROR(C28/(Baseline!H28*(1+Assumptions!$E$13)*IFERROR(MAX(0,C28)/'History Y-1'!P28,1)^Assumptions!$E$14),0)</f>
        <v>98958.523849204</v>
      </c>
      <c r="E28" s="20" t="n">
        <f aca="false">IF('Media Plan'!J28&lt;&gt;"",'Media Plan'!J28,Assumptions!$E$11*Baseline!U28)</f>
        <v>24838.1481313581</v>
      </c>
      <c r="F28" s="21" t="n">
        <f aca="false">IFERROR(E28/(Baseline!I28*(1+Assumptions!$E$13)*IFERROR(MAX(0,E28)/'History Y-1'!Q28,1)^Assumptions!$E$15),0)</f>
        <v>65091.9644980677</v>
      </c>
      <c r="G28" s="20" t="n">
        <f aca="false">IF('Media Plan'!P28&lt;&gt;"",'Media Plan'!P28,Assumptions!$E$12*Baseline!V28)</f>
        <v>5602.80337241311</v>
      </c>
      <c r="H28" s="21" t="n">
        <f aca="false">IFERROR(G28/(Baseline!J28*(1+Assumptions!$E$13)*IFERROR(MAX(0,G28)/'History Y-1'!R28,1)^Assumptions!$E$16),0)</f>
        <v>23676.1192532765</v>
      </c>
      <c r="I28" s="21" t="n">
        <f aca="false">'History Y-1'!$F$58*(1+Assumptions!$E$6)*Baseline!Q28+'History Y-1'!$G$58*(1+Assumptions!$E$7)*Baseline!R28+J28</f>
        <v>225304.195454156</v>
      </c>
      <c r="J28" s="21" t="n">
        <f aca="false">'History Y-1'!$H$58*(1+Assumptions!$E$8)*Baseline!S28</f>
        <v>25791.3665874696</v>
      </c>
      <c r="K28" s="55" t="n">
        <f aca="false">D28+F28+H28+I28</f>
        <v>413030.803054704</v>
      </c>
      <c r="L28" s="21" t="n">
        <f aca="false">K28*Baseline!B28*(1+Assumptions!$E$18)*(1+Calendar!G28)</f>
        <v>10220.7840337544</v>
      </c>
      <c r="M28" s="20" t="n">
        <f aca="false">L28*Baseline!C28*(1+Assumptions!$E$19)</f>
        <v>721143.693595005</v>
      </c>
      <c r="N28" s="31" t="n">
        <f aca="false">MAX(0,MIN(0.9,Baseline!E28+Assumptions!$E$20))</f>
        <v>0.2694697297588</v>
      </c>
      <c r="O28" s="31" t="n">
        <f aca="false">MAX(0,Baseline!F28+Assumptions!$E$21)</f>
        <v>0.231339203714735</v>
      </c>
      <c r="P28" s="49" t="n">
        <f aca="false">M28*O28</f>
        <v>166828.807840171</v>
      </c>
      <c r="Q28" s="49" t="n">
        <f aca="false">M28-P28</f>
        <v>554314.885754834</v>
      </c>
      <c r="R28" s="21" t="n">
        <f aca="false">L28*Baseline!D28</f>
        <v>19476.2932743555</v>
      </c>
      <c r="S28" s="21" t="n">
        <f aca="false">IFERROR(P28/(Baseline!C28*(1+Assumptions!$E$19)),0)</f>
        <v>2364.46803970901</v>
      </c>
      <c r="T28" s="20" t="n">
        <f aca="false">Q28/(1-N28)*(1-Assumptions!$E$23)</f>
        <v>288338.02672857</v>
      </c>
      <c r="U28" s="20" t="n">
        <f aca="false">P28/(1-N28)*(1-Assumptions!$E$23)*Assumptions!$E$24</f>
        <v>3471.17427226301</v>
      </c>
      <c r="V28" s="49" t="n">
        <f aca="false">Q28-T28-U28</f>
        <v>262505.684754</v>
      </c>
      <c r="W28" s="20" t="n">
        <f aca="false">T28*Assumptions!$E$25+L28*(Assumptions!$E$27-Assumptions!$E$28+Assumptions!$E$29+Assumptions!$E$36*Assumptions!$E$37)+R28*Assumptions!$E$30+S28*(Assumptions!$E$31+Assumptions!$E$32)+M28*(Assumptions!$E$33+Assumptions!$E$38)+IFERROR(M28*J28/K28,0)*Assumptions!$E$35*Assumptions!$E$34</f>
        <v>87782.0528948597</v>
      </c>
      <c r="X28" s="49" t="n">
        <f aca="false">V28-W28</f>
        <v>174723.631859141</v>
      </c>
      <c r="Y28" s="49" t="n">
        <f aca="false">C28+E28+G28</f>
        <v>80470.3397272253</v>
      </c>
      <c r="Z28" s="49" t="n">
        <f aca="false">X28-Y28</f>
        <v>94253.2921319152</v>
      </c>
      <c r="AA28" s="20" t="n">
        <f aca="false">'Fixed Costs'!$G$31/52</f>
        <v>25332.6923076923</v>
      </c>
      <c r="AB28" s="49" t="n">
        <f aca="false">Z28-AA28</f>
        <v>68920.5998242229</v>
      </c>
      <c r="AC28" s="21" t="n">
        <f aca="false">L28*Baseline!G28</f>
        <v>4650.7163893948</v>
      </c>
    </row>
    <row r="29" customFormat="false" ht="15" hidden="false" customHeight="false" outlineLevel="0" collapsed="false">
      <c r="A29" s="13" t="n">
        <v>24</v>
      </c>
      <c r="B29" s="14" t="str">
        <f aca="false">Calendar!D29</f>
        <v>P6</v>
      </c>
      <c r="C29" s="20" t="n">
        <f aca="false">IF('Media Plan'!D29&lt;&gt;"",'Media Plan'!D29,Assumptions!$E$10*Baseline!T29)</f>
        <v>38950.6364823006</v>
      </c>
      <c r="D29" s="21" t="n">
        <f aca="false">IFERROR(C29/(Baseline!H29*(1+Assumptions!$E$13)*IFERROR(MAX(0,C29)/'History Y-1'!P29,1)^Assumptions!$E$14),0)</f>
        <v>78302.7941005216</v>
      </c>
      <c r="E29" s="20" t="n">
        <f aca="false">IF('Media Plan'!J29&lt;&gt;"",'Media Plan'!J29,Assumptions!$E$11*Baseline!U29)</f>
        <v>20478.2193511149</v>
      </c>
      <c r="F29" s="21" t="n">
        <f aca="false">IFERROR(E29/(Baseline!I29*(1+Assumptions!$E$13)*IFERROR(MAX(0,E29)/'History Y-1'!Q29,1)^Assumptions!$E$15),0)</f>
        <v>55385.4118471366</v>
      </c>
      <c r="G29" s="20" t="n">
        <f aca="false">IF('Media Plan'!P29&lt;&gt;"",'Media Plan'!P29,Assumptions!$E$12*Baseline!V29)</f>
        <v>4595.54061609296</v>
      </c>
      <c r="H29" s="21" t="n">
        <f aca="false">IFERROR(G29/(Baseline!J29*(1+Assumptions!$E$13)*IFERROR(MAX(0,G29)/'History Y-1'!R29,1)^Assumptions!$E$16),0)</f>
        <v>18813.3457312152</v>
      </c>
      <c r="I29" s="21" t="n">
        <f aca="false">'History Y-1'!$F$58*(1+Assumptions!$E$6)*Baseline!Q29+'History Y-1'!$G$58*(1+Assumptions!$E$7)*Baseline!R29+J29</f>
        <v>181261.603175351</v>
      </c>
      <c r="J29" s="21" t="n">
        <f aca="false">'History Y-1'!$H$58*(1+Assumptions!$E$8)*Baseline!S29</f>
        <v>22140.6366769917</v>
      </c>
      <c r="K29" s="55" t="n">
        <f aca="false">D29+F29+H29+I29</f>
        <v>333763.154854224</v>
      </c>
      <c r="L29" s="21" t="n">
        <f aca="false">K29*Baseline!B29*(1+Assumptions!$E$18)*(1+Calendar!G29)</f>
        <v>7398.11703353095</v>
      </c>
      <c r="M29" s="20" t="n">
        <f aca="false">L29*Baseline!C29*(1+Assumptions!$E$19)</f>
        <v>578113.466849769</v>
      </c>
      <c r="N29" s="31" t="n">
        <f aca="false">MAX(0,MIN(0.9,Baseline!E29+Assumptions!$E$20))</f>
        <v>0.0693164676105139</v>
      </c>
      <c r="O29" s="31" t="n">
        <f aca="false">MAX(0,Baseline!F29+Assumptions!$E$21)</f>
        <v>0.255305443688819</v>
      </c>
      <c r="P29" s="49" t="n">
        <f aca="false">M29*O29</f>
        <v>147595.515156562</v>
      </c>
      <c r="Q29" s="49" t="n">
        <f aca="false">M29-P29</f>
        <v>430517.951693207</v>
      </c>
      <c r="R29" s="21" t="n">
        <f aca="false">L29*Baseline!D29</f>
        <v>14012.4141878376</v>
      </c>
      <c r="S29" s="21" t="n">
        <f aca="false">IFERROR(P29/(Baseline!C29*(1+Assumptions!$E$19)),0)</f>
        <v>1888.77955170743</v>
      </c>
      <c r="T29" s="20" t="n">
        <f aca="false">Q29/(1-N29)*(1-Assumptions!$E$23)</f>
        <v>175781.364932279</v>
      </c>
      <c r="U29" s="20" t="n">
        <f aca="false">P29/(1-N29)*(1-Assumptions!$E$23)*Assumptions!$E$24</f>
        <v>2410.54209331477</v>
      </c>
      <c r="V29" s="49" t="n">
        <f aca="false">Q29-T29-U29</f>
        <v>252326.044667613</v>
      </c>
      <c r="W29" s="20" t="n">
        <f aca="false">T29*Assumptions!$E$25+L29*(Assumptions!$E$27-Assumptions!$E$28+Assumptions!$E$29+Assumptions!$E$36*Assumptions!$E$37)+R29*Assumptions!$E$30+S29*(Assumptions!$E$31+Assumptions!$E$32)+M29*(Assumptions!$E$33+Assumptions!$E$38)+IFERROR(M29*J29/K29,0)*Assumptions!$E$35*Assumptions!$E$34</f>
        <v>64594.3759880615</v>
      </c>
      <c r="X29" s="49" t="n">
        <f aca="false">V29-W29</f>
        <v>187731.668679552</v>
      </c>
      <c r="Y29" s="49" t="n">
        <f aca="false">C29+E29+G29</f>
        <v>64024.3964495085</v>
      </c>
      <c r="Z29" s="49" t="n">
        <f aca="false">X29-Y29</f>
        <v>123707.272230043</v>
      </c>
      <c r="AA29" s="20" t="n">
        <f aca="false">'Fixed Costs'!$G$31/52</f>
        <v>25332.6923076923</v>
      </c>
      <c r="AB29" s="49" t="n">
        <f aca="false">Z29-AA29</f>
        <v>98374.5799223511</v>
      </c>
      <c r="AC29" s="21" t="n">
        <f aca="false">L29*Baseline!G29</f>
        <v>2588.87415926875</v>
      </c>
    </row>
    <row r="30" customFormat="false" ht="15" hidden="false" customHeight="false" outlineLevel="0" collapsed="false">
      <c r="A30" s="13" t="n">
        <v>25</v>
      </c>
      <c r="B30" s="14" t="str">
        <f aca="false">Calendar!D30</f>
        <v>P6</v>
      </c>
      <c r="C30" s="20" t="n">
        <f aca="false">IF('Media Plan'!D30&lt;&gt;"",'Media Plan'!D30,Assumptions!$E$10*Baseline!T30)</f>
        <v>38940.8474286242</v>
      </c>
      <c r="D30" s="21" t="n">
        <f aca="false">IFERROR(C30/(Baseline!H30*(1+Assumptions!$E$13)*IFERROR(MAX(0,C30)/'History Y-1'!P30,1)^Assumptions!$E$14),0)</f>
        <v>75811.3818263206</v>
      </c>
      <c r="E30" s="20" t="n">
        <f aca="false">IF('Media Plan'!J30&lt;&gt;"",'Media Plan'!J30,Assumptions!$E$11*Baseline!U30)</f>
        <v>19172.2619564867</v>
      </c>
      <c r="F30" s="21" t="n">
        <f aca="false">IFERROR(E30/(Baseline!I30*(1+Assumptions!$E$13)*IFERROR(MAX(0,E30)/'History Y-1'!Q30,1)^Assumptions!$E$15),0)</f>
        <v>51796.528832609</v>
      </c>
      <c r="G30" s="20" t="n">
        <f aca="false">IF('Media Plan'!P30&lt;&gt;"",'Media Plan'!P30,Assumptions!$E$12*Baseline!V30)</f>
        <v>4141.17665823353</v>
      </c>
      <c r="H30" s="21" t="n">
        <f aca="false">IFERROR(G30/(Baseline!J30*(1+Assumptions!$E$13)*IFERROR(MAX(0,G30)/'History Y-1'!R30,1)^Assumptions!$E$16),0)</f>
        <v>17123.8711228093</v>
      </c>
      <c r="I30" s="21" t="n">
        <f aca="false">'History Y-1'!$F$58*(1+Assumptions!$E$6)*Baseline!Q30+'History Y-1'!$G$58*(1+Assumptions!$E$7)*Baseline!R30+J30</f>
        <v>167869.224114693</v>
      </c>
      <c r="J30" s="21" t="n">
        <f aca="false">'History Y-1'!$H$58*(1+Assumptions!$E$8)*Baseline!S30</f>
        <v>20156.7074694092</v>
      </c>
      <c r="K30" s="55" t="n">
        <f aca="false">D30+F30+H30+I30</f>
        <v>312601.005896432</v>
      </c>
      <c r="L30" s="21" t="n">
        <f aca="false">K30*Baseline!B30*(1+Assumptions!$E$18)*(1+Calendar!G30)</f>
        <v>6895.8999987914</v>
      </c>
      <c r="M30" s="20" t="n">
        <f aca="false">L30*Baseline!C30*(1+Assumptions!$E$19)</f>
        <v>533692.426846455</v>
      </c>
      <c r="N30" s="31" t="n">
        <f aca="false">MAX(0,MIN(0.9,Baseline!E30+Assumptions!$E$20))</f>
        <v>0.0703434389459937</v>
      </c>
      <c r="O30" s="31" t="n">
        <f aca="false">MAX(0,Baseline!F30+Assumptions!$E$21)</f>
        <v>0.252845116516355</v>
      </c>
      <c r="P30" s="49" t="n">
        <f aca="false">M30*O30</f>
        <v>134941.523849888</v>
      </c>
      <c r="Q30" s="49" t="n">
        <f aca="false">M30-P30</f>
        <v>398750.902996567</v>
      </c>
      <c r="R30" s="21" t="n">
        <f aca="false">L30*Baseline!D30</f>
        <v>12813.121919505</v>
      </c>
      <c r="S30" s="21" t="n">
        <f aca="false">IFERROR(P30/(Baseline!C30*(1+Assumptions!$E$19)),0)</f>
        <v>1743.59463867955</v>
      </c>
      <c r="T30" s="20" t="n">
        <f aca="false">Q30/(1-N30)*(1-Assumptions!$E$23)</f>
        <v>162990.667184559</v>
      </c>
      <c r="U30" s="20" t="n">
        <f aca="false">P30/(1-N30)*(1-Assumptions!$E$23)*Assumptions!$E$24</f>
        <v>2206.31064034318</v>
      </c>
      <c r="V30" s="49" t="n">
        <f aca="false">Q30-T30-U30</f>
        <v>233553.925171664</v>
      </c>
      <c r="W30" s="20" t="n">
        <f aca="false">T30*Assumptions!$E$25+L30*(Assumptions!$E$27-Assumptions!$E$28+Assumptions!$E$29+Assumptions!$E$36*Assumptions!$E$37)+R30*Assumptions!$E$30+S30*(Assumptions!$E$31+Assumptions!$E$32)+M30*(Assumptions!$E$33+Assumptions!$E$38)+IFERROR(M30*J30/K30,0)*Assumptions!$E$35*Assumptions!$E$34</f>
        <v>59724.8874772364</v>
      </c>
      <c r="X30" s="49" t="n">
        <f aca="false">V30-W30</f>
        <v>173829.037694428</v>
      </c>
      <c r="Y30" s="49" t="n">
        <f aca="false">C30+E30+G30</f>
        <v>62254.2860433445</v>
      </c>
      <c r="Z30" s="49" t="n">
        <f aca="false">X30-Y30</f>
        <v>111574.751651084</v>
      </c>
      <c r="AA30" s="20" t="n">
        <f aca="false">'Fixed Costs'!$G$31/52</f>
        <v>25332.6923076923</v>
      </c>
      <c r="AB30" s="49" t="n">
        <f aca="false">Z30-AA30</f>
        <v>86242.0593433912</v>
      </c>
      <c r="AC30" s="21" t="n">
        <f aca="false">L30*Baseline!G30</f>
        <v>2457.94147813509</v>
      </c>
    </row>
    <row r="31" customFormat="false" ht="15" hidden="false" customHeight="false" outlineLevel="0" collapsed="false">
      <c r="A31" s="13" t="n">
        <v>26</v>
      </c>
      <c r="B31" s="14" t="str">
        <f aca="false">Calendar!D31</f>
        <v>P6</v>
      </c>
      <c r="C31" s="20" t="n">
        <f aca="false">IF('Media Plan'!D31&lt;&gt;"",'Media Plan'!D31,Assumptions!$E$10*Baseline!T31)</f>
        <v>36817.5451093602</v>
      </c>
      <c r="D31" s="21" t="n">
        <f aca="false">IFERROR(C31/(Baseline!H31*(1+Assumptions!$E$13)*IFERROR(MAX(0,C31)/'History Y-1'!P31,1)^Assumptions!$E$14),0)</f>
        <v>85539.2098806285</v>
      </c>
      <c r="E31" s="20" t="n">
        <f aca="false">IF('Media Plan'!J31&lt;&gt;"",'Media Plan'!J31,Assumptions!$E$11*Baseline!U31)</f>
        <v>17853.3848521979</v>
      </c>
      <c r="F31" s="21" t="n">
        <f aca="false">IFERROR(E31/(Baseline!I31*(1+Assumptions!$E$13)*IFERROR(MAX(0,E31)/'History Y-1'!Q31,1)^Assumptions!$E$15),0)</f>
        <v>55727.6124562703</v>
      </c>
      <c r="G31" s="20" t="n">
        <f aca="false">IF('Media Plan'!P31&lt;&gt;"",'Media Plan'!P31,Assumptions!$E$12*Baseline!V31)</f>
        <v>4280.9882876485</v>
      </c>
      <c r="H31" s="21" t="n">
        <f aca="false">IFERROR(G31/(Baseline!J31*(1+Assumptions!$E$13)*IFERROR(MAX(0,G31)/'History Y-1'!R31,1)^Assumptions!$E$16),0)</f>
        <v>19181.4044746073</v>
      </c>
      <c r="I31" s="21" t="n">
        <f aca="false">'History Y-1'!$F$58*(1+Assumptions!$E$6)*Baseline!Q31+'History Y-1'!$G$58*(1+Assumptions!$E$7)*Baseline!R31+J31</f>
        <v>169649.886836881</v>
      </c>
      <c r="J31" s="21" t="n">
        <f aca="false">'History Y-1'!$H$58*(1+Assumptions!$E$8)*Baseline!S31</f>
        <v>19069.571754595</v>
      </c>
      <c r="K31" s="55" t="n">
        <f aca="false">D31+F31+H31+I31</f>
        <v>330098.113648387</v>
      </c>
      <c r="L31" s="21" t="n">
        <f aca="false">K31*Baseline!B31*(1+Assumptions!$E$18)*(1+Calendar!G31)</f>
        <v>7246.74323591826</v>
      </c>
      <c r="M31" s="20" t="n">
        <f aca="false">L31*Baseline!C31*(1+Assumptions!$E$19)</f>
        <v>551369.132438859</v>
      </c>
      <c r="N31" s="31" t="n">
        <f aca="false">MAX(0,MIN(0.9,Baseline!E31+Assumptions!$E$20))</f>
        <v>0.0717133222325721</v>
      </c>
      <c r="O31" s="31" t="n">
        <f aca="false">MAX(0,Baseline!F31+Assumptions!$E$21)</f>
        <v>0.25174463182299</v>
      </c>
      <c r="P31" s="49" t="n">
        <f aca="false">M31*O31</f>
        <v>138804.219244382</v>
      </c>
      <c r="Q31" s="49" t="n">
        <f aca="false">M31-P31</f>
        <v>412564.913194477</v>
      </c>
      <c r="R31" s="21" t="n">
        <f aca="false">L31*Baseline!D31</f>
        <v>13773.6853717128</v>
      </c>
      <c r="S31" s="21" t="n">
        <f aca="false">IFERROR(P31/(Baseline!C31*(1+Assumptions!$E$19)),0)</f>
        <v>1824.32870784199</v>
      </c>
      <c r="T31" s="20" t="n">
        <f aca="false">Q31/(1-N31)*(1-Assumptions!$E$23)</f>
        <v>168886.046486147</v>
      </c>
      <c r="U31" s="20" t="n">
        <f aca="false">P31/(1-N31)*(1-Assumptions!$E$23)*Assumptions!$E$24</f>
        <v>2272.81526606504</v>
      </c>
      <c r="V31" s="49" t="n">
        <f aca="false">Q31-T31-U31</f>
        <v>241406.051442264</v>
      </c>
      <c r="W31" s="20" t="n">
        <f aca="false">T31*Assumptions!$E$25+L31*(Assumptions!$E$27-Assumptions!$E$28+Assumptions!$E$29+Assumptions!$E$36*Assumptions!$E$37)+R31*Assumptions!$E$30+S31*(Assumptions!$E$31+Assumptions!$E$32)+M31*(Assumptions!$E$33+Assumptions!$E$38)+IFERROR(M31*J31/K31,0)*Assumptions!$E$35*Assumptions!$E$34</f>
        <v>62445.2918554482</v>
      </c>
      <c r="X31" s="49" t="n">
        <f aca="false">V31-W31</f>
        <v>178960.759586816</v>
      </c>
      <c r="Y31" s="49" t="n">
        <f aca="false">C31+E31+G31</f>
        <v>58951.9182492066</v>
      </c>
      <c r="Z31" s="49" t="n">
        <f aca="false">X31-Y31</f>
        <v>120008.841337609</v>
      </c>
      <c r="AA31" s="20" t="n">
        <f aca="false">'Fixed Costs'!$G$31/52</f>
        <v>25332.6923076923</v>
      </c>
      <c r="AB31" s="49" t="n">
        <f aca="false">Z31-AA31</f>
        <v>94676.1490299172</v>
      </c>
      <c r="AC31" s="21" t="n">
        <f aca="false">L31*Baseline!G31</f>
        <v>2550.23077515306</v>
      </c>
    </row>
    <row r="32" customFormat="false" ht="15" hidden="false" customHeight="false" outlineLevel="0" collapsed="false">
      <c r="A32" s="13" t="n">
        <v>27</v>
      </c>
      <c r="B32" s="14" t="str">
        <f aca="false">Calendar!D32</f>
        <v>P7</v>
      </c>
      <c r="C32" s="20" t="n">
        <f aca="false">IF('Media Plan'!D32&lt;&gt;"",'Media Plan'!D32,Assumptions!$E$10*Baseline!T32)</f>
        <v>35282.7645313954</v>
      </c>
      <c r="D32" s="21" t="n">
        <f aca="false">IFERROR(C32/(Baseline!H32*(1+Assumptions!$E$13)*IFERROR(MAX(0,C32)/'History Y-1'!P32,1)^Assumptions!$E$14),0)</f>
        <v>73713.0730940692</v>
      </c>
      <c r="E32" s="20" t="n">
        <f aca="false">IF('Media Plan'!J32&lt;&gt;"",'Media Plan'!J32,Assumptions!$E$11*Baseline!U32)</f>
        <v>18447.6577887536</v>
      </c>
      <c r="F32" s="21" t="n">
        <f aca="false">IFERROR(E32/(Baseline!I32*(1+Assumptions!$E$13)*IFERROR(MAX(0,E32)/'History Y-1'!Q32,1)^Assumptions!$E$15),0)</f>
        <v>49961.4268440349</v>
      </c>
      <c r="G32" s="20" t="n">
        <f aca="false">IF('Media Plan'!P32&lt;&gt;"",'Media Plan'!P32,Assumptions!$E$12*Baseline!V32)</f>
        <v>4091.53855188812</v>
      </c>
      <c r="H32" s="21" t="n">
        <f aca="false">IFERROR(G32/(Baseline!J32*(1+Assumptions!$E$13)*IFERROR(MAX(0,G32)/'History Y-1'!R32,1)^Assumptions!$E$16),0)</f>
        <v>17248.1137356906</v>
      </c>
      <c r="I32" s="21" t="n">
        <f aca="false">'History Y-1'!$F$58*(1+Assumptions!$E$6)*Baseline!Q32+'History Y-1'!$G$58*(1+Assumptions!$E$7)*Baseline!R32+J32</f>
        <v>165140.327497525</v>
      </c>
      <c r="J32" s="21" t="n">
        <f aca="false">'History Y-1'!$H$58*(1+Assumptions!$E$8)*Baseline!S32</f>
        <v>18648.8469910509</v>
      </c>
      <c r="K32" s="55" t="n">
        <f aca="false">D32+F32+H32+I32</f>
        <v>306062.94117132</v>
      </c>
      <c r="L32" s="21" t="n">
        <f aca="false">K32*Baseline!B32*(1+Assumptions!$E$18)*(1+Calendar!G32)</f>
        <v>6582.74246811908</v>
      </c>
      <c r="M32" s="20" t="n">
        <f aca="false">L32*Baseline!C32*(1+Assumptions!$E$19)</f>
        <v>509683.394816029</v>
      </c>
      <c r="N32" s="31" t="n">
        <f aca="false">MAX(0,MIN(0.9,Baseline!E32+Assumptions!$E$20))</f>
        <v>0.0681086219025122</v>
      </c>
      <c r="O32" s="31" t="n">
        <f aca="false">MAX(0,Baseline!F32+Assumptions!$E$21)</f>
        <v>0.260015834022456</v>
      </c>
      <c r="P32" s="49" t="n">
        <f aca="false">M32*O32</f>
        <v>132525.752990487</v>
      </c>
      <c r="Q32" s="49" t="n">
        <f aca="false">M32-P32</f>
        <v>377157.641825542</v>
      </c>
      <c r="R32" s="21" t="n">
        <f aca="false">L32*Baseline!D32</f>
        <v>12719.3710561482</v>
      </c>
      <c r="S32" s="21" t="n">
        <f aca="false">IFERROR(P32/(Baseline!C32*(1+Assumptions!$E$19)),0)</f>
        <v>1711.61727300303</v>
      </c>
      <c r="T32" s="20" t="n">
        <f aca="false">Q32/(1-N32)*(1-Assumptions!$E$23)</f>
        <v>153794.645236768</v>
      </c>
      <c r="U32" s="20" t="n">
        <f aca="false">P32/(1-N32)*(1-Assumptions!$E$23)*Assumptions!$E$24</f>
        <v>2161.61614196699</v>
      </c>
      <c r="V32" s="49" t="n">
        <f aca="false">Q32-T32-U32</f>
        <v>221201.380446807</v>
      </c>
      <c r="W32" s="20" t="n">
        <f aca="false">T32*Assumptions!$E$25+L32*(Assumptions!$E$27-Assumptions!$E$28+Assumptions!$E$29+Assumptions!$E$36*Assumptions!$E$37)+R32*Assumptions!$E$30+S32*(Assumptions!$E$31+Assumptions!$E$32)+M32*(Assumptions!$E$33+Assumptions!$E$38)+IFERROR(M32*J32/K32,0)*Assumptions!$E$35*Assumptions!$E$34</f>
        <v>57443.6236525324</v>
      </c>
      <c r="X32" s="49" t="n">
        <f aca="false">V32-W32</f>
        <v>163757.756794275</v>
      </c>
      <c r="Y32" s="49" t="n">
        <f aca="false">C32+E32+G32</f>
        <v>57821.9608720371</v>
      </c>
      <c r="Z32" s="49" t="n">
        <f aca="false">X32-Y32</f>
        <v>105935.795922238</v>
      </c>
      <c r="AA32" s="20" t="n">
        <f aca="false">'Fixed Costs'!$G$31/52</f>
        <v>25332.6923076923</v>
      </c>
      <c r="AB32" s="49" t="n">
        <f aca="false">Z32-AA32</f>
        <v>80603.1036145453</v>
      </c>
      <c r="AC32" s="21" t="n">
        <f aca="false">L32*Baseline!G32</f>
        <v>2346.15973566287</v>
      </c>
    </row>
    <row r="33" customFormat="false" ht="15" hidden="false" customHeight="false" outlineLevel="0" collapsed="false">
      <c r="A33" s="13" t="n">
        <v>28</v>
      </c>
      <c r="B33" s="14" t="str">
        <f aca="false">Calendar!D33</f>
        <v>P7</v>
      </c>
      <c r="C33" s="20" t="n">
        <f aca="false">IF('Media Plan'!D33&lt;&gt;"",'Media Plan'!D33,Assumptions!$E$10*Baseline!T33)</f>
        <v>38603.9632134997</v>
      </c>
      <c r="D33" s="21" t="n">
        <f aca="false">IFERROR(C33/(Baseline!H33*(1+Assumptions!$E$13)*IFERROR(MAX(0,C33)/'History Y-1'!P33,1)^Assumptions!$E$14),0)</f>
        <v>78509.6482209921</v>
      </c>
      <c r="E33" s="20" t="n">
        <f aca="false">IF('Media Plan'!J33&lt;&gt;"",'Media Plan'!J33,Assumptions!$E$11*Baseline!U33)</f>
        <v>18893.9083851175</v>
      </c>
      <c r="F33" s="21" t="n">
        <f aca="false">IFERROR(E33/(Baseline!I33*(1+Assumptions!$E$13)*IFERROR(MAX(0,E33)/'History Y-1'!Q33,1)^Assumptions!$E$15),0)</f>
        <v>50343.0921181086</v>
      </c>
      <c r="G33" s="20" t="n">
        <f aca="false">IF('Media Plan'!P33&lt;&gt;"",'Media Plan'!P33,Assumptions!$E$12*Baseline!V33)</f>
        <v>4005.54201132859</v>
      </c>
      <c r="H33" s="21" t="n">
        <f aca="false">IFERROR(G33/(Baseline!J33*(1+Assumptions!$E$13)*IFERROR(MAX(0,G33)/'History Y-1'!R33,1)^Assumptions!$E$16),0)</f>
        <v>16702.8448775974</v>
      </c>
      <c r="I33" s="21" t="n">
        <f aca="false">'History Y-1'!$F$58*(1+Assumptions!$E$6)*Baseline!Q33+'History Y-1'!$G$58*(1+Assumptions!$E$7)*Baseline!R33+J33</f>
        <v>168959.204938285</v>
      </c>
      <c r="J33" s="21" t="n">
        <f aca="false">'History Y-1'!$H$58*(1+Assumptions!$E$8)*Baseline!S33</f>
        <v>19237.5620265012</v>
      </c>
      <c r="K33" s="55" t="n">
        <f aca="false">D33+F33+H33+I33</f>
        <v>314514.790154983</v>
      </c>
      <c r="L33" s="21" t="n">
        <f aca="false">K33*Baseline!B33*(1+Assumptions!$E$18)*(1+Calendar!G33)</f>
        <v>7033.1863644957</v>
      </c>
      <c r="M33" s="20" t="n">
        <f aca="false">L33*Baseline!C33*(1+Assumptions!$E$19)</f>
        <v>555314.892608196</v>
      </c>
      <c r="N33" s="31" t="n">
        <f aca="false">MAX(0,MIN(0.9,Baseline!E33+Assumptions!$E$20))</f>
        <v>0.0689088636414021</v>
      </c>
      <c r="O33" s="31" t="n">
        <f aca="false">MAX(0,Baseline!F33+Assumptions!$E$21)</f>
        <v>0.241476425566013</v>
      </c>
      <c r="P33" s="49" t="n">
        <f aca="false">M33*O33</f>
        <v>134095.455330601</v>
      </c>
      <c r="Q33" s="49" t="n">
        <f aca="false">M33-P33</f>
        <v>421219.437277594</v>
      </c>
      <c r="R33" s="21" t="n">
        <f aca="false">L33*Baseline!D33</f>
        <v>13179.7697382757</v>
      </c>
      <c r="S33" s="21" t="n">
        <f aca="false">IFERROR(P33/(Baseline!C33*(1+Assumptions!$E$19)),0)</f>
        <v>1698.34870363804</v>
      </c>
      <c r="T33" s="20" t="n">
        <f aca="false">Q33/(1-N33)*(1-Assumptions!$E$23)</f>
        <v>171909.472569439</v>
      </c>
      <c r="U33" s="20" t="n">
        <f aca="false">P33/(1-N33)*(1-Assumptions!$E$23)*Assumptions!$E$24</f>
        <v>2189.09926368382</v>
      </c>
      <c r="V33" s="49" t="n">
        <f aca="false">Q33-T33-U33</f>
        <v>247120.865444472</v>
      </c>
      <c r="W33" s="20" t="n">
        <f aca="false">T33*Assumptions!$E$25+L33*(Assumptions!$E$27-Assumptions!$E$28+Assumptions!$E$29+Assumptions!$E$36*Assumptions!$E$37)+R33*Assumptions!$E$30+S33*(Assumptions!$E$31+Assumptions!$E$32)+M33*(Assumptions!$E$33+Assumptions!$E$38)+IFERROR(M33*J33/K33,0)*Assumptions!$E$35*Assumptions!$E$34</f>
        <v>60916.4798618607</v>
      </c>
      <c r="X33" s="49" t="n">
        <f aca="false">V33-W33</f>
        <v>186204.385582611</v>
      </c>
      <c r="Y33" s="49" t="n">
        <f aca="false">C33+E33+G33</f>
        <v>61503.4136099458</v>
      </c>
      <c r="Z33" s="49" t="n">
        <f aca="false">X33-Y33</f>
        <v>124700.971972665</v>
      </c>
      <c r="AA33" s="20" t="n">
        <f aca="false">'Fixed Costs'!$G$31/52</f>
        <v>25332.6923076923</v>
      </c>
      <c r="AB33" s="49" t="n">
        <f aca="false">Z33-AA33</f>
        <v>99368.279664973</v>
      </c>
      <c r="AC33" s="21" t="n">
        <f aca="false">L33*Baseline!G33</f>
        <v>2393.22689539782</v>
      </c>
    </row>
    <row r="34" customFormat="false" ht="15" hidden="false" customHeight="false" outlineLevel="0" collapsed="false">
      <c r="A34" s="13" t="n">
        <v>29</v>
      </c>
      <c r="B34" s="14" t="str">
        <f aca="false">Calendar!D34</f>
        <v>P7</v>
      </c>
      <c r="C34" s="20" t="n">
        <f aca="false">IF('Media Plan'!D34&lt;&gt;"",'Media Plan'!D34,Assumptions!$E$10*Baseline!T34)</f>
        <v>37719.4443779282</v>
      </c>
      <c r="D34" s="21" t="n">
        <f aca="false">IFERROR(C34/(Baseline!H34*(1+Assumptions!$E$13)*IFERROR(MAX(0,C34)/'History Y-1'!P34,1)^Assumptions!$E$14),0)</f>
        <v>76643.6825862805</v>
      </c>
      <c r="E34" s="20" t="n">
        <f aca="false">IF('Media Plan'!J34&lt;&gt;"",'Media Plan'!J34,Assumptions!$E$11*Baseline!U34)</f>
        <v>17876.1098522611</v>
      </c>
      <c r="F34" s="21" t="n">
        <f aca="false">IFERROR(E34/(Baseline!I34*(1+Assumptions!$E$13)*IFERROR(MAX(0,E34)/'History Y-1'!Q34,1)^Assumptions!$E$15),0)</f>
        <v>48811.4536878386</v>
      </c>
      <c r="G34" s="20" t="n">
        <f aca="false">IF('Media Plan'!P34&lt;&gt;"",'Media Plan'!P34,Assumptions!$E$12*Baseline!V34)</f>
        <v>3961.60021459901</v>
      </c>
      <c r="H34" s="21" t="n">
        <f aca="false">IFERROR(G34/(Baseline!J34*(1+Assumptions!$E$13)*IFERROR(MAX(0,G34)/'History Y-1'!R34,1)^Assumptions!$E$16),0)</f>
        <v>16625.6661929269</v>
      </c>
      <c r="I34" s="21" t="n">
        <f aca="false">'History Y-1'!$F$58*(1+Assumptions!$E$6)*Baseline!Q34+'History Y-1'!$G$58*(1+Assumptions!$E$7)*Baseline!R34+J34</f>
        <v>169994.753323844</v>
      </c>
      <c r="J34" s="21" t="n">
        <f aca="false">'History Y-1'!$H$58*(1+Assumptions!$E$8)*Baseline!S34</f>
        <v>18957.9548854928</v>
      </c>
      <c r="K34" s="55" t="n">
        <f aca="false">D34+F34+H34+I34</f>
        <v>312075.555790891</v>
      </c>
      <c r="L34" s="21" t="n">
        <f aca="false">K34*Baseline!B34*(1+Assumptions!$E$18)*(1+Calendar!G34)</f>
        <v>6909.33421750728</v>
      </c>
      <c r="M34" s="20" t="n">
        <f aca="false">L34*Baseline!C34*(1+Assumptions!$E$19)</f>
        <v>533517.607812374</v>
      </c>
      <c r="N34" s="31" t="n">
        <f aca="false">MAX(0,MIN(0.9,Baseline!E34+Assumptions!$E$20))</f>
        <v>0.0723381157421977</v>
      </c>
      <c r="O34" s="31" t="n">
        <f aca="false">MAX(0,Baseline!F34+Assumptions!$E$21)</f>
        <v>0.253445798809196</v>
      </c>
      <c r="P34" s="49" t="n">
        <f aca="false">M34*O34</f>
        <v>135217.796290779</v>
      </c>
      <c r="Q34" s="49" t="n">
        <f aca="false">M34-P34</f>
        <v>398299.811521595</v>
      </c>
      <c r="R34" s="21" t="n">
        <f aca="false">L34*Baseline!D34</f>
        <v>13483.8145936462</v>
      </c>
      <c r="S34" s="21" t="n">
        <f aca="false">IFERROR(P34/(Baseline!C34*(1+Assumptions!$E$19)),0)</f>
        <v>1751.14172999585</v>
      </c>
      <c r="T34" s="20" t="n">
        <f aca="false">Q34/(1-N34)*(1-Assumptions!$E$23)</f>
        <v>163156.351410622</v>
      </c>
      <c r="U34" s="20" t="n">
        <f aca="false">P34/(1-N34)*(1-Assumptions!$E$23)*Assumptions!$E$24</f>
        <v>2215.58149418226</v>
      </c>
      <c r="V34" s="49" t="n">
        <f aca="false">Q34-T34-U34</f>
        <v>232927.87861679</v>
      </c>
      <c r="W34" s="20" t="n">
        <f aca="false">T34*Assumptions!$E$25+L34*(Assumptions!$E$27-Assumptions!$E$28+Assumptions!$E$29+Assumptions!$E$36*Assumptions!$E$37)+R34*Assumptions!$E$30+S34*(Assumptions!$E$31+Assumptions!$E$32)+M34*(Assumptions!$E$33+Assumptions!$E$38)+IFERROR(M34*J34/K34,0)*Assumptions!$E$35*Assumptions!$E$34</f>
        <v>60215.955555548</v>
      </c>
      <c r="X34" s="49" t="n">
        <f aca="false">V34-W34</f>
        <v>172711.923061242</v>
      </c>
      <c r="Y34" s="49" t="n">
        <f aca="false">C34+E34+G34</f>
        <v>59557.1544447883</v>
      </c>
      <c r="Z34" s="49" t="n">
        <f aca="false">X34-Y34</f>
        <v>113154.768616454</v>
      </c>
      <c r="AA34" s="20" t="n">
        <f aca="false">'Fixed Costs'!$G$31/52</f>
        <v>25332.6923076923</v>
      </c>
      <c r="AB34" s="49" t="n">
        <f aca="false">Z34-AA34</f>
        <v>87822.0763087618</v>
      </c>
      <c r="AC34" s="21" t="n">
        <f aca="false">L34*Baseline!G34</f>
        <v>2442.95467413457</v>
      </c>
    </row>
    <row r="35" customFormat="false" ht="15" hidden="false" customHeight="false" outlineLevel="0" collapsed="false">
      <c r="A35" s="13" t="n">
        <v>30</v>
      </c>
      <c r="B35" s="14" t="str">
        <f aca="false">Calendar!D35</f>
        <v>P7</v>
      </c>
      <c r="C35" s="20" t="n">
        <f aca="false">IF('Media Plan'!D35&lt;&gt;"",'Media Plan'!D35,Assumptions!$E$10*Baseline!T35)</f>
        <v>34962.3570375204</v>
      </c>
      <c r="D35" s="21" t="n">
        <f aca="false">IFERROR(C35/(Baseline!H35*(1+Assumptions!$E$13)*IFERROR(MAX(0,C35)/'History Y-1'!P35,1)^Assumptions!$E$14),0)</f>
        <v>71463.8244498102</v>
      </c>
      <c r="E35" s="20" t="n">
        <f aca="false">IF('Media Plan'!J35&lt;&gt;"",'Media Plan'!J35,Assumptions!$E$11*Baseline!U35)</f>
        <v>18325.5649430611</v>
      </c>
      <c r="F35" s="21" t="n">
        <f aca="false">IFERROR(E35/(Baseline!I35*(1+Assumptions!$E$13)*IFERROR(MAX(0,E35)/'History Y-1'!Q35,1)^Assumptions!$E$15),0)</f>
        <v>48261.6752046875</v>
      </c>
      <c r="G35" s="20" t="n">
        <f aca="false">IF('Media Plan'!P35&lt;&gt;"",'Media Plan'!P35,Assumptions!$E$12*Baseline!V35)</f>
        <v>3973.90696748992</v>
      </c>
      <c r="H35" s="21" t="n">
        <f aca="false">IFERROR(G35/(Baseline!J35*(1+Assumptions!$E$13)*IFERROR(MAX(0,G35)/'History Y-1'!R35,1)^Assumptions!$E$16),0)</f>
        <v>16369.9957832826</v>
      </c>
      <c r="I35" s="21" t="n">
        <f aca="false">'History Y-1'!$F$58*(1+Assumptions!$E$6)*Baseline!Q35+'History Y-1'!$G$58*(1+Assumptions!$E$7)*Baseline!R35+J35</f>
        <v>165367.890913165</v>
      </c>
      <c r="J35" s="21" t="n">
        <f aca="false">'History Y-1'!$H$58*(1+Assumptions!$E$8)*Baseline!S35</f>
        <v>19218.3961652048</v>
      </c>
      <c r="K35" s="55" t="n">
        <f aca="false">D35+F35+H35+I35</f>
        <v>301463.386350945</v>
      </c>
      <c r="L35" s="21" t="n">
        <f aca="false">K35*Baseline!B35*(1+Assumptions!$E$18)*(1+Calendar!G35)</f>
        <v>6686.41267038144</v>
      </c>
      <c r="M35" s="20" t="n">
        <f aca="false">L35*Baseline!C35*(1+Assumptions!$E$19)</f>
        <v>517540.711390927</v>
      </c>
      <c r="N35" s="31" t="n">
        <f aca="false">MAX(0,MIN(0.9,Baseline!E35+Assumptions!$E$20))</f>
        <v>0.0654892189355552</v>
      </c>
      <c r="O35" s="31" t="n">
        <f aca="false">MAX(0,Baseline!F35+Assumptions!$E$21)</f>
        <v>0.248790927758975</v>
      </c>
      <c r="P35" s="49" t="n">
        <f aca="false">M35*O35</f>
        <v>128759.433739988</v>
      </c>
      <c r="Q35" s="49" t="n">
        <f aca="false">M35-P35</f>
        <v>388781.277650938</v>
      </c>
      <c r="R35" s="21" t="n">
        <f aca="false">L35*Baseline!D35</f>
        <v>12869.4696396873</v>
      </c>
      <c r="S35" s="21" t="n">
        <f aca="false">IFERROR(P35/(Baseline!C35*(1+Assumptions!$E$19)),0)</f>
        <v>1663.51881164356</v>
      </c>
      <c r="T35" s="20" t="n">
        <f aca="false">Q35/(1-N35)*(1-Assumptions!$E$23)</f>
        <v>158090.081463885</v>
      </c>
      <c r="U35" s="20" t="n">
        <f aca="false">P35/(1-N35)*(1-Assumptions!$E$23)*Assumptions!$E$24</f>
        <v>2094.29728634972</v>
      </c>
      <c r="V35" s="49" t="n">
        <f aca="false">Q35-T35-U35</f>
        <v>228596.898900704</v>
      </c>
      <c r="W35" s="20" t="n">
        <f aca="false">T35*Assumptions!$E$25+L35*(Assumptions!$E$27-Assumptions!$E$28+Assumptions!$E$29+Assumptions!$E$36*Assumptions!$E$37)+R35*Assumptions!$E$30+S35*(Assumptions!$E$31+Assumptions!$E$32)+M35*(Assumptions!$E$33+Assumptions!$E$38)+IFERROR(M35*J35/K35,0)*Assumptions!$E$35*Assumptions!$E$34</f>
        <v>58130.8734177842</v>
      </c>
      <c r="X35" s="49" t="n">
        <f aca="false">V35-W35</f>
        <v>170466.02548292</v>
      </c>
      <c r="Y35" s="49" t="n">
        <f aca="false">C35+E35+G35</f>
        <v>57261.8289480714</v>
      </c>
      <c r="Z35" s="49" t="n">
        <f aca="false">X35-Y35</f>
        <v>113204.196534848</v>
      </c>
      <c r="AA35" s="20" t="n">
        <f aca="false">'Fixed Costs'!$G$31/52</f>
        <v>25332.6923076923</v>
      </c>
      <c r="AB35" s="49" t="n">
        <f aca="false">Z35-AA35</f>
        <v>87871.5042271561</v>
      </c>
      <c r="AC35" s="21" t="n">
        <f aca="false">L35*Baseline!G35</f>
        <v>2336.28150099292</v>
      </c>
    </row>
    <row r="36" customFormat="false" ht="15" hidden="false" customHeight="false" outlineLevel="0" collapsed="false">
      <c r="A36" s="13" t="n">
        <v>31</v>
      </c>
      <c r="B36" s="14" t="str">
        <f aca="false">Calendar!D36</f>
        <v>P8</v>
      </c>
      <c r="C36" s="20" t="n">
        <f aca="false">IF('Media Plan'!D36&lt;&gt;"",'Media Plan'!D36,Assumptions!$E$10*Baseline!T36)</f>
        <v>36391.2685998146</v>
      </c>
      <c r="D36" s="21" t="n">
        <f aca="false">IFERROR(C36/(Baseline!H36*(1+Assumptions!$E$13)*IFERROR(MAX(0,C36)/'History Y-1'!P36,1)^Assumptions!$E$14),0)</f>
        <v>75592.2453547558</v>
      </c>
      <c r="E36" s="20" t="n">
        <f aca="false">IF('Media Plan'!J36&lt;&gt;"",'Media Plan'!J36,Assumptions!$E$11*Baseline!U36)</f>
        <v>18219.81851864</v>
      </c>
      <c r="F36" s="21" t="n">
        <f aca="false">IFERROR(E36/(Baseline!I36*(1+Assumptions!$E$13)*IFERROR(MAX(0,E36)/'History Y-1'!Q36,1)^Assumptions!$E$15),0)</f>
        <v>50156.7847587398</v>
      </c>
      <c r="G36" s="20" t="n">
        <f aca="false">IF('Media Plan'!P36&lt;&gt;"",'Media Plan'!P36,Assumptions!$E$12*Baseline!V36)</f>
        <v>4375.04820845209</v>
      </c>
      <c r="H36" s="21" t="n">
        <f aca="false">IFERROR(G36/(Baseline!J36*(1+Assumptions!$E$13)*IFERROR(MAX(0,G36)/'History Y-1'!R36,1)^Assumptions!$E$16),0)</f>
        <v>17906.4596120546</v>
      </c>
      <c r="I36" s="21" t="n">
        <f aca="false">'History Y-1'!$F$58*(1+Assumptions!$E$6)*Baseline!Q36+'History Y-1'!$G$58*(1+Assumptions!$E$7)*Baseline!R36+J36</f>
        <v>172554.000124207</v>
      </c>
      <c r="J36" s="21" t="n">
        <f aca="false">'History Y-1'!$H$58*(1+Assumptions!$E$8)*Baseline!S36</f>
        <v>20413.1371479946</v>
      </c>
      <c r="K36" s="55" t="n">
        <f aca="false">D36+F36+H36+I36</f>
        <v>316209.489849757</v>
      </c>
      <c r="L36" s="21" t="n">
        <f aca="false">K36*Baseline!B36*(1+Assumptions!$E$18)*(1+Calendar!G36)</f>
        <v>7049.46260999491</v>
      </c>
      <c r="M36" s="20" t="n">
        <f aca="false">L36*Baseline!C36*(1+Assumptions!$E$19)</f>
        <v>553402.833407249</v>
      </c>
      <c r="N36" s="31" t="n">
        <f aca="false">MAX(0,MIN(0.9,Baseline!E36+Assumptions!$E$20))</f>
        <v>0.0705213762822993</v>
      </c>
      <c r="O36" s="31" t="n">
        <f aca="false">MAX(0,Baseline!F36+Assumptions!$E$21)</f>
        <v>0.247414351755172</v>
      </c>
      <c r="P36" s="49" t="n">
        <f aca="false">M36*O36</f>
        <v>136919.80328693</v>
      </c>
      <c r="Q36" s="49" t="n">
        <f aca="false">M36-P36</f>
        <v>416483.03012032</v>
      </c>
      <c r="R36" s="21" t="n">
        <f aca="false">L36*Baseline!D36</f>
        <v>13228.9341341757</v>
      </c>
      <c r="S36" s="21" t="n">
        <f aca="false">IFERROR(P36/(Baseline!C36*(1+Assumptions!$E$19)),0)</f>
        <v>1744.13822187421</v>
      </c>
      <c r="T36" s="20" t="n">
        <f aca="false">Q36/(1-N36)*(1-Assumptions!$E$23)</f>
        <v>170271.319218406</v>
      </c>
      <c r="U36" s="20" t="n">
        <f aca="false">P36/(1-N36)*(1-Assumptions!$E$23)*Assumptions!$E$24</f>
        <v>2239.08431765444</v>
      </c>
      <c r="V36" s="49" t="n">
        <f aca="false">Q36-T36-U36</f>
        <v>243972.626584259</v>
      </c>
      <c r="W36" s="20" t="n">
        <f aca="false">T36*Assumptions!$E$25+L36*(Assumptions!$E$27-Assumptions!$E$28+Assumptions!$E$29+Assumptions!$E$36*Assumptions!$E$37)+R36*Assumptions!$E$30+S36*(Assumptions!$E$31+Assumptions!$E$32)+M36*(Assumptions!$E$33+Assumptions!$E$38)+IFERROR(M36*J36/K36,0)*Assumptions!$E$35*Assumptions!$E$34</f>
        <v>61267.1472463587</v>
      </c>
      <c r="X36" s="49" t="n">
        <f aca="false">V36-W36</f>
        <v>182705.4793379</v>
      </c>
      <c r="Y36" s="49" t="n">
        <f aca="false">C36+E36+G36</f>
        <v>58986.1353269067</v>
      </c>
      <c r="Z36" s="49" t="n">
        <f aca="false">X36-Y36</f>
        <v>123719.344010994</v>
      </c>
      <c r="AA36" s="20" t="n">
        <f aca="false">'Fixed Costs'!$G$31/52</f>
        <v>25332.6923076923</v>
      </c>
      <c r="AB36" s="49" t="n">
        <f aca="false">Z36-AA36</f>
        <v>98386.6517033014</v>
      </c>
      <c r="AC36" s="21" t="n">
        <f aca="false">L36*Baseline!G36</f>
        <v>2450.19350872071</v>
      </c>
    </row>
    <row r="37" customFormat="false" ht="15" hidden="false" customHeight="false" outlineLevel="0" collapsed="false">
      <c r="A37" s="13" t="n">
        <v>32</v>
      </c>
      <c r="B37" s="14" t="str">
        <f aca="false">Calendar!D37</f>
        <v>P8</v>
      </c>
      <c r="C37" s="20" t="n">
        <f aca="false">IF('Media Plan'!D37&lt;&gt;"",'Media Plan'!D37,Assumptions!$E$10*Baseline!T37)</f>
        <v>36764.8701187388</v>
      </c>
      <c r="D37" s="21" t="n">
        <f aca="false">IFERROR(C37/(Baseline!H37*(1+Assumptions!$E$13)*IFERROR(MAX(0,C37)/'History Y-1'!P37,1)^Assumptions!$E$14),0)</f>
        <v>77776.0362502764</v>
      </c>
      <c r="E37" s="20" t="n">
        <f aca="false">IF('Media Plan'!J37&lt;&gt;"",'Media Plan'!J37,Assumptions!$E$11*Baseline!U37)</f>
        <v>18636.0357387367</v>
      </c>
      <c r="F37" s="21" t="n">
        <f aca="false">IFERROR(E37/(Baseline!I37*(1+Assumptions!$E$13)*IFERROR(MAX(0,E37)/'History Y-1'!Q37,1)^Assumptions!$E$15),0)</f>
        <v>48682.1010375063</v>
      </c>
      <c r="G37" s="20" t="n">
        <f aca="false">IF('Media Plan'!P37&lt;&gt;"",'Media Plan'!P37,Assumptions!$E$12*Baseline!V37)</f>
        <v>4346.62942895109</v>
      </c>
      <c r="H37" s="21" t="n">
        <f aca="false">IFERROR(G37/(Baseline!J37*(1+Assumptions!$E$13)*IFERROR(MAX(0,G37)/'History Y-1'!R37,1)^Assumptions!$E$16),0)</f>
        <v>17430.0051446585</v>
      </c>
      <c r="I37" s="21" t="n">
        <f aca="false">'History Y-1'!$F$58*(1+Assumptions!$E$6)*Baseline!Q37+'History Y-1'!$G$58*(1+Assumptions!$E$7)*Baseline!R37+J37</f>
        <v>168995.062065502</v>
      </c>
      <c r="J37" s="21" t="n">
        <f aca="false">'History Y-1'!$H$58*(1+Assumptions!$E$8)*Baseline!S37</f>
        <v>19305.6703145229</v>
      </c>
      <c r="K37" s="55" t="n">
        <f aca="false">D37+F37+H37+I37</f>
        <v>312883.204497944</v>
      </c>
      <c r="L37" s="21" t="n">
        <f aca="false">K37*Baseline!B37*(1+Assumptions!$E$18)*(1+Calendar!G37)</f>
        <v>6995.29843064599</v>
      </c>
      <c r="M37" s="20" t="n">
        <f aca="false">L37*Baseline!C37*(1+Assumptions!$E$19)</f>
        <v>539590.340954338</v>
      </c>
      <c r="N37" s="31" t="n">
        <f aca="false">MAX(0,MIN(0.9,Baseline!E37+Assumptions!$E$20))</f>
        <v>0.070986075860196</v>
      </c>
      <c r="O37" s="31" t="n">
        <f aca="false">MAX(0,Baseline!F37+Assumptions!$E$21)</f>
        <v>0.251753859014964</v>
      </c>
      <c r="P37" s="49" t="n">
        <f aca="false">M37*O37</f>
        <v>135843.950622455</v>
      </c>
      <c r="Q37" s="49" t="n">
        <f aca="false">M37-P37</f>
        <v>403746.390331883</v>
      </c>
      <c r="R37" s="21" t="n">
        <f aca="false">L37*Baseline!D37</f>
        <v>13196.7568416446</v>
      </c>
      <c r="S37" s="21" t="n">
        <f aca="false">IFERROR(P37/(Baseline!C37*(1+Assumptions!$E$19)),0)</f>
        <v>1761.09337487645</v>
      </c>
      <c r="T37" s="20" t="n">
        <f aca="false">Q37/(1-N37)*(1-Assumptions!$E$23)</f>
        <v>165146.747900656</v>
      </c>
      <c r="U37" s="20" t="n">
        <f aca="false">P37/(1-N37)*(1-Assumptions!$E$23)*Assumptions!$E$24</f>
        <v>2222.60183169288</v>
      </c>
      <c r="V37" s="49" t="n">
        <f aca="false">Q37-T37-U37</f>
        <v>236377.040599534</v>
      </c>
      <c r="W37" s="20" t="n">
        <f aca="false">T37*Assumptions!$E$25+L37*(Assumptions!$E$27-Assumptions!$E$28+Assumptions!$E$29+Assumptions!$E$36*Assumptions!$E$37)+R37*Assumptions!$E$30+S37*(Assumptions!$E$31+Assumptions!$E$32)+M37*(Assumptions!$E$33+Assumptions!$E$38)+IFERROR(M37*J37/K37,0)*Assumptions!$E$35*Assumptions!$E$34</f>
        <v>60563.7958581137</v>
      </c>
      <c r="X37" s="49" t="n">
        <f aca="false">V37-W37</f>
        <v>175813.24474142</v>
      </c>
      <c r="Y37" s="49" t="n">
        <f aca="false">C37+E37+G37</f>
        <v>59747.5352864266</v>
      </c>
      <c r="Z37" s="49" t="n">
        <f aca="false">X37-Y37</f>
        <v>116065.709454994</v>
      </c>
      <c r="AA37" s="20" t="n">
        <f aca="false">'Fixed Costs'!$G$31/52</f>
        <v>25332.6923076923</v>
      </c>
      <c r="AB37" s="49" t="n">
        <f aca="false">Z37-AA37</f>
        <v>90733.0171473014</v>
      </c>
      <c r="AC37" s="21" t="n">
        <f aca="false">L37*Baseline!G37</f>
        <v>2371.39176099232</v>
      </c>
    </row>
    <row r="38" customFormat="false" ht="15" hidden="false" customHeight="false" outlineLevel="0" collapsed="false">
      <c r="A38" s="13" t="n">
        <v>33</v>
      </c>
      <c r="B38" s="14" t="str">
        <f aca="false">Calendar!D38</f>
        <v>P8</v>
      </c>
      <c r="C38" s="20" t="n">
        <f aca="false">IF('Media Plan'!D38&lt;&gt;"",'Media Plan'!D38,Assumptions!$E$10*Baseline!T38)</f>
        <v>36431.7726934443</v>
      </c>
      <c r="D38" s="21" t="n">
        <f aca="false">IFERROR(C38/(Baseline!H38*(1+Assumptions!$E$13)*IFERROR(MAX(0,C38)/'History Y-1'!P38,1)^Assumptions!$E$14),0)</f>
        <v>75286.2163035446</v>
      </c>
      <c r="E38" s="20" t="n">
        <f aca="false">IF('Media Plan'!J38&lt;&gt;"",'Media Plan'!J38,Assumptions!$E$11*Baseline!U38)</f>
        <v>17745.7786921892</v>
      </c>
      <c r="F38" s="21" t="n">
        <f aca="false">IFERROR(E38/(Baseline!I38*(1+Assumptions!$E$13)*IFERROR(MAX(0,E38)/'History Y-1'!Q38,1)^Assumptions!$E$15),0)</f>
        <v>48968.0878328023</v>
      </c>
      <c r="G38" s="20" t="n">
        <f aca="false">IF('Media Plan'!P38&lt;&gt;"",'Media Plan'!P38,Assumptions!$E$12*Baseline!V38)</f>
        <v>4076.63421086878</v>
      </c>
      <c r="H38" s="21" t="n">
        <f aca="false">IFERROR(G38/(Baseline!J38*(1+Assumptions!$E$13)*IFERROR(MAX(0,G38)/'History Y-1'!R38,1)^Assumptions!$E$16),0)</f>
        <v>16937.4979843835</v>
      </c>
      <c r="I38" s="21" t="n">
        <f aca="false">'History Y-1'!$F$58*(1+Assumptions!$E$6)*Baseline!Q38+'History Y-1'!$G$58*(1+Assumptions!$E$7)*Baseline!R38+J38</f>
        <v>167817.40954883</v>
      </c>
      <c r="J38" s="21" t="n">
        <f aca="false">'History Y-1'!$H$58*(1+Assumptions!$E$8)*Baseline!S38</f>
        <v>19323.512704658</v>
      </c>
      <c r="K38" s="55" t="n">
        <f aca="false">D38+F38+H38+I38</f>
        <v>309009.21166956</v>
      </c>
      <c r="L38" s="21" t="n">
        <f aca="false">K38*Baseline!B38*(1+Assumptions!$E$18)*(1+Calendar!G38)</f>
        <v>6961.80902302133</v>
      </c>
      <c r="M38" s="20" t="n">
        <f aca="false">L38*Baseline!C38*(1+Assumptions!$E$19)</f>
        <v>547646.098597604</v>
      </c>
      <c r="N38" s="31" t="n">
        <f aca="false">MAX(0,MIN(0.9,Baseline!E38+Assumptions!$E$20))</f>
        <v>0.0738004019382567</v>
      </c>
      <c r="O38" s="31" t="n">
        <f aca="false">MAX(0,Baseline!F38+Assumptions!$E$21)</f>
        <v>0.253412153329654</v>
      </c>
      <c r="P38" s="49" t="n">
        <f aca="false">M38*O38</f>
        <v>138780.177108203</v>
      </c>
      <c r="Q38" s="49" t="n">
        <f aca="false">M38-P38</f>
        <v>408865.921489401</v>
      </c>
      <c r="R38" s="21" t="n">
        <f aca="false">L38*Baseline!D38</f>
        <v>13279.9353069494</v>
      </c>
      <c r="S38" s="21" t="n">
        <f aca="false">IFERROR(P38/(Baseline!C38*(1+Assumptions!$E$19)),0)</f>
        <v>1764.20701559365</v>
      </c>
      <c r="T38" s="20" t="n">
        <f aca="false">Q38/(1-N38)*(1-Assumptions!$E$23)</f>
        <v>167748.993295951</v>
      </c>
      <c r="U38" s="20" t="n">
        <f aca="false">P38/(1-N38)*(1-Assumptions!$E$23)*Assumptions!$E$24</f>
        <v>2277.54222357594</v>
      </c>
      <c r="V38" s="49" t="n">
        <f aca="false">Q38-T38-U38</f>
        <v>238839.385969873</v>
      </c>
      <c r="W38" s="20" t="n">
        <f aca="false">T38*Assumptions!$E$25+L38*(Assumptions!$E$27-Assumptions!$E$28+Assumptions!$E$29+Assumptions!$E$36*Assumptions!$E$37)+R38*Assumptions!$E$30+S38*(Assumptions!$E$31+Assumptions!$E$32)+M38*(Assumptions!$E$33+Assumptions!$E$38)+IFERROR(M38*J38/K38,0)*Assumptions!$E$35*Assumptions!$E$34</f>
        <v>60799.4192958112</v>
      </c>
      <c r="X38" s="49" t="n">
        <f aca="false">V38-W38</f>
        <v>178039.966674062</v>
      </c>
      <c r="Y38" s="49" t="n">
        <f aca="false">C38+E38+G38</f>
        <v>58254.1855965023</v>
      </c>
      <c r="Z38" s="49" t="n">
        <f aca="false">X38-Y38</f>
        <v>119785.78107756</v>
      </c>
      <c r="AA38" s="20" t="n">
        <f aca="false">'Fixed Costs'!$G$31/52</f>
        <v>25332.6923076923</v>
      </c>
      <c r="AB38" s="49" t="n">
        <f aca="false">Z38-AA38</f>
        <v>94453.0887698676</v>
      </c>
      <c r="AC38" s="21" t="n">
        <f aca="false">L38*Baseline!G38</f>
        <v>2500.4298027805</v>
      </c>
    </row>
    <row r="39" customFormat="false" ht="15" hidden="false" customHeight="false" outlineLevel="0" collapsed="false">
      <c r="A39" s="13" t="n">
        <v>34</v>
      </c>
      <c r="B39" s="14" t="str">
        <f aca="false">Calendar!D39</f>
        <v>P8</v>
      </c>
      <c r="C39" s="20" t="n">
        <f aca="false">IF('Media Plan'!D39&lt;&gt;"",'Media Plan'!D39,Assumptions!$E$10*Baseline!T39)</f>
        <v>36701.8292642157</v>
      </c>
      <c r="D39" s="21" t="n">
        <f aca="false">IFERROR(C39/(Baseline!H39*(1+Assumptions!$E$13)*IFERROR(MAX(0,C39)/'History Y-1'!P39,1)^Assumptions!$E$14),0)</f>
        <v>75701.8599628254</v>
      </c>
      <c r="E39" s="20" t="n">
        <f aca="false">IF('Media Plan'!J39&lt;&gt;"",'Media Plan'!J39,Assumptions!$E$11*Baseline!U39)</f>
        <v>18862.1303026396</v>
      </c>
      <c r="F39" s="21" t="n">
        <f aca="false">IFERROR(E39/(Baseline!I39*(1+Assumptions!$E$13)*IFERROR(MAX(0,E39)/'History Y-1'!Q39,1)^Assumptions!$E$15),0)</f>
        <v>50957.8609290035</v>
      </c>
      <c r="G39" s="20" t="n">
        <f aca="false">IF('Media Plan'!P39&lt;&gt;"",'Media Plan'!P39,Assumptions!$E$12*Baseline!V39)</f>
        <v>4215.77720767676</v>
      </c>
      <c r="H39" s="21" t="n">
        <f aca="false">IFERROR(G39/(Baseline!J39*(1+Assumptions!$E$13)*IFERROR(MAX(0,G39)/'History Y-1'!R39,1)^Assumptions!$E$16),0)</f>
        <v>16965.2467548107</v>
      </c>
      <c r="I39" s="21" t="n">
        <f aca="false">'History Y-1'!$F$58*(1+Assumptions!$E$6)*Baseline!Q39+'History Y-1'!$G$58*(1+Assumptions!$E$7)*Baseline!R39+J39</f>
        <v>165629.093392077</v>
      </c>
      <c r="J39" s="21" t="n">
        <f aca="false">'History Y-1'!$H$58*(1+Assumptions!$E$8)*Baseline!S39</f>
        <v>19983.1371549256</v>
      </c>
      <c r="K39" s="55" t="n">
        <f aca="false">D39+F39+H39+I39</f>
        <v>309254.061038716</v>
      </c>
      <c r="L39" s="21" t="n">
        <f aca="false">K39*Baseline!B39*(1+Assumptions!$E$18)*(1+Calendar!G39)</f>
        <v>6750.98357673445</v>
      </c>
      <c r="M39" s="20" t="n">
        <f aca="false">L39*Baseline!C39*(1+Assumptions!$E$19)</f>
        <v>527524.163699995</v>
      </c>
      <c r="N39" s="31" t="n">
        <f aca="false">MAX(0,MIN(0.9,Baseline!E39+Assumptions!$E$20))</f>
        <v>0.0672506852430277</v>
      </c>
      <c r="O39" s="31" t="n">
        <f aca="false">MAX(0,Baseline!F39+Assumptions!$E$21)</f>
        <v>0.241878705960027</v>
      </c>
      <c r="P39" s="49" t="n">
        <f aca="false">M39*O39</f>
        <v>127596.862078401</v>
      </c>
      <c r="Q39" s="49" t="n">
        <f aca="false">M39-P39</f>
        <v>399927.301621595</v>
      </c>
      <c r="R39" s="21" t="n">
        <f aca="false">L39*Baseline!D39</f>
        <v>12980.8749493701</v>
      </c>
      <c r="S39" s="21" t="n">
        <f aca="false">IFERROR(P39/(Baseline!C39*(1+Assumptions!$E$19)),0)</f>
        <v>1632.91917149793</v>
      </c>
      <c r="T39" s="20" t="n">
        <f aca="false">Q39/(1-N39)*(1-Assumptions!$E$23)</f>
        <v>162929.494786927</v>
      </c>
      <c r="U39" s="20" t="n">
        <f aca="false">P39/(1-N39)*(1-Assumptions!$E$23)*Assumptions!$E$24</f>
        <v>2079.30713312506</v>
      </c>
      <c r="V39" s="49" t="n">
        <f aca="false">Q39-T39-U39</f>
        <v>234918.499701543</v>
      </c>
      <c r="W39" s="20" t="n">
        <f aca="false">T39*Assumptions!$E$25+L39*(Assumptions!$E$27-Assumptions!$E$28+Assumptions!$E$29+Assumptions!$E$36*Assumptions!$E$37)+R39*Assumptions!$E$30+S39*(Assumptions!$E$31+Assumptions!$E$32)+M39*(Assumptions!$E$33+Assumptions!$E$38)+IFERROR(M39*J39/K39,0)*Assumptions!$E$35*Assumptions!$E$34</f>
        <v>58709.9878344048</v>
      </c>
      <c r="X39" s="49" t="n">
        <f aca="false">V39-W39</f>
        <v>176208.511867138</v>
      </c>
      <c r="Y39" s="49" t="n">
        <f aca="false">C39+E39+G39</f>
        <v>59779.7367745321</v>
      </c>
      <c r="Z39" s="49" t="n">
        <f aca="false">X39-Y39</f>
        <v>116428.775092606</v>
      </c>
      <c r="AA39" s="20" t="n">
        <f aca="false">'Fixed Costs'!$G$31/52</f>
        <v>25332.6923076923</v>
      </c>
      <c r="AB39" s="49" t="n">
        <f aca="false">Z39-AA39</f>
        <v>91096.0827849134</v>
      </c>
      <c r="AC39" s="21" t="n">
        <f aca="false">L39*Baseline!G39</f>
        <v>2336.02815212274</v>
      </c>
    </row>
    <row r="40" customFormat="false" ht="15" hidden="false" customHeight="false" outlineLevel="0" collapsed="false">
      <c r="A40" s="13" t="n">
        <v>35</v>
      </c>
      <c r="B40" s="14" t="str">
        <f aca="false">Calendar!D40</f>
        <v>P9</v>
      </c>
      <c r="C40" s="20" t="n">
        <f aca="false">IF('Media Plan'!D40&lt;&gt;"",'Media Plan'!D40,Assumptions!$E$10*Baseline!T40)</f>
        <v>35239.0412092457</v>
      </c>
      <c r="D40" s="21" t="n">
        <f aca="false">IFERROR(C40/(Baseline!H40*(1+Assumptions!$E$13)*IFERROR(MAX(0,C40)/'History Y-1'!P40,1)^Assumptions!$E$14),0)</f>
        <v>73458.1117191666</v>
      </c>
      <c r="E40" s="20" t="n">
        <f aca="false">IF('Media Plan'!J40&lt;&gt;"",'Media Plan'!J40,Assumptions!$E$11*Baseline!U40)</f>
        <v>17946.8107822699</v>
      </c>
      <c r="F40" s="21" t="n">
        <f aca="false">IFERROR(E40/(Baseline!I40*(1+Assumptions!$E$13)*IFERROR(MAX(0,E40)/'History Y-1'!Q40,1)^Assumptions!$E$15),0)</f>
        <v>47832.8712306072</v>
      </c>
      <c r="G40" s="20" t="n">
        <f aca="false">IF('Media Plan'!P40&lt;&gt;"",'Media Plan'!P40,Assumptions!$E$12*Baseline!V40)</f>
        <v>4102.45670890733</v>
      </c>
      <c r="H40" s="21" t="n">
        <f aca="false">IFERROR(G40/(Baseline!J40*(1+Assumptions!$E$13)*IFERROR(MAX(0,G40)/'History Y-1'!R40,1)^Assumptions!$E$16),0)</f>
        <v>16527.4996355637</v>
      </c>
      <c r="I40" s="21" t="n">
        <f aca="false">'History Y-1'!$F$58*(1+Assumptions!$E$6)*Baseline!Q40+'History Y-1'!$G$58*(1+Assumptions!$E$7)*Baseline!R40+J40</f>
        <v>164027.242659901</v>
      </c>
      <c r="J40" s="21" t="n">
        <f aca="false">'History Y-1'!$H$58*(1+Assumptions!$E$8)*Baseline!S40</f>
        <v>19492.1680626741</v>
      </c>
      <c r="K40" s="55" t="n">
        <f aca="false">D40+F40+H40+I40</f>
        <v>301845.725245238</v>
      </c>
      <c r="L40" s="21" t="n">
        <f aca="false">K40*Baseline!B40*(1+Assumptions!$E$18)*(1+Calendar!G40)</f>
        <v>6814.05482367403</v>
      </c>
      <c r="M40" s="20" t="n">
        <f aca="false">L40*Baseline!C40*(1+Assumptions!$E$19)</f>
        <v>527385.531542179</v>
      </c>
      <c r="N40" s="31" t="n">
        <f aca="false">MAX(0,MIN(0.9,Baseline!E40+Assumptions!$E$20))</f>
        <v>0.0711043008517297</v>
      </c>
      <c r="O40" s="31" t="n">
        <f aca="false">MAX(0,Baseline!F40+Assumptions!$E$21)</f>
        <v>0.250004387651849</v>
      </c>
      <c r="P40" s="49" t="n">
        <f aca="false">M40*O40</f>
        <v>131848.696869647</v>
      </c>
      <c r="Q40" s="49" t="n">
        <f aca="false">M40-P40</f>
        <v>395536.834672531</v>
      </c>
      <c r="R40" s="21" t="n">
        <f aca="false">L40*Baseline!D40</f>
        <v>12832.2204151991</v>
      </c>
      <c r="S40" s="21" t="n">
        <f aca="false">IFERROR(P40/(Baseline!C40*(1+Assumptions!$E$19)),0)</f>
        <v>1703.54360361875</v>
      </c>
      <c r="T40" s="20" t="n">
        <f aca="false">Q40/(1-N40)*(1-Assumptions!$E$23)</f>
        <v>161809.336950725</v>
      </c>
      <c r="U40" s="20" t="n">
        <f aca="false">P40/(1-N40)*(1-Assumptions!$E$23)*Assumptions!$E$24</f>
        <v>2157.5083125654</v>
      </c>
      <c r="V40" s="49" t="n">
        <f aca="false">Q40-T40-U40</f>
        <v>231569.989409241</v>
      </c>
      <c r="W40" s="20" t="n">
        <f aca="false">T40*Assumptions!$E$25+L40*(Assumptions!$E$27-Assumptions!$E$28+Assumptions!$E$29+Assumptions!$E$36*Assumptions!$E$37)+R40*Assumptions!$E$30+S40*(Assumptions!$E$31+Assumptions!$E$32)+M40*(Assumptions!$E$33+Assumptions!$E$38)+IFERROR(M40*J40/K40,0)*Assumptions!$E$35*Assumptions!$E$34</f>
        <v>59097.0645137449</v>
      </c>
      <c r="X40" s="49" t="n">
        <f aca="false">V40-W40</f>
        <v>172472.924895496</v>
      </c>
      <c r="Y40" s="49" t="n">
        <f aca="false">C40+E40+G40</f>
        <v>57288.308700423</v>
      </c>
      <c r="Z40" s="49" t="n">
        <f aca="false">X40-Y40</f>
        <v>115184.616195073</v>
      </c>
      <c r="AA40" s="20" t="n">
        <f aca="false">'Fixed Costs'!$G$31/52</f>
        <v>25332.6923076923</v>
      </c>
      <c r="AB40" s="49" t="n">
        <f aca="false">Z40-AA40</f>
        <v>89851.9238873806</v>
      </c>
      <c r="AC40" s="21" t="n">
        <f aca="false">L40*Baseline!G40</f>
        <v>2427.42048997305</v>
      </c>
    </row>
    <row r="41" customFormat="false" ht="15" hidden="false" customHeight="false" outlineLevel="0" collapsed="false">
      <c r="A41" s="13" t="n">
        <v>36</v>
      </c>
      <c r="B41" s="14" t="str">
        <f aca="false">Calendar!D41</f>
        <v>P9</v>
      </c>
      <c r="C41" s="20" t="n">
        <f aca="false">IF('Media Plan'!D41&lt;&gt;"",'Media Plan'!D41,Assumptions!$E$10*Baseline!T41)</f>
        <v>43610.5067698065</v>
      </c>
      <c r="D41" s="21" t="n">
        <f aca="false">IFERROR(C41/(Baseline!H41*(1+Assumptions!$E$13)*IFERROR(MAX(0,C41)/'History Y-1'!P41,1)^Assumptions!$E$14),0)</f>
        <v>88771.6719245857</v>
      </c>
      <c r="E41" s="20" t="n">
        <f aca="false">IF('Media Plan'!J41&lt;&gt;"",'Media Plan'!J41,Assumptions!$E$11*Baseline!U41)</f>
        <v>22211.4164762923</v>
      </c>
      <c r="F41" s="21" t="n">
        <f aca="false">IFERROR(E41/(Baseline!I41*(1+Assumptions!$E$13)*IFERROR(MAX(0,E41)/'History Y-1'!Q41,1)^Assumptions!$E$15),0)</f>
        <v>60590.3122895262</v>
      </c>
      <c r="G41" s="20" t="n">
        <f aca="false">IF('Media Plan'!P41&lt;&gt;"",'Media Plan'!P41,Assumptions!$E$12*Baseline!V41)</f>
        <v>5242.15743606271</v>
      </c>
      <c r="H41" s="21" t="n">
        <f aca="false">IFERROR(G41/(Baseline!J41*(1+Assumptions!$E$13)*IFERROR(MAX(0,G41)/'History Y-1'!R41,1)^Assumptions!$E$16),0)</f>
        <v>21087.6908921901</v>
      </c>
      <c r="I41" s="21" t="n">
        <f aca="false">'History Y-1'!$F$58*(1+Assumptions!$E$6)*Baseline!Q41+'History Y-1'!$G$58*(1+Assumptions!$E$7)*Baseline!R41+J41</f>
        <v>230244.998725504</v>
      </c>
      <c r="J41" s="21" t="n">
        <f aca="false">'History Y-1'!$H$58*(1+Assumptions!$E$8)*Baseline!S41</f>
        <v>23532.8110364393</v>
      </c>
      <c r="K41" s="55" t="n">
        <f aca="false">D41+F41+H41+I41</f>
        <v>400694.673831806</v>
      </c>
      <c r="L41" s="21" t="n">
        <f aca="false">K41*Baseline!B41*(1+Assumptions!$E$18)*(1+Calendar!G41)</f>
        <v>9998.52061031829</v>
      </c>
      <c r="M41" s="20" t="n">
        <f aca="false">L41*Baseline!C41*(1+Assumptions!$E$19)</f>
        <v>724132.913699374</v>
      </c>
      <c r="N41" s="31" t="n">
        <f aca="false">MAX(0,MIN(0.9,Baseline!E41+Assumptions!$E$20))</f>
        <v>0.214314363051865</v>
      </c>
      <c r="O41" s="31" t="n">
        <f aca="false">MAX(0,Baseline!F41+Assumptions!$E$21)</f>
        <v>0.245857706324971</v>
      </c>
      <c r="P41" s="49" t="n">
        <f aca="false">M41*O41</f>
        <v>178033.657236547</v>
      </c>
      <c r="Q41" s="49" t="n">
        <f aca="false">M41-P41</f>
        <v>546099.256462827</v>
      </c>
      <c r="R41" s="21" t="n">
        <f aca="false">L41*Baseline!D41</f>
        <v>18938.7163515296</v>
      </c>
      <c r="S41" s="21" t="n">
        <f aca="false">IFERROR(P41/(Baseline!C41*(1+Assumptions!$E$19)),0)</f>
        <v>2458.21334389581</v>
      </c>
      <c r="T41" s="20" t="n">
        <f aca="false">Q41/(1-N41)*(1-Assumptions!$E$23)</f>
        <v>264123.089053712</v>
      </c>
      <c r="U41" s="20" t="n">
        <f aca="false">P41/(1-N41)*(1-Assumptions!$E$23)*Assumptions!$E$24</f>
        <v>3444.26760874355</v>
      </c>
      <c r="V41" s="49" t="n">
        <f aca="false">Q41-T41-U41</f>
        <v>278531.899800372</v>
      </c>
      <c r="W41" s="20" t="n">
        <f aca="false">T41*Assumptions!$E$25+L41*(Assumptions!$E$27-Assumptions!$E$28+Assumptions!$E$29+Assumptions!$E$36*Assumptions!$E$37)+R41*Assumptions!$E$30+S41*(Assumptions!$E$31+Assumptions!$E$32)+M41*(Assumptions!$E$33+Assumptions!$E$38)+IFERROR(M41*J41/K41,0)*Assumptions!$E$35*Assumptions!$E$34</f>
        <v>86080.0248587723</v>
      </c>
      <c r="X41" s="49" t="n">
        <f aca="false">V41-W41</f>
        <v>192451.8749416</v>
      </c>
      <c r="Y41" s="49" t="n">
        <f aca="false">C41+E41+G41</f>
        <v>71064.0806821615</v>
      </c>
      <c r="Z41" s="49" t="n">
        <f aca="false">X41-Y41</f>
        <v>121387.794259438</v>
      </c>
      <c r="AA41" s="20" t="n">
        <f aca="false">'Fixed Costs'!$G$31/52</f>
        <v>25332.6923076923</v>
      </c>
      <c r="AB41" s="49" t="n">
        <f aca="false">Z41-AA41</f>
        <v>96055.1019517459</v>
      </c>
      <c r="AC41" s="21" t="n">
        <f aca="false">L41*Baseline!G41</f>
        <v>4572.33727118219</v>
      </c>
    </row>
    <row r="42" customFormat="false" ht="15" hidden="false" customHeight="false" outlineLevel="0" collapsed="false">
      <c r="A42" s="13" t="n">
        <v>37</v>
      </c>
      <c r="B42" s="14" t="str">
        <f aca="false">Calendar!D42</f>
        <v>P9</v>
      </c>
      <c r="C42" s="20" t="n">
        <f aca="false">IF('Media Plan'!D42&lt;&gt;"",'Media Plan'!D42,Assumptions!$E$10*Baseline!T42)</f>
        <v>37584.3275539586</v>
      </c>
      <c r="D42" s="21" t="n">
        <f aca="false">IFERROR(C42/(Baseline!H42*(1+Assumptions!$E$13)*IFERROR(MAX(0,C42)/'History Y-1'!P42,1)^Assumptions!$E$14),0)</f>
        <v>77919.4349924851</v>
      </c>
      <c r="E42" s="20" t="n">
        <f aca="false">IF('Media Plan'!J42&lt;&gt;"",'Media Plan'!J42,Assumptions!$E$11*Baseline!U42)</f>
        <v>20294.7674934175</v>
      </c>
      <c r="F42" s="21" t="n">
        <f aca="false">IFERROR(E42/(Baseline!I42*(1+Assumptions!$E$13)*IFERROR(MAX(0,E42)/'History Y-1'!Q42,1)^Assumptions!$E$15),0)</f>
        <v>55033.9437674501</v>
      </c>
      <c r="G42" s="20" t="n">
        <f aca="false">IF('Media Plan'!P42&lt;&gt;"",'Media Plan'!P42,Assumptions!$E$12*Baseline!V42)</f>
        <v>4389.69201518736</v>
      </c>
      <c r="H42" s="21" t="n">
        <f aca="false">IFERROR(G42/(Baseline!J42*(1+Assumptions!$E$13)*IFERROR(MAX(0,G42)/'History Y-1'!R42,1)^Assumptions!$E$16),0)</f>
        <v>18651.0329211798</v>
      </c>
      <c r="I42" s="21" t="n">
        <f aca="false">'History Y-1'!$F$58*(1+Assumptions!$E$6)*Baseline!Q42+'History Y-1'!$G$58*(1+Assumptions!$E$7)*Baseline!R42+J42</f>
        <v>185030.975126058</v>
      </c>
      <c r="J42" s="21" t="n">
        <f aca="false">'History Y-1'!$H$58*(1+Assumptions!$E$8)*Baseline!S42</f>
        <v>21164.6623734642</v>
      </c>
      <c r="K42" s="55" t="n">
        <f aca="false">D42+F42+H42+I42</f>
        <v>336635.386807173</v>
      </c>
      <c r="L42" s="21" t="n">
        <f aca="false">K42*Baseline!B42*(1+Assumptions!$E$18)*(1+Calendar!G42)</f>
        <v>7637.07402662765</v>
      </c>
      <c r="M42" s="20" t="n">
        <f aca="false">L42*Baseline!C42*(1+Assumptions!$E$19)</f>
        <v>600363.744848814</v>
      </c>
      <c r="N42" s="31" t="n">
        <f aca="false">MAX(0,MIN(0.9,Baseline!E42+Assumptions!$E$20))</f>
        <v>0.0708958328972984</v>
      </c>
      <c r="O42" s="31" t="n">
        <f aca="false">MAX(0,Baseline!F42+Assumptions!$E$21)</f>
        <v>0.246566036503427</v>
      </c>
      <c r="P42" s="49" t="n">
        <f aca="false">M42*O42</f>
        <v>148029.309027727</v>
      </c>
      <c r="Q42" s="49" t="n">
        <f aca="false">M42-P42</f>
        <v>452334.435821087</v>
      </c>
      <c r="R42" s="21" t="n">
        <f aca="false">L42*Baseline!D42</f>
        <v>14754.6204352476</v>
      </c>
      <c r="S42" s="21" t="n">
        <f aca="false">IFERROR(P42/(Baseline!C42*(1+Assumptions!$E$19)),0)</f>
        <v>1883.04307322885</v>
      </c>
      <c r="T42" s="20" t="n">
        <f aca="false">Q42/(1-N42)*(1-Assumptions!$E$23)</f>
        <v>185003.029475179</v>
      </c>
      <c r="U42" s="20" t="n">
        <f aca="false">P42/(1-N42)*(1-Assumptions!$E$23)*Assumptions!$E$24</f>
        <v>2421.73652523585</v>
      </c>
      <c r="V42" s="49" t="n">
        <f aca="false">Q42-T42-U42</f>
        <v>264909.669820672</v>
      </c>
      <c r="W42" s="20" t="n">
        <f aca="false">T42*Assumptions!$E$25+L42*(Assumptions!$E$27-Assumptions!$E$28+Assumptions!$E$29+Assumptions!$E$36*Assumptions!$E$37)+R42*Assumptions!$E$30+S42*(Assumptions!$E$31+Assumptions!$E$32)+M42*(Assumptions!$E$33+Assumptions!$E$38)+IFERROR(M42*J42/K42,0)*Assumptions!$E$35*Assumptions!$E$34</f>
        <v>66652.7984820773</v>
      </c>
      <c r="X42" s="49" t="n">
        <f aca="false">V42-W42</f>
        <v>198256.871338595</v>
      </c>
      <c r="Y42" s="49" t="n">
        <f aca="false">C42+E42+G42</f>
        <v>62268.7870625635</v>
      </c>
      <c r="Z42" s="49" t="n">
        <f aca="false">X42-Y42</f>
        <v>135988.084276031</v>
      </c>
      <c r="AA42" s="20" t="n">
        <f aca="false">'Fixed Costs'!$G$31/52</f>
        <v>25332.6923076923</v>
      </c>
      <c r="AB42" s="49" t="n">
        <f aca="false">Z42-AA42</f>
        <v>110655.391968339</v>
      </c>
      <c r="AC42" s="21" t="n">
        <f aca="false">L42*Baseline!G42</f>
        <v>2622.17765830265</v>
      </c>
    </row>
    <row r="43" customFormat="false" ht="15" hidden="false" customHeight="false" outlineLevel="0" collapsed="false">
      <c r="A43" s="13" t="n">
        <v>38</v>
      </c>
      <c r="B43" s="14" t="str">
        <f aca="false">Calendar!D43</f>
        <v>P9</v>
      </c>
      <c r="C43" s="20" t="n">
        <f aca="false">IF('Media Plan'!D43&lt;&gt;"",'Media Plan'!D43,Assumptions!$E$10*Baseline!T43)</f>
        <v>42205.9906347312</v>
      </c>
      <c r="D43" s="21" t="n">
        <f aca="false">IFERROR(C43/(Baseline!H43*(1+Assumptions!$E$13)*IFERROR(MAX(0,C43)/'History Y-1'!P43,1)^Assumptions!$E$14),0)</f>
        <v>90802.3299707587</v>
      </c>
      <c r="E43" s="20" t="n">
        <f aca="false">IF('Media Plan'!J43&lt;&gt;"",'Media Plan'!J43,Assumptions!$E$11*Baseline!U43)</f>
        <v>21727.9483705432</v>
      </c>
      <c r="F43" s="21" t="n">
        <f aca="false">IFERROR(E43/(Baseline!I43*(1+Assumptions!$E$13)*IFERROR(MAX(0,E43)/'History Y-1'!Q43,1)^Assumptions!$E$15),0)</f>
        <v>59937.2001084662</v>
      </c>
      <c r="G43" s="20" t="n">
        <f aca="false">IF('Media Plan'!P43&lt;&gt;"",'Media Plan'!P43,Assumptions!$E$12*Baseline!V43)</f>
        <v>4686.50027477781</v>
      </c>
      <c r="H43" s="21" t="n">
        <f aca="false">IFERROR(G43/(Baseline!J43*(1+Assumptions!$E$13)*IFERROR(MAX(0,G43)/'History Y-1'!R43,1)^Assumptions!$E$16),0)</f>
        <v>19722.5739464171</v>
      </c>
      <c r="I43" s="21" t="n">
        <f aca="false">'History Y-1'!$F$58*(1+Assumptions!$E$6)*Baseline!Q43+'History Y-1'!$G$58*(1+Assumptions!$E$7)*Baseline!R43+J43</f>
        <v>195323.593849464</v>
      </c>
      <c r="J43" s="21" t="n">
        <f aca="false">'History Y-1'!$H$58*(1+Assumptions!$E$8)*Baseline!S43</f>
        <v>23741.2448536403</v>
      </c>
      <c r="K43" s="55" t="n">
        <f aca="false">D43+F43+H43+I43</f>
        <v>365785.697875107</v>
      </c>
      <c r="L43" s="21" t="n">
        <f aca="false">K43*Baseline!B43*(1+Assumptions!$E$18)*(1+Calendar!G43)</f>
        <v>8559.10649085904</v>
      </c>
      <c r="M43" s="20" t="n">
        <f aca="false">L43*Baseline!C43*(1+Assumptions!$E$19)</f>
        <v>662756.153895879</v>
      </c>
      <c r="N43" s="31" t="n">
        <f aca="false">MAX(0,MIN(0.9,Baseline!E43+Assumptions!$E$20))</f>
        <v>0.0677627051224132</v>
      </c>
      <c r="O43" s="31" t="n">
        <f aca="false">MAX(0,Baseline!F43+Assumptions!$E$21)</f>
        <v>0.253650323188229</v>
      </c>
      <c r="P43" s="49" t="n">
        <f aca="false">M43*O43</f>
        <v>168108.312630677</v>
      </c>
      <c r="Q43" s="49" t="n">
        <f aca="false">M43-P43</f>
        <v>494647.841265202</v>
      </c>
      <c r="R43" s="21" t="n">
        <f aca="false">L43*Baseline!D43</f>
        <v>16590.9653204146</v>
      </c>
      <c r="S43" s="21" t="n">
        <f aca="false">IFERROR(P43/(Baseline!C43*(1+Assumptions!$E$19)),0)</f>
        <v>2171.02012760886</v>
      </c>
      <c r="T43" s="20" t="n">
        <f aca="false">Q43/(1-N43)*(1-Assumptions!$E$23)</f>
        <v>201629.113867901</v>
      </c>
      <c r="U43" s="20" t="n">
        <f aca="false">P43/(1-N43)*(1-Assumptions!$E$23)*Assumptions!$E$24</f>
        <v>2740.9827583886</v>
      </c>
      <c r="V43" s="49" t="n">
        <f aca="false">Q43-T43-U43</f>
        <v>290277.744638913</v>
      </c>
      <c r="W43" s="20" t="n">
        <f aca="false">T43*Assumptions!$E$25+L43*(Assumptions!$E$27-Assumptions!$E$28+Assumptions!$E$29+Assumptions!$E$36*Assumptions!$E$37)+R43*Assumptions!$E$30+S43*(Assumptions!$E$31+Assumptions!$E$32)+M43*(Assumptions!$E$33+Assumptions!$E$38)+IFERROR(M43*J43/K43,0)*Assumptions!$E$35*Assumptions!$E$34</f>
        <v>74731.4128419645</v>
      </c>
      <c r="X43" s="49" t="n">
        <f aca="false">V43-W43</f>
        <v>215546.331796948</v>
      </c>
      <c r="Y43" s="49" t="n">
        <f aca="false">C43+E43+G43</f>
        <v>68620.4392800523</v>
      </c>
      <c r="Z43" s="49" t="n">
        <f aca="false">X43-Y43</f>
        <v>146925.892516896</v>
      </c>
      <c r="AA43" s="20" t="n">
        <f aca="false">'Fixed Costs'!$G$31/52</f>
        <v>25332.6923076923</v>
      </c>
      <c r="AB43" s="49" t="n">
        <f aca="false">Z43-AA43</f>
        <v>121593.200209203</v>
      </c>
      <c r="AC43" s="21" t="n">
        <f aca="false">L43*Baseline!G43</f>
        <v>2882.19955151651</v>
      </c>
    </row>
    <row r="44" customFormat="false" ht="15" hidden="false" customHeight="false" outlineLevel="0" collapsed="false">
      <c r="A44" s="13" t="n">
        <v>39</v>
      </c>
      <c r="B44" s="14" t="str">
        <f aca="false">Calendar!D44</f>
        <v>P9</v>
      </c>
      <c r="C44" s="20" t="n">
        <f aca="false">IF('Media Plan'!D44&lt;&gt;"",'Media Plan'!D44,Assumptions!$E$10*Baseline!T44)</f>
        <v>42350.1558443003</v>
      </c>
      <c r="D44" s="21" t="n">
        <f aca="false">IFERROR(C44/(Baseline!H44*(1+Assumptions!$E$13)*IFERROR(MAX(0,C44)/'History Y-1'!P44,1)^Assumptions!$E$14),0)</f>
        <v>85723.2784132944</v>
      </c>
      <c r="E44" s="20" t="n">
        <f aca="false">IF('Media Plan'!J44&lt;&gt;"",'Media Plan'!J44,Assumptions!$E$11*Baseline!U44)</f>
        <v>21463.8462049466</v>
      </c>
      <c r="F44" s="21" t="n">
        <f aca="false">IFERROR(E44/(Baseline!I44*(1+Assumptions!$E$13)*IFERROR(MAX(0,E44)/'History Y-1'!Q44,1)^Assumptions!$E$15),0)</f>
        <v>59156.6088682775</v>
      </c>
      <c r="G44" s="20" t="n">
        <f aca="false">IF('Media Plan'!P44&lt;&gt;"",'Media Plan'!P44,Assumptions!$E$12*Baseline!V44)</f>
        <v>4798.42941803512</v>
      </c>
      <c r="H44" s="21" t="n">
        <f aca="false">IFERROR(G44/(Baseline!J44*(1+Assumptions!$E$13)*IFERROR(MAX(0,G44)/'History Y-1'!R44,1)^Assumptions!$E$16),0)</f>
        <v>19990.9728993005</v>
      </c>
      <c r="I44" s="21" t="n">
        <f aca="false">'History Y-1'!$F$58*(1+Assumptions!$E$6)*Baseline!Q44+'History Y-1'!$G$58*(1+Assumptions!$E$7)*Baseline!R44+J44</f>
        <v>190332.022716545</v>
      </c>
      <c r="J44" s="21" t="n">
        <f aca="false">'History Y-1'!$H$58*(1+Assumptions!$E$8)*Baseline!S44</f>
        <v>22763.1066496154</v>
      </c>
      <c r="K44" s="55" t="n">
        <f aca="false">D44+F44+H44+I44</f>
        <v>355202.882897417</v>
      </c>
      <c r="L44" s="21" t="n">
        <f aca="false">K44*Baseline!B44*(1+Assumptions!$E$18)*(1+Calendar!G44)</f>
        <v>7860.25028337463</v>
      </c>
      <c r="M44" s="20" t="n">
        <f aca="false">L44*Baseline!C44*(1+Assumptions!$E$19)</f>
        <v>620673.686311108</v>
      </c>
      <c r="N44" s="31" t="n">
        <f aca="false">MAX(0,MIN(0.9,Baseline!E44+Assumptions!$E$20))</f>
        <v>0.0733703783589324</v>
      </c>
      <c r="O44" s="31" t="n">
        <f aca="false">MAX(0,Baseline!F44+Assumptions!$E$21)</f>
        <v>0.258034380017755</v>
      </c>
      <c r="P44" s="49" t="n">
        <f aca="false">M44*O44</f>
        <v>160155.149840622</v>
      </c>
      <c r="Q44" s="49" t="n">
        <f aca="false">M44-P44</f>
        <v>460518.536470487</v>
      </c>
      <c r="R44" s="21" t="n">
        <f aca="false">L44*Baseline!D44</f>
        <v>14701.9645193879</v>
      </c>
      <c r="S44" s="21" t="n">
        <f aca="false">IFERROR(P44/(Baseline!C44*(1+Assumptions!$E$19)),0)</f>
        <v>2028.21480865496</v>
      </c>
      <c r="T44" s="20" t="n">
        <f aca="false">Q44/(1-N44)*(1-Assumptions!$E$23)</f>
        <v>188853.280503664</v>
      </c>
      <c r="U44" s="20" t="n">
        <f aca="false">P44/(1-N44)*(1-Assumptions!$E$23)*Assumptions!$E$24</f>
        <v>2627.11035857691</v>
      </c>
      <c r="V44" s="49" t="n">
        <f aca="false">Q44-T44-U44</f>
        <v>269038.145608245</v>
      </c>
      <c r="W44" s="20" t="n">
        <f aca="false">T44*Assumptions!$E$25+L44*(Assumptions!$E$27-Assumptions!$E$28+Assumptions!$E$29+Assumptions!$E$36*Assumptions!$E$37)+R44*Assumptions!$E$30+S44*(Assumptions!$E$31+Assumptions!$E$32)+M44*(Assumptions!$E$33+Assumptions!$E$38)+IFERROR(M44*J44/K44,0)*Assumptions!$E$35*Assumptions!$E$34</f>
        <v>68669.8565334218</v>
      </c>
      <c r="X44" s="49" t="n">
        <f aca="false">V44-W44</f>
        <v>200368.289074824</v>
      </c>
      <c r="Y44" s="49" t="n">
        <f aca="false">C44+E44+G44</f>
        <v>68612.431467282</v>
      </c>
      <c r="Z44" s="49" t="n">
        <f aca="false">X44-Y44</f>
        <v>131755.857607542</v>
      </c>
      <c r="AA44" s="20" t="n">
        <f aca="false">'Fixed Costs'!$G$31/52</f>
        <v>25332.6923076923</v>
      </c>
      <c r="AB44" s="49" t="n">
        <f aca="false">Z44-AA44</f>
        <v>106423.165299849</v>
      </c>
      <c r="AC44" s="21" t="n">
        <f aca="false">L44*Baseline!G44</f>
        <v>2681.94695008556</v>
      </c>
    </row>
    <row r="45" customFormat="false" ht="15" hidden="false" customHeight="false" outlineLevel="0" collapsed="false">
      <c r="A45" s="13" t="n">
        <v>40</v>
      </c>
      <c r="B45" s="14" t="str">
        <f aca="false">Calendar!D45</f>
        <v>P10</v>
      </c>
      <c r="C45" s="20" t="n">
        <f aca="false">IF('Media Plan'!D45&lt;&gt;"",'Media Plan'!D45,Assumptions!$E$10*Baseline!T45)</f>
        <v>41182.4879261268</v>
      </c>
      <c r="D45" s="21" t="n">
        <f aca="false">IFERROR(C45/(Baseline!H45*(1+Assumptions!$E$13)*IFERROR(MAX(0,C45)/'History Y-1'!P45,1)^Assumptions!$E$14),0)</f>
        <v>85061.6901768434</v>
      </c>
      <c r="E45" s="20" t="n">
        <f aca="false">IF('Media Plan'!J45&lt;&gt;"",'Media Plan'!J45,Assumptions!$E$11*Baseline!U45)</f>
        <v>19550.8246428622</v>
      </c>
      <c r="F45" s="21" t="n">
        <f aca="false">IFERROR(E45/(Baseline!I45*(1+Assumptions!$E$13)*IFERROR(MAX(0,E45)/'History Y-1'!Q45,1)^Assumptions!$E$15),0)</f>
        <v>54011.3744681587</v>
      </c>
      <c r="G45" s="20" t="n">
        <f aca="false">IF('Media Plan'!P45&lt;&gt;"",'Media Plan'!P45,Assumptions!$E$12*Baseline!V45)</f>
        <v>4711.75968439132</v>
      </c>
      <c r="H45" s="21" t="n">
        <f aca="false">IFERROR(G45/(Baseline!J45*(1+Assumptions!$E$13)*IFERROR(MAX(0,G45)/'History Y-1'!R45,1)^Assumptions!$E$16),0)</f>
        <v>19398.2768422208</v>
      </c>
      <c r="I45" s="21" t="n">
        <f aca="false">'History Y-1'!$F$58*(1+Assumptions!$E$6)*Baseline!Q45+'History Y-1'!$G$58*(1+Assumptions!$E$7)*Baseline!R45+J45</f>
        <v>190706.397077816</v>
      </c>
      <c r="J45" s="21" t="n">
        <f aca="false">'History Y-1'!$H$58*(1+Assumptions!$E$8)*Baseline!S45</f>
        <v>21898.434800807</v>
      </c>
      <c r="K45" s="55" t="n">
        <f aca="false">D45+F45+H45+I45</f>
        <v>349177.738565039</v>
      </c>
      <c r="L45" s="21" t="n">
        <f aca="false">K45*Baseline!B45*(1+Assumptions!$E$18)*(1+Calendar!G45)</f>
        <v>7781.8833857117</v>
      </c>
      <c r="M45" s="20" t="n">
        <f aca="false">L45*Baseline!C45*(1+Assumptions!$E$19)</f>
        <v>602401.221649885</v>
      </c>
      <c r="N45" s="31" t="n">
        <f aca="false">MAX(0,MIN(0.9,Baseline!E45+Assumptions!$E$20))</f>
        <v>0.0749437450166834</v>
      </c>
      <c r="O45" s="31" t="n">
        <f aca="false">MAX(0,Baseline!F45+Assumptions!$E$21)</f>
        <v>0.250198023202177</v>
      </c>
      <c r="P45" s="49" t="n">
        <f aca="false">M45*O45</f>
        <v>150719.594831378</v>
      </c>
      <c r="Q45" s="49" t="n">
        <f aca="false">M45-P45</f>
        <v>451681.626818507</v>
      </c>
      <c r="R45" s="21" t="n">
        <f aca="false">L45*Baseline!D45</f>
        <v>15017.655383328</v>
      </c>
      <c r="S45" s="21" t="n">
        <f aca="false">IFERROR(P45/(Baseline!C45*(1+Assumptions!$E$19)),0)</f>
        <v>1947.01183989493</v>
      </c>
      <c r="T45" s="20" t="n">
        <f aca="false">Q45/(1-N45)*(1-Assumptions!$E$23)</f>
        <v>185544.411235972</v>
      </c>
      <c r="U45" s="20" t="n">
        <f aca="false">P45/(1-N45)*(1-Assumptions!$E$23)*Assumptions!$E$24</f>
        <v>2476.53894462695</v>
      </c>
      <c r="V45" s="49" t="n">
        <f aca="false">Q45-T45-U45</f>
        <v>263660.676637908</v>
      </c>
      <c r="W45" s="20" t="n">
        <f aca="false">T45*Assumptions!$E$25+L45*(Assumptions!$E$27-Assumptions!$E$28+Assumptions!$E$29+Assumptions!$E$36*Assumptions!$E$37)+R45*Assumptions!$E$30+S45*(Assumptions!$E$31+Assumptions!$E$32)+M45*(Assumptions!$E$33+Assumptions!$E$38)+IFERROR(M45*J45/K45,0)*Assumptions!$E$35*Assumptions!$E$34</f>
        <v>67739.1619012297</v>
      </c>
      <c r="X45" s="49" t="n">
        <f aca="false">V45-W45</f>
        <v>195921.514736678</v>
      </c>
      <c r="Y45" s="49" t="n">
        <f aca="false">C45+E45+G45</f>
        <v>65445.0722533804</v>
      </c>
      <c r="Z45" s="49" t="n">
        <f aca="false">X45-Y45</f>
        <v>130476.442483298</v>
      </c>
      <c r="AA45" s="20" t="n">
        <f aca="false">'Fixed Costs'!$G$31/52</f>
        <v>25332.6923076923</v>
      </c>
      <c r="AB45" s="49" t="n">
        <f aca="false">Z45-AA45</f>
        <v>105143.750175606</v>
      </c>
      <c r="AC45" s="21" t="n">
        <f aca="false">L45*Baseline!G45</f>
        <v>2633.33612345016</v>
      </c>
    </row>
    <row r="46" customFormat="false" ht="15" hidden="false" customHeight="false" outlineLevel="0" collapsed="false">
      <c r="A46" s="13" t="n">
        <v>41</v>
      </c>
      <c r="B46" s="14" t="str">
        <f aca="false">Calendar!D46</f>
        <v>P10</v>
      </c>
      <c r="C46" s="20" t="n">
        <f aca="false">IF('Media Plan'!D46&lt;&gt;"",'Media Plan'!D46,Assumptions!$E$10*Baseline!T46)</f>
        <v>41398.2603339336</v>
      </c>
      <c r="D46" s="21" t="n">
        <f aca="false">IFERROR(C46/(Baseline!H46*(1+Assumptions!$E$13)*IFERROR(MAX(0,C46)/'History Y-1'!P46,1)^Assumptions!$E$14),0)</f>
        <v>83703.6706649769</v>
      </c>
      <c r="E46" s="20" t="n">
        <f aca="false">IF('Media Plan'!J46&lt;&gt;"",'Media Plan'!J46,Assumptions!$E$11*Baseline!U46)</f>
        <v>21284.6033193538</v>
      </c>
      <c r="F46" s="21" t="n">
        <f aca="false">IFERROR(E46/(Baseline!I46*(1+Assumptions!$E$13)*IFERROR(MAX(0,E46)/'History Y-1'!Q46,1)^Assumptions!$E$15),0)</f>
        <v>57020.2328611961</v>
      </c>
      <c r="G46" s="20" t="n">
        <f aca="false">IF('Media Plan'!P46&lt;&gt;"",'Media Plan'!P46,Assumptions!$E$12*Baseline!V46)</f>
        <v>4630.75533740046</v>
      </c>
      <c r="H46" s="21" t="n">
        <f aca="false">IFERROR(G46/(Baseline!J46*(1+Assumptions!$E$13)*IFERROR(MAX(0,G46)/'History Y-1'!R46,1)^Assumptions!$E$16),0)</f>
        <v>19546.3142394413</v>
      </c>
      <c r="I46" s="21" t="n">
        <f aca="false">'History Y-1'!$F$58*(1+Assumptions!$E$6)*Baseline!Q46+'History Y-1'!$G$58*(1+Assumptions!$E$7)*Baseline!R46+J46</f>
        <v>196119.36311322</v>
      </c>
      <c r="J46" s="21" t="n">
        <f aca="false">'History Y-1'!$H$58*(1+Assumptions!$E$8)*Baseline!S46</f>
        <v>21913.6984281175</v>
      </c>
      <c r="K46" s="55" t="n">
        <f aca="false">D46+F46+H46+I46</f>
        <v>356389.580878835</v>
      </c>
      <c r="L46" s="21" t="n">
        <f aca="false">K46*Baseline!B46*(1+Assumptions!$E$18)*(1+Calendar!G46)</f>
        <v>7985.1111475642</v>
      </c>
      <c r="M46" s="20" t="n">
        <f aca="false">L46*Baseline!C46*(1+Assumptions!$E$19)</f>
        <v>620462.366168738</v>
      </c>
      <c r="N46" s="31" t="n">
        <f aca="false">MAX(0,MIN(0.9,Baseline!E46+Assumptions!$E$20))</f>
        <v>0.0671528480792872</v>
      </c>
      <c r="O46" s="31" t="n">
        <f aca="false">MAX(0,Baseline!F46+Assumptions!$E$21)</f>
        <v>0.246575550397254</v>
      </c>
      <c r="P46" s="49" t="n">
        <f aca="false">M46*O46</f>
        <v>152990.849438839</v>
      </c>
      <c r="Q46" s="49" t="n">
        <f aca="false">M46-P46</f>
        <v>467471.516729899</v>
      </c>
      <c r="R46" s="21" t="n">
        <f aca="false">L46*Baseline!D46</f>
        <v>15382.530366815</v>
      </c>
      <c r="S46" s="21" t="n">
        <f aca="false">IFERROR(P46/(Baseline!C46*(1+Assumptions!$E$19)),0)</f>
        <v>1968.93317619389</v>
      </c>
      <c r="T46" s="20" t="n">
        <f aca="false">Q46/(1-N46)*(1-Assumptions!$E$23)</f>
        <v>190426.883966581</v>
      </c>
      <c r="U46" s="20" t="n">
        <f aca="false">P46/(1-N46)*(1-Assumptions!$E$23)*Assumptions!$E$24</f>
        <v>2492.86381663093</v>
      </c>
      <c r="V46" s="49" t="n">
        <f aca="false">Q46-T46-U46</f>
        <v>274551.768946686</v>
      </c>
      <c r="W46" s="20" t="n">
        <f aca="false">T46*Assumptions!$E$25+L46*(Assumptions!$E$27-Assumptions!$E$28+Assumptions!$E$29+Assumptions!$E$36*Assumptions!$E$37)+R46*Assumptions!$E$30+S46*(Assumptions!$E$31+Assumptions!$E$32)+M46*(Assumptions!$E$33+Assumptions!$E$38)+IFERROR(M46*J46/K46,0)*Assumptions!$E$35*Assumptions!$E$34</f>
        <v>69351.6577886361</v>
      </c>
      <c r="X46" s="49" t="n">
        <f aca="false">V46-W46</f>
        <v>205200.11115805</v>
      </c>
      <c r="Y46" s="49" t="n">
        <f aca="false">C46+E46+G46</f>
        <v>67313.6189906879</v>
      </c>
      <c r="Z46" s="49" t="n">
        <f aca="false">X46-Y46</f>
        <v>137886.492167362</v>
      </c>
      <c r="AA46" s="20" t="n">
        <f aca="false">'Fixed Costs'!$G$31/52</f>
        <v>25332.6923076923</v>
      </c>
      <c r="AB46" s="49" t="n">
        <f aca="false">Z46-AA46</f>
        <v>112553.79985967</v>
      </c>
      <c r="AC46" s="21" t="n">
        <f aca="false">L46*Baseline!G46</f>
        <v>2784.40064121598</v>
      </c>
    </row>
    <row r="47" customFormat="false" ht="15" hidden="false" customHeight="false" outlineLevel="0" collapsed="false">
      <c r="A47" s="13" t="n">
        <v>42</v>
      </c>
      <c r="B47" s="14" t="str">
        <f aca="false">Calendar!D47</f>
        <v>P10</v>
      </c>
      <c r="C47" s="20" t="n">
        <f aca="false">IF('Media Plan'!D47&lt;&gt;"",'Media Plan'!D47,Assumptions!$E$10*Baseline!T47)</f>
        <v>40191.7277962217</v>
      </c>
      <c r="D47" s="21" t="n">
        <f aca="false">IFERROR(C47/(Baseline!H47*(1+Assumptions!$E$13)*IFERROR(MAX(0,C47)/'History Y-1'!P47,1)^Assumptions!$E$14),0)</f>
        <v>82421.418742137</v>
      </c>
      <c r="E47" s="20" t="n">
        <f aca="false">IF('Media Plan'!J47&lt;&gt;"",'Media Plan'!J47,Assumptions!$E$11*Baseline!U47)</f>
        <v>21519.2266663514</v>
      </c>
      <c r="F47" s="21" t="n">
        <f aca="false">IFERROR(E47/(Baseline!I47*(1+Assumptions!$E$13)*IFERROR(MAX(0,E47)/'History Y-1'!Q47,1)^Assumptions!$E$15),0)</f>
        <v>57780.3635755259</v>
      </c>
      <c r="G47" s="20" t="n">
        <f aca="false">IF('Media Plan'!P47&lt;&gt;"",'Media Plan'!P47,Assumptions!$E$12*Baseline!V47)</f>
        <v>4847.34858350899</v>
      </c>
      <c r="H47" s="21" t="n">
        <f aca="false">IFERROR(G47/(Baseline!J47*(1+Assumptions!$E$13)*IFERROR(MAX(0,G47)/'History Y-1'!R47,1)^Assumptions!$E$16),0)</f>
        <v>20231.820518289</v>
      </c>
      <c r="I47" s="21" t="n">
        <f aca="false">'History Y-1'!$F$58*(1+Assumptions!$E$6)*Baseline!Q47+'History Y-1'!$G$58*(1+Assumptions!$E$7)*Baseline!R47+J47</f>
        <v>186729.107715067</v>
      </c>
      <c r="J47" s="21" t="n">
        <f aca="false">'History Y-1'!$H$58*(1+Assumptions!$E$8)*Baseline!S47</f>
        <v>22059.7289595312</v>
      </c>
      <c r="K47" s="55" t="n">
        <f aca="false">D47+F47+H47+I47</f>
        <v>347162.710551019</v>
      </c>
      <c r="L47" s="21" t="n">
        <f aca="false">K47*Baseline!B47*(1+Assumptions!$E$18)*(1+Calendar!G47)</f>
        <v>7736.03611668552</v>
      </c>
      <c r="M47" s="20" t="n">
        <f aca="false">L47*Baseline!C47*(1+Assumptions!$E$19)</f>
        <v>610400.5454294</v>
      </c>
      <c r="N47" s="31" t="n">
        <f aca="false">MAX(0,MIN(0.9,Baseline!E47+Assumptions!$E$20))</f>
        <v>0.0694432081424889</v>
      </c>
      <c r="O47" s="31" t="n">
        <f aca="false">MAX(0,Baseline!F47+Assumptions!$E$21)</f>
        <v>0.250198695138602</v>
      </c>
      <c r="P47" s="49" t="n">
        <f aca="false">M47*O47</f>
        <v>152721.419978327</v>
      </c>
      <c r="Q47" s="49" t="n">
        <f aca="false">M47-P47</f>
        <v>457679.125451073</v>
      </c>
      <c r="R47" s="21" t="n">
        <f aca="false">L47*Baseline!D47</f>
        <v>14968.3060156572</v>
      </c>
      <c r="S47" s="21" t="n">
        <f aca="false">IFERROR(P47/(Baseline!C47*(1+Assumptions!$E$19)),0)</f>
        <v>1935.54614193982</v>
      </c>
      <c r="T47" s="20" t="n">
        <f aca="false">Q47/(1-N47)*(1-Assumptions!$E$23)</f>
        <v>186896.779641192</v>
      </c>
      <c r="U47" s="20" t="n">
        <f aca="false">P47/(1-N47)*(1-Assumptions!$E$23)*Assumptions!$E$24</f>
        <v>2494.59850702591</v>
      </c>
      <c r="V47" s="49" t="n">
        <f aca="false">Q47-T47-U47</f>
        <v>268287.747302855</v>
      </c>
      <c r="W47" s="20" t="n">
        <f aca="false">T47*Assumptions!$E$25+L47*(Assumptions!$E$27-Assumptions!$E$28+Assumptions!$E$29+Assumptions!$E$36*Assumptions!$E$37)+R47*Assumptions!$E$30+S47*(Assumptions!$E$31+Assumptions!$E$32)+M47*(Assumptions!$E$33+Assumptions!$E$38)+IFERROR(M47*J47/K47,0)*Assumptions!$E$35*Assumptions!$E$34</f>
        <v>67721.1939097227</v>
      </c>
      <c r="X47" s="49" t="n">
        <f aca="false">V47-W47</f>
        <v>200566.553393133</v>
      </c>
      <c r="Y47" s="49" t="n">
        <f aca="false">C47+E47+G47</f>
        <v>66558.3030460821</v>
      </c>
      <c r="Z47" s="49" t="n">
        <f aca="false">X47-Y47</f>
        <v>134008.250347051</v>
      </c>
      <c r="AA47" s="20" t="n">
        <f aca="false">'Fixed Costs'!$G$31/52</f>
        <v>25332.6923076923</v>
      </c>
      <c r="AB47" s="49" t="n">
        <f aca="false">Z47-AA47</f>
        <v>108675.558039358</v>
      </c>
      <c r="AC47" s="21" t="n">
        <f aca="false">L47*Baseline!G47</f>
        <v>2703.00392157304</v>
      </c>
    </row>
    <row r="48" customFormat="false" ht="15" hidden="false" customHeight="false" outlineLevel="0" collapsed="false">
      <c r="A48" s="13" t="n">
        <v>43</v>
      </c>
      <c r="B48" s="14" t="str">
        <f aca="false">Calendar!D48</f>
        <v>P10</v>
      </c>
      <c r="C48" s="20" t="n">
        <f aca="false">IF('Media Plan'!D48&lt;&gt;"",'Media Plan'!D48,Assumptions!$E$10*Baseline!T48)</f>
        <v>81477.6441822914</v>
      </c>
      <c r="D48" s="21" t="n">
        <f aca="false">IFERROR(C48/(Baseline!H48*(1+Assumptions!$E$13)*IFERROR(MAX(0,C48)/'History Y-1'!P48,1)^Assumptions!$E$14),0)</f>
        <v>172621.393977447</v>
      </c>
      <c r="E48" s="20" t="n">
        <f aca="false">IF('Media Plan'!J48&lt;&gt;"",'Media Plan'!J48,Assumptions!$E$11*Baseline!U48)</f>
        <v>41211.1182014155</v>
      </c>
      <c r="F48" s="21" t="n">
        <f aca="false">IFERROR(E48/(Baseline!I48*(1+Assumptions!$E$13)*IFERROR(MAX(0,E48)/'History Y-1'!Q48,1)^Assumptions!$E$15),0)</f>
        <v>110550.990443826</v>
      </c>
      <c r="G48" s="20" t="n">
        <f aca="false">IF('Media Plan'!P48&lt;&gt;"",'Media Plan'!P48,Assumptions!$E$12*Baseline!V48)</f>
        <v>8786.95119325721</v>
      </c>
      <c r="H48" s="21" t="n">
        <f aca="false">IFERROR(G48/(Baseline!J48*(1+Assumptions!$E$13)*IFERROR(MAX(0,G48)/'History Y-1'!R48,1)^Assumptions!$E$16),0)</f>
        <v>37442.9376045967</v>
      </c>
      <c r="I48" s="21" t="n">
        <f aca="false">'History Y-1'!$F$58*(1+Assumptions!$E$6)*Baseline!Q48+'History Y-1'!$G$58*(1+Assumptions!$E$7)*Baseline!R48+J48</f>
        <v>408100.837720602</v>
      </c>
      <c r="J48" s="21" t="n">
        <f aca="false">'History Y-1'!$H$58*(1+Assumptions!$E$8)*Baseline!S48</f>
        <v>44483.3276776259</v>
      </c>
      <c r="K48" s="55" t="n">
        <f aca="false">D48+F48+H48+I48</f>
        <v>728716.159746471</v>
      </c>
      <c r="L48" s="21" t="n">
        <f aca="false">K48*Baseline!B48*(1+Assumptions!$E$18)*(1+Calendar!G48)</f>
        <v>22710.6969742585</v>
      </c>
      <c r="M48" s="20" t="n">
        <f aca="false">L48*Baseline!C48*(1+Assumptions!$E$19)</f>
        <v>1675251.46228688</v>
      </c>
      <c r="N48" s="31" t="n">
        <f aca="false">MAX(0,MIN(0.9,Baseline!E48+Assumptions!$E$20))</f>
        <v>0.238301186391011</v>
      </c>
      <c r="O48" s="31" t="n">
        <f aca="false">MAX(0,Baseline!F48+Assumptions!$E$21)</f>
        <v>0.265522466840211</v>
      </c>
      <c r="P48" s="49" t="n">
        <f aca="false">M48*O48</f>
        <v>444816.900844082</v>
      </c>
      <c r="Q48" s="49" t="n">
        <f aca="false">M48-P48</f>
        <v>1230434.56144279</v>
      </c>
      <c r="R48" s="21" t="n">
        <f aca="false">L48*Baseline!D48</f>
        <v>42642.6168772141</v>
      </c>
      <c r="S48" s="21" t="n">
        <f aca="false">IFERROR(P48/(Baseline!C48*(1+Assumptions!$E$19)),0)</f>
        <v>6030.20028426563</v>
      </c>
      <c r="T48" s="20" t="n">
        <f aca="false">Q48/(1-N48)*(1-Assumptions!$E$23)</f>
        <v>613845.164249241</v>
      </c>
      <c r="U48" s="20" t="n">
        <f aca="false">P48/(1-N48)*(1-Assumptions!$E$23)*Assumptions!$E$24</f>
        <v>8876.49655221974</v>
      </c>
      <c r="V48" s="49" t="n">
        <f aca="false">Q48-T48-U48</f>
        <v>607712.900641333</v>
      </c>
      <c r="W48" s="20" t="n">
        <f aca="false">T48*Assumptions!$E$25+L48*(Assumptions!$E$27-Assumptions!$E$28+Assumptions!$E$29+Assumptions!$E$36*Assumptions!$E$37)+R48*Assumptions!$E$30+S48*(Assumptions!$E$31+Assumptions!$E$32)+M48*(Assumptions!$E$33+Assumptions!$E$38)+IFERROR(M48*J48/K48,0)*Assumptions!$E$35*Assumptions!$E$34</f>
        <v>198521.17939467</v>
      </c>
      <c r="X48" s="49" t="n">
        <f aca="false">V48-W48</f>
        <v>409191.721246663</v>
      </c>
      <c r="Y48" s="49" t="n">
        <f aca="false">C48+E48+G48</f>
        <v>131475.713576964</v>
      </c>
      <c r="Z48" s="49" t="n">
        <f aca="false">X48-Y48</f>
        <v>277716.007669699</v>
      </c>
      <c r="AA48" s="20" t="n">
        <f aca="false">'Fixed Costs'!$G$31/52</f>
        <v>25332.6923076923</v>
      </c>
      <c r="AB48" s="49" t="n">
        <f aca="false">Z48-AA48</f>
        <v>252383.315362007</v>
      </c>
      <c r="AC48" s="21" t="n">
        <f aca="false">L48*Baseline!G48</f>
        <v>10123.6225337454</v>
      </c>
    </row>
    <row r="49" customFormat="false" ht="15" hidden="false" customHeight="false" outlineLevel="0" collapsed="false">
      <c r="A49" s="13" t="n">
        <v>44</v>
      </c>
      <c r="B49" s="14" t="str">
        <f aca="false">Calendar!D49</f>
        <v>P11</v>
      </c>
      <c r="C49" s="20" t="n">
        <f aca="false">IF('Media Plan'!D49&lt;&gt;"",'Media Plan'!D49,Assumptions!$E$10*Baseline!T49)</f>
        <v>64840.2293175422</v>
      </c>
      <c r="D49" s="21" t="n">
        <f aca="false">IFERROR(C49/(Baseline!H49*(1+Assumptions!$E$13)*IFERROR(MAX(0,C49)/'History Y-1'!P49,1)^Assumptions!$E$14),0)</f>
        <v>133945.956483469</v>
      </c>
      <c r="E49" s="20" t="n">
        <f aca="false">IF('Media Plan'!J49&lt;&gt;"",'Media Plan'!J49,Assumptions!$E$11*Baseline!U49)</f>
        <v>31860.1288778818</v>
      </c>
      <c r="F49" s="21" t="n">
        <f aca="false">IFERROR(E49/(Baseline!I49*(1+Assumptions!$E$13)*IFERROR(MAX(0,E49)/'History Y-1'!Q49,1)^Assumptions!$E$15),0)</f>
        <v>86509.2994949625</v>
      </c>
      <c r="G49" s="20" t="n">
        <f aca="false">IF('Media Plan'!P49&lt;&gt;"",'Media Plan'!P49,Assumptions!$E$12*Baseline!V49)</f>
        <v>7000.28152193297</v>
      </c>
      <c r="H49" s="21" t="n">
        <f aca="false">IFERROR(G49/(Baseline!J49*(1+Assumptions!$E$13)*IFERROR(MAX(0,G49)/'History Y-1'!R49,1)^Assumptions!$E$16),0)</f>
        <v>30211.4092633406</v>
      </c>
      <c r="I49" s="21" t="n">
        <f aca="false">'History Y-1'!$F$58*(1+Assumptions!$E$6)*Baseline!Q49+'History Y-1'!$G$58*(1+Assumptions!$E$7)*Baseline!R49+J49</f>
        <v>324338.102241739</v>
      </c>
      <c r="J49" s="21" t="n">
        <f aca="false">'History Y-1'!$H$58*(1+Assumptions!$E$8)*Baseline!S49</f>
        <v>34556.6350214652</v>
      </c>
      <c r="K49" s="55" t="n">
        <f aca="false">D49+F49+H49+I49</f>
        <v>575004.767483511</v>
      </c>
      <c r="L49" s="21" t="n">
        <f aca="false">K49*Baseline!B49*(1+Assumptions!$E$18)*(1+Calendar!G49)</f>
        <v>15839.2849056703</v>
      </c>
      <c r="M49" s="20" t="n">
        <f aca="false">L49*Baseline!C49*(1+Assumptions!$E$19)</f>
        <v>1218318.0566429</v>
      </c>
      <c r="N49" s="31" t="n">
        <f aca="false">MAX(0,MIN(0.9,Baseline!E49+Assumptions!$E$20))</f>
        <v>0.213130144135904</v>
      </c>
      <c r="O49" s="31" t="n">
        <f aca="false">MAX(0,Baseline!F49+Assumptions!$E$21)</f>
        <v>0.276575752943282</v>
      </c>
      <c r="P49" s="49" t="n">
        <f aca="false">M49*O49</f>
        <v>336957.233840408</v>
      </c>
      <c r="Q49" s="49" t="n">
        <f aca="false">M49-P49</f>
        <v>881360.822802496</v>
      </c>
      <c r="R49" s="21" t="n">
        <f aca="false">L49*Baseline!D49</f>
        <v>29469.0315137633</v>
      </c>
      <c r="S49" s="21" t="n">
        <f aca="false">IFERROR(P49/(Baseline!C49*(1+Assumptions!$E$19)),0)</f>
        <v>4380.76214886894</v>
      </c>
      <c r="T49" s="20" t="n">
        <f aca="false">Q49/(1-N49)*(1-Assumptions!$E$23)</f>
        <v>425632.155265576</v>
      </c>
      <c r="U49" s="20" t="n">
        <f aca="false">P49/(1-N49)*(1-Assumptions!$E$23)*Assumptions!$E$24</f>
        <v>6509.01787151292</v>
      </c>
      <c r="V49" s="49" t="n">
        <f aca="false">Q49-T49-U49</f>
        <v>449219.649665407</v>
      </c>
      <c r="W49" s="20" t="n">
        <f aca="false">T49*Assumptions!$E$25+L49*(Assumptions!$E$27-Assumptions!$E$28+Assumptions!$E$29+Assumptions!$E$36*Assumptions!$E$37)+R49*Assumptions!$E$30+S49*(Assumptions!$E$31+Assumptions!$E$32)+M49*(Assumptions!$E$33+Assumptions!$E$38)+IFERROR(M49*J49/K49,0)*Assumptions!$E$35*Assumptions!$E$34</f>
        <v>139883.406110133</v>
      </c>
      <c r="X49" s="49" t="n">
        <f aca="false">V49-W49</f>
        <v>309336.243555274</v>
      </c>
      <c r="Y49" s="49" t="n">
        <f aca="false">C49+E49+G49</f>
        <v>103700.639717357</v>
      </c>
      <c r="Z49" s="49" t="n">
        <f aca="false">X49-Y49</f>
        <v>205635.603837917</v>
      </c>
      <c r="AA49" s="20" t="n">
        <f aca="false">'Fixed Costs'!$G$31/52</f>
        <v>25332.6923076923</v>
      </c>
      <c r="AB49" s="49" t="n">
        <f aca="false">Z49-AA49</f>
        <v>180302.911530225</v>
      </c>
      <c r="AC49" s="21" t="n">
        <f aca="false">L49*Baseline!G49</f>
        <v>7021.52350185929</v>
      </c>
    </row>
    <row r="50" customFormat="false" ht="15" hidden="false" customHeight="false" outlineLevel="0" collapsed="false">
      <c r="A50" s="13" t="n">
        <v>45</v>
      </c>
      <c r="B50" s="14" t="str">
        <f aca="false">Calendar!D50</f>
        <v>P11</v>
      </c>
      <c r="C50" s="20" t="n">
        <f aca="false">IF('Media Plan'!D50&lt;&gt;"",'Media Plan'!D50,Assumptions!$E$10*Baseline!T50)</f>
        <v>58058.3808616688</v>
      </c>
      <c r="D50" s="21" t="n">
        <f aca="false">IFERROR(C50/(Baseline!H50*(1+Assumptions!$E$13)*IFERROR(MAX(0,C50)/'History Y-1'!P50,1)^Assumptions!$E$14),0)</f>
        <v>117601.926725022</v>
      </c>
      <c r="E50" s="20" t="n">
        <f aca="false">IF('Media Plan'!J50&lt;&gt;"",'Media Plan'!J50,Assumptions!$E$11*Baseline!U50)</f>
        <v>28853.8012604239</v>
      </c>
      <c r="F50" s="21" t="n">
        <f aca="false">IFERROR(E50/(Baseline!I50*(1+Assumptions!$E$13)*IFERROR(MAX(0,E50)/'History Y-1'!Q50,1)^Assumptions!$E$15),0)</f>
        <v>77067.5816568238</v>
      </c>
      <c r="G50" s="20" t="n">
        <f aca="false">IF('Media Plan'!P50&lt;&gt;"",'Media Plan'!P50,Assumptions!$E$12*Baseline!V50)</f>
        <v>6693.22374750074</v>
      </c>
      <c r="H50" s="21" t="n">
        <f aca="false">IFERROR(G50/(Baseline!J50*(1+Assumptions!$E$13)*IFERROR(MAX(0,G50)/'History Y-1'!R50,1)^Assumptions!$E$16),0)</f>
        <v>28096.6113027557</v>
      </c>
      <c r="I50" s="21" t="n">
        <f aca="false">'History Y-1'!$F$58*(1+Assumptions!$E$6)*Baseline!Q50+'History Y-1'!$G$58*(1+Assumptions!$E$7)*Baseline!R50+J50</f>
        <v>253346.242854685</v>
      </c>
      <c r="J50" s="21" t="n">
        <f aca="false">'History Y-1'!$H$58*(1+Assumptions!$E$8)*Baseline!S50</f>
        <v>29685.1129331659</v>
      </c>
      <c r="K50" s="55" t="n">
        <f aca="false">D50+F50+H50+I50</f>
        <v>476112.362539286</v>
      </c>
      <c r="L50" s="21" t="n">
        <f aca="false">K50*Baseline!B50*(1+Assumptions!$E$18)*(1+Calendar!G50)</f>
        <v>11783.5827212875</v>
      </c>
      <c r="M50" s="20" t="n">
        <f aca="false">L50*Baseline!C50*(1+Assumptions!$E$19)</f>
        <v>1014773.59117753</v>
      </c>
      <c r="N50" s="31" t="n">
        <f aca="false">MAX(0,MIN(0.9,Baseline!E50+Assumptions!$E$20))</f>
        <v>0.0689039231763998</v>
      </c>
      <c r="O50" s="31" t="n">
        <f aca="false">MAX(0,Baseline!F50+Assumptions!$E$21)</f>
        <v>0.262685002220714</v>
      </c>
      <c r="P50" s="49" t="n">
        <f aca="false">M50*O50</f>
        <v>266565.803051992</v>
      </c>
      <c r="Q50" s="49" t="n">
        <f aca="false">M50-P50</f>
        <v>748207.788125539</v>
      </c>
      <c r="R50" s="21" t="n">
        <f aca="false">L50*Baseline!D50</f>
        <v>22130.226246235</v>
      </c>
      <c r="S50" s="21" t="n">
        <f aca="false">IFERROR(P50/(Baseline!C50*(1+Assumptions!$E$19)),0)</f>
        <v>3095.37045330937</v>
      </c>
      <c r="T50" s="20" t="n">
        <f aca="false">Q50/(1-N50)*(1-Assumptions!$E$23)</f>
        <v>305359.421615918</v>
      </c>
      <c r="U50" s="20" t="n">
        <f aca="false">P50/(1-N50)*(1-Assumptions!$E$23)*Assumptions!$E$24</f>
        <v>4351.64566498105</v>
      </c>
      <c r="V50" s="49" t="n">
        <f aca="false">Q50-T50-U50</f>
        <v>438496.72084464</v>
      </c>
      <c r="W50" s="20" t="n">
        <f aca="false">T50*Assumptions!$E$25+L50*(Assumptions!$E$27-Assumptions!$E$28+Assumptions!$E$29+Assumptions!$E$36*Assumptions!$E$37)+R50*Assumptions!$E$30+S50*(Assumptions!$E$31+Assumptions!$E$32)+M50*(Assumptions!$E$33+Assumptions!$E$38)+IFERROR(M50*J50/K50,0)*Assumptions!$E$35*Assumptions!$E$34</f>
        <v>105558.165076272</v>
      </c>
      <c r="X50" s="49" t="n">
        <f aca="false">V50-W50</f>
        <v>332938.555768368</v>
      </c>
      <c r="Y50" s="49" t="n">
        <f aca="false">C50+E50+G50</f>
        <v>93605.4058695935</v>
      </c>
      <c r="Z50" s="49" t="n">
        <f aca="false">X50-Y50</f>
        <v>239333.149898775</v>
      </c>
      <c r="AA50" s="20" t="n">
        <f aca="false">'Fixed Costs'!$G$31/52</f>
        <v>25332.6923076923</v>
      </c>
      <c r="AB50" s="49" t="n">
        <f aca="false">Z50-AA50</f>
        <v>214000.457591082</v>
      </c>
      <c r="AC50" s="21" t="n">
        <f aca="false">L50*Baseline!G50</f>
        <v>4212.9724908512</v>
      </c>
    </row>
    <row r="51" customFormat="false" ht="15" hidden="false" customHeight="false" outlineLevel="0" collapsed="false">
      <c r="A51" s="13" t="n">
        <v>46</v>
      </c>
      <c r="B51" s="14" t="str">
        <f aca="false">Calendar!D51</f>
        <v>P11</v>
      </c>
      <c r="C51" s="20" t="n">
        <f aca="false">IF('Media Plan'!D51&lt;&gt;"",'Media Plan'!D51,Assumptions!$E$10*Baseline!T51)</f>
        <v>52964.1938288024</v>
      </c>
      <c r="D51" s="21" t="n">
        <f aca="false">IFERROR(C51/(Baseline!H51*(1+Assumptions!$E$13)*IFERROR(MAX(0,C51)/'History Y-1'!P51,1)^Assumptions!$E$14),0)</f>
        <v>105217.915115055</v>
      </c>
      <c r="E51" s="20" t="n">
        <f aca="false">IF('Media Plan'!J51&lt;&gt;"",'Media Plan'!J51,Assumptions!$E$11*Baseline!U51)</f>
        <v>25398.4586816148</v>
      </c>
      <c r="F51" s="21" t="n">
        <f aca="false">IFERROR(E51/(Baseline!I51*(1+Assumptions!$E$13)*IFERROR(MAX(0,E51)/'History Y-1'!Q51,1)^Assumptions!$E$15),0)</f>
        <v>68286.5409264764</v>
      </c>
      <c r="G51" s="20" t="n">
        <f aca="false">IF('Media Plan'!P51&lt;&gt;"",'Media Plan'!P51,Assumptions!$E$12*Baseline!V51)</f>
        <v>6149.70523663597</v>
      </c>
      <c r="H51" s="21" t="n">
        <f aca="false">IFERROR(G51/(Baseline!J51*(1+Assumptions!$E$13)*IFERROR(MAX(0,G51)/'History Y-1'!R51,1)^Assumptions!$E$16),0)</f>
        <v>25281.8004598058</v>
      </c>
      <c r="I51" s="21" t="n">
        <f aca="false">'History Y-1'!$F$58*(1+Assumptions!$E$6)*Baseline!Q51+'History Y-1'!$G$58*(1+Assumptions!$E$7)*Baseline!R51+J51</f>
        <v>237789.95283386</v>
      </c>
      <c r="J51" s="21" t="n">
        <f aca="false">'History Y-1'!$H$58*(1+Assumptions!$E$8)*Baseline!S51</f>
        <v>27378.2775025021</v>
      </c>
      <c r="K51" s="55" t="n">
        <f aca="false">D51+F51+H51+I51</f>
        <v>436576.209335198</v>
      </c>
      <c r="L51" s="21" t="n">
        <f aca="false">K51*Baseline!B51*(1+Assumptions!$E$18)*(1+Calendar!G51)</f>
        <v>10529.9831767468</v>
      </c>
      <c r="M51" s="20" t="n">
        <f aca="false">L51*Baseline!C51*(1+Assumptions!$E$19)</f>
        <v>912825.325716991</v>
      </c>
      <c r="N51" s="31" t="n">
        <f aca="false">MAX(0,MIN(0.9,Baseline!E51+Assumptions!$E$20))</f>
        <v>0.0659866593203023</v>
      </c>
      <c r="O51" s="31" t="n">
        <f aca="false">MAX(0,Baseline!F51+Assumptions!$E$21)</f>
        <v>0.269624781033422</v>
      </c>
      <c r="P51" s="49" t="n">
        <f aca="false">M51*O51</f>
        <v>246120.328568205</v>
      </c>
      <c r="Q51" s="49" t="n">
        <f aca="false">M51-P51</f>
        <v>666704.997148786</v>
      </c>
      <c r="R51" s="21" t="n">
        <f aca="false">L51*Baseline!D51</f>
        <v>20272.4187890805</v>
      </c>
      <c r="S51" s="21" t="n">
        <f aca="false">IFERROR(P51/(Baseline!C51*(1+Assumptions!$E$19)),0)</f>
        <v>2839.14440831598</v>
      </c>
      <c r="T51" s="20" t="n">
        <f aca="false">Q51/(1-N51)*(1-Assumptions!$E$23)</f>
        <v>271246.552787108</v>
      </c>
      <c r="U51" s="20" t="n">
        <f aca="false">P51/(1-N51)*(1-Assumptions!$E$23)*Assumptions!$E$24</f>
        <v>4005.32715251616</v>
      </c>
      <c r="V51" s="49" t="n">
        <f aca="false">Q51-T51-U51</f>
        <v>391453.117209162</v>
      </c>
      <c r="W51" s="20" t="n">
        <f aca="false">T51*Assumptions!$E$25+L51*(Assumptions!$E$27-Assumptions!$E$28+Assumptions!$E$29+Assumptions!$E$36*Assumptions!$E$37)+R51*Assumptions!$E$30+S51*(Assumptions!$E$31+Assumptions!$E$32)+M51*(Assumptions!$E$33+Assumptions!$E$38)+IFERROR(M51*J51/K51,0)*Assumptions!$E$35*Assumptions!$E$34</f>
        <v>95159.9845200939</v>
      </c>
      <c r="X51" s="49" t="n">
        <f aca="false">V51-W51</f>
        <v>296293.132689068</v>
      </c>
      <c r="Y51" s="49" t="n">
        <f aca="false">C51+E51+G51</f>
        <v>84512.3577470532</v>
      </c>
      <c r="Z51" s="49" t="n">
        <f aca="false">X51-Y51</f>
        <v>211780.774942015</v>
      </c>
      <c r="AA51" s="20" t="n">
        <f aca="false">'Fixed Costs'!$G$31/52</f>
        <v>25332.6923076923</v>
      </c>
      <c r="AB51" s="49" t="n">
        <f aca="false">Z51-AA51</f>
        <v>186448.082634322</v>
      </c>
      <c r="AC51" s="21" t="n">
        <f aca="false">L51*Baseline!G51</f>
        <v>3721.39775793224</v>
      </c>
    </row>
    <row r="52" customFormat="false" ht="15" hidden="false" customHeight="false" outlineLevel="0" collapsed="false">
      <c r="A52" s="13" t="n">
        <v>47</v>
      </c>
      <c r="B52" s="14" t="str">
        <f aca="false">Calendar!D52</f>
        <v>P11</v>
      </c>
      <c r="C52" s="20" t="n">
        <f aca="false">IF('Media Plan'!D52&lt;&gt;"",'Media Plan'!D52,Assumptions!$E$10*Baseline!T52)</f>
        <v>40696.3851805629</v>
      </c>
      <c r="D52" s="21" t="n">
        <f aca="false">IFERROR(C52/(Baseline!H52*(1+Assumptions!$E$13)*IFERROR(MAX(0,C52)/'History Y-1'!P52,1)^Assumptions!$E$14),0)</f>
        <v>79516.7722651308</v>
      </c>
      <c r="E52" s="20" t="n">
        <f aca="false">IF('Media Plan'!J52&lt;&gt;"",'Media Plan'!J52,Assumptions!$E$11*Baseline!U52)</f>
        <v>18832.5328704455</v>
      </c>
      <c r="F52" s="21" t="n">
        <f aca="false">IFERROR(E52/(Baseline!I52*(1+Assumptions!$E$13)*IFERROR(MAX(0,E52)/'History Y-1'!Q52,1)^Assumptions!$E$15),0)</f>
        <v>51417.9140082428</v>
      </c>
      <c r="G52" s="20" t="n">
        <f aca="false">IF('Media Plan'!P52&lt;&gt;"",'Media Plan'!P52,Assumptions!$E$12*Baseline!V52)</f>
        <v>4344.76614770405</v>
      </c>
      <c r="H52" s="21" t="n">
        <f aca="false">IFERROR(G52/(Baseline!J52*(1+Assumptions!$E$13)*IFERROR(MAX(0,G52)/'History Y-1'!R52,1)^Assumptions!$E$16),0)</f>
        <v>18042.626027344</v>
      </c>
      <c r="I52" s="21" t="n">
        <f aca="false">'History Y-1'!$F$58*(1+Assumptions!$E$6)*Baseline!Q52+'History Y-1'!$G$58*(1+Assumptions!$E$7)*Baseline!R52+J52</f>
        <v>172110.590297647</v>
      </c>
      <c r="J52" s="21" t="n">
        <f aca="false">'History Y-1'!$H$58*(1+Assumptions!$E$8)*Baseline!S52</f>
        <v>20523.5023859068</v>
      </c>
      <c r="K52" s="55" t="n">
        <f aca="false">D52+F52+H52+I52</f>
        <v>321087.902598365</v>
      </c>
      <c r="L52" s="21" t="n">
        <f aca="false">K52*Baseline!B52*(1+Assumptions!$E$18)*(1+Calendar!G52)</f>
        <v>7210.95429343283</v>
      </c>
      <c r="M52" s="20" t="n">
        <f aca="false">L52*Baseline!C52*(1+Assumptions!$E$19)</f>
        <v>571905.952388989</v>
      </c>
      <c r="N52" s="31" t="n">
        <f aca="false">MAX(0,MIN(0.9,Baseline!E52+Assumptions!$E$20))</f>
        <v>0.0711083648713877</v>
      </c>
      <c r="O52" s="31" t="n">
        <f aca="false">MAX(0,Baseline!F52+Assumptions!$E$21)</f>
        <v>0.252480139495037</v>
      </c>
      <c r="P52" s="49" t="n">
        <f aca="false">M52*O52</f>
        <v>144394.894637214</v>
      </c>
      <c r="Q52" s="49" t="n">
        <f aca="false">M52-P52</f>
        <v>427511.057751775</v>
      </c>
      <c r="R52" s="21" t="n">
        <f aca="false">L52*Baseline!D52</f>
        <v>13948.9509071956</v>
      </c>
      <c r="S52" s="21" t="n">
        <f aca="false">IFERROR(P52/(Baseline!C52*(1+Assumptions!$E$19)),0)</f>
        <v>1820.62274589826</v>
      </c>
      <c r="T52" s="20" t="n">
        <f aca="false">Q52/(1-N52)*(1-Assumptions!$E$23)</f>
        <v>174890.370202528</v>
      </c>
      <c r="U52" s="20" t="n">
        <f aca="false">P52/(1-N52)*(1-Assumptions!$E$23)*Assumptions!$E$24</f>
        <v>2362.81856298745</v>
      </c>
      <c r="V52" s="49" t="n">
        <f aca="false">Q52-T52-U52</f>
        <v>250257.86898626</v>
      </c>
      <c r="W52" s="20" t="n">
        <f aca="false">T52*Assumptions!$E$25+L52*(Assumptions!$E$27-Assumptions!$E$28+Assumptions!$E$29+Assumptions!$E$36*Assumptions!$E$37)+R52*Assumptions!$E$30+S52*(Assumptions!$E$31+Assumptions!$E$32)+M52*(Assumptions!$E$33+Assumptions!$E$38)+IFERROR(M52*J52/K52,0)*Assumptions!$E$35*Assumptions!$E$34</f>
        <v>63291.9123324795</v>
      </c>
      <c r="X52" s="49" t="n">
        <f aca="false">V52-W52</f>
        <v>186965.95665378</v>
      </c>
      <c r="Y52" s="49" t="n">
        <f aca="false">C52+E52+G52</f>
        <v>63873.6841987125</v>
      </c>
      <c r="Z52" s="49" t="n">
        <f aca="false">X52-Y52</f>
        <v>123092.272455068</v>
      </c>
      <c r="AA52" s="20" t="n">
        <f aca="false">'Fixed Costs'!$G$31/52</f>
        <v>25332.6923076923</v>
      </c>
      <c r="AB52" s="49" t="n">
        <f aca="false">Z52-AA52</f>
        <v>97759.5801473752</v>
      </c>
      <c r="AC52" s="21" t="n">
        <f aca="false">L52*Baseline!G52</f>
        <v>2510.38329751631</v>
      </c>
    </row>
    <row r="53" customFormat="false" ht="15" hidden="false" customHeight="false" outlineLevel="0" collapsed="false">
      <c r="A53" s="13" t="n">
        <v>48</v>
      </c>
      <c r="B53" s="14" t="str">
        <f aca="false">Calendar!D53</f>
        <v>P12</v>
      </c>
      <c r="C53" s="20" t="n">
        <f aca="false">IF('Media Plan'!D53&lt;&gt;"",'Media Plan'!D53,Assumptions!$E$10*Baseline!T53)</f>
        <v>64363.9209176913</v>
      </c>
      <c r="D53" s="21" t="n">
        <f aca="false">IFERROR(C53/(Baseline!H53*(1+Assumptions!$E$13)*IFERROR(MAX(0,C53)/'History Y-1'!P53,1)^Assumptions!$E$14),0)</f>
        <v>130957.979927806</v>
      </c>
      <c r="E53" s="20" t="n">
        <f aca="false">IF('Media Plan'!J53&lt;&gt;"",'Media Plan'!J53,Assumptions!$E$11*Baseline!U53)</f>
        <v>32730.003288551</v>
      </c>
      <c r="F53" s="21" t="n">
        <f aca="false">IFERROR(E53/(Baseline!I53*(1+Assumptions!$E$13)*IFERROR(MAX(0,E53)/'History Y-1'!Q53,1)^Assumptions!$E$15),0)</f>
        <v>85160.436771068</v>
      </c>
      <c r="G53" s="20" t="n">
        <f aca="false">IF('Media Plan'!P53&lt;&gt;"",'Media Plan'!P53,Assumptions!$E$12*Baseline!V53)</f>
        <v>7359.59115723592</v>
      </c>
      <c r="H53" s="21" t="n">
        <f aca="false">IFERROR(G53/(Baseline!J53*(1+Assumptions!$E$13)*IFERROR(MAX(0,G53)/'History Y-1'!R53,1)^Assumptions!$E$16),0)</f>
        <v>30831.2913927642</v>
      </c>
      <c r="I53" s="21" t="n">
        <f aca="false">'History Y-1'!$F$58*(1+Assumptions!$E$6)*Baseline!Q53+'History Y-1'!$G$58*(1+Assumptions!$E$7)*Baseline!R53+J53</f>
        <v>327506.330353704</v>
      </c>
      <c r="J53" s="21" t="n">
        <f aca="false">'History Y-1'!$H$58*(1+Assumptions!$E$8)*Baseline!S53</f>
        <v>33778.7611150927</v>
      </c>
      <c r="K53" s="55" t="n">
        <f aca="false">D53+F53+H53+I53</f>
        <v>574456.038445342</v>
      </c>
      <c r="L53" s="21" t="n">
        <f aca="false">K53*Baseline!B53*(1+Assumptions!$E$18)*(1+Calendar!G53)</f>
        <v>16565.3709521053</v>
      </c>
      <c r="M53" s="20" t="n">
        <f aca="false">L53*Baseline!C53*(1+Assumptions!$E$19)</f>
        <v>1151195.21067764</v>
      </c>
      <c r="N53" s="31" t="n">
        <f aca="false">MAX(0,MIN(0.9,Baseline!E53+Assumptions!$E$20))</f>
        <v>0.31955226829625</v>
      </c>
      <c r="O53" s="31" t="n">
        <f aca="false">MAX(0,Baseline!F53+Assumptions!$E$21)</f>
        <v>0.232630062021765</v>
      </c>
      <c r="P53" s="49" t="n">
        <f aca="false">M53*O53</f>
        <v>267802.613259098</v>
      </c>
      <c r="Q53" s="49" t="n">
        <f aca="false">M53-P53</f>
        <v>883392.597418542</v>
      </c>
      <c r="R53" s="21" t="n">
        <f aca="false">L53*Baseline!D53</f>
        <v>30961.8150972776</v>
      </c>
      <c r="S53" s="21" t="n">
        <f aca="false">IFERROR(P53/(Baseline!C53*(1+Assumptions!$E$19)),0)</f>
        <v>3853.6032720018</v>
      </c>
      <c r="T53" s="20" t="n">
        <f aca="false">Q53/(1-N53)*(1-Assumptions!$E$23)</f>
        <v>493335.742597782</v>
      </c>
      <c r="U53" s="20" t="n">
        <f aca="false">P53/(1-N53)*(1-Assumptions!$E$23)*Assumptions!$E$24</f>
        <v>5982.23718278266</v>
      </c>
      <c r="V53" s="49" t="n">
        <f aca="false">Q53-T53-U53</f>
        <v>384074.617637977</v>
      </c>
      <c r="W53" s="20" t="n">
        <f aca="false">T53*Assumptions!$E$25+L53*(Assumptions!$E$27-Assumptions!$E$28+Assumptions!$E$29+Assumptions!$E$36*Assumptions!$E$37)+R53*Assumptions!$E$30+S53*(Assumptions!$E$31+Assumptions!$E$32)+M53*(Assumptions!$E$33+Assumptions!$E$38)+IFERROR(M53*J53/K53,0)*Assumptions!$E$35*Assumptions!$E$34</f>
        <v>141986.684133619</v>
      </c>
      <c r="X53" s="49" t="n">
        <f aca="false">V53-W53</f>
        <v>242087.933504358</v>
      </c>
      <c r="Y53" s="49" t="n">
        <f aca="false">C53+E53+G53</f>
        <v>104453.515363478</v>
      </c>
      <c r="Z53" s="49" t="n">
        <f aca="false">X53-Y53</f>
        <v>137634.41814088</v>
      </c>
      <c r="AA53" s="20" t="n">
        <f aca="false">'Fixed Costs'!$G$31/52</f>
        <v>25332.6923076923</v>
      </c>
      <c r="AB53" s="49" t="n">
        <f aca="false">Z53-AA53</f>
        <v>112301.725833188</v>
      </c>
      <c r="AC53" s="21" t="n">
        <f aca="false">L53*Baseline!G53</f>
        <v>7286.09484146265</v>
      </c>
    </row>
    <row r="54" customFormat="false" ht="15" hidden="false" customHeight="false" outlineLevel="0" collapsed="false">
      <c r="A54" s="13" t="n">
        <v>49</v>
      </c>
      <c r="B54" s="14" t="str">
        <f aca="false">Calendar!D54</f>
        <v>P12</v>
      </c>
      <c r="C54" s="20" t="n">
        <f aca="false">IF('Media Plan'!D54&lt;&gt;"",'Media Plan'!D54,Assumptions!$E$10*Baseline!T54)</f>
        <v>51960.0656309242</v>
      </c>
      <c r="D54" s="21" t="n">
        <f aca="false">IFERROR(C54/(Baseline!H54*(1+Assumptions!$E$13)*IFERROR(MAX(0,C54)/'History Y-1'!P54,1)^Assumptions!$E$14),0)</f>
        <v>106752.45033343</v>
      </c>
      <c r="E54" s="20" t="n">
        <f aca="false">IF('Media Plan'!J54&lt;&gt;"",'Media Plan'!J54,Assumptions!$E$11*Baseline!U54)</f>
        <v>27534.3442978529</v>
      </c>
      <c r="F54" s="21" t="n">
        <f aca="false">IFERROR(E54/(Baseline!I54*(1+Assumptions!$E$13)*IFERROR(MAX(0,E54)/'History Y-1'!Q54,1)^Assumptions!$E$15),0)</f>
        <v>74001.8607519709</v>
      </c>
      <c r="G54" s="20" t="n">
        <f aca="false">IF('Media Plan'!P54&lt;&gt;"",'Media Plan'!P54,Assumptions!$E$12*Baseline!V54)</f>
        <v>5947.59943237262</v>
      </c>
      <c r="H54" s="21" t="n">
        <f aca="false">IFERROR(G54/(Baseline!J54*(1+Assumptions!$E$13)*IFERROR(MAX(0,G54)/'History Y-1'!R54,1)^Assumptions!$E$16),0)</f>
        <v>24411.1891336276</v>
      </c>
      <c r="I54" s="21" t="n">
        <f aca="false">'History Y-1'!$F$58*(1+Assumptions!$E$6)*Baseline!Q54+'History Y-1'!$G$58*(1+Assumptions!$E$7)*Baseline!R54+J54</f>
        <v>277417.186307305</v>
      </c>
      <c r="J54" s="21" t="n">
        <f aca="false">'History Y-1'!$H$58*(1+Assumptions!$E$8)*Baseline!S54</f>
        <v>27924.4219130611</v>
      </c>
      <c r="K54" s="55" t="n">
        <f aca="false">D54+F54+H54+I54</f>
        <v>482582.686526333</v>
      </c>
      <c r="L54" s="21" t="n">
        <f aca="false">K54*Baseline!B54*(1+Assumptions!$E$18)*(1+Calendar!G54)</f>
        <v>12820.0220639334</v>
      </c>
      <c r="M54" s="20" t="n">
        <f aca="false">L54*Baseline!C54*(1+Assumptions!$E$19)</f>
        <v>882909.259990807</v>
      </c>
      <c r="N54" s="31" t="n">
        <f aca="false">MAX(0,MIN(0.9,Baseline!E54+Assumptions!$E$20))</f>
        <v>0.305418319657578</v>
      </c>
      <c r="O54" s="31" t="n">
        <f aca="false">MAX(0,Baseline!F54+Assumptions!$E$21)</f>
        <v>0.225779204030486</v>
      </c>
      <c r="P54" s="49" t="n">
        <f aca="false">M54*O54</f>
        <v>199342.54995187</v>
      </c>
      <c r="Q54" s="49" t="n">
        <f aca="false">M54-P54</f>
        <v>683566.710038938</v>
      </c>
      <c r="R54" s="21" t="n">
        <f aca="false">L54*Baseline!D54</f>
        <v>24367.0597903646</v>
      </c>
      <c r="S54" s="21" t="n">
        <f aca="false">IFERROR(P54/(Baseline!C54*(1+Assumptions!$E$19)),0)</f>
        <v>2894.49437724815</v>
      </c>
      <c r="T54" s="20" t="n">
        <f aca="false">Q54/(1-N54)*(1-Assumptions!$E$23)</f>
        <v>373973.799145897</v>
      </c>
      <c r="U54" s="20" t="n">
        <f aca="false">P54/(1-N54)*(1-Assumptions!$E$23)*Assumptions!$E$24</f>
        <v>4362.34764754328</v>
      </c>
      <c r="V54" s="49" t="n">
        <f aca="false">Q54-T54-U54</f>
        <v>305230.563245498</v>
      </c>
      <c r="W54" s="20" t="n">
        <f aca="false">T54*Assumptions!$E$25+L54*(Assumptions!$E$27-Assumptions!$E$28+Assumptions!$E$29+Assumptions!$E$36*Assumptions!$E$37)+R54*Assumptions!$E$30+S54*(Assumptions!$E$31+Assumptions!$E$32)+M54*(Assumptions!$E$33+Assumptions!$E$38)+IFERROR(M54*J54/K54,0)*Assumptions!$E$35*Assumptions!$E$34</f>
        <v>109368.131930015</v>
      </c>
      <c r="X54" s="49" t="n">
        <f aca="false">V54-W54</f>
        <v>195862.431315483</v>
      </c>
      <c r="Y54" s="49" t="n">
        <f aca="false">C54+E54+G54</f>
        <v>85442.0093611498</v>
      </c>
      <c r="Z54" s="49" t="n">
        <f aca="false">X54-Y54</f>
        <v>110420.421954333</v>
      </c>
      <c r="AA54" s="20" t="n">
        <f aca="false">'Fixed Costs'!$G$31/52</f>
        <v>25332.6923076923</v>
      </c>
      <c r="AB54" s="49" t="n">
        <f aca="false">Z54-AA54</f>
        <v>85087.7296466407</v>
      </c>
      <c r="AC54" s="21" t="n">
        <f aca="false">L54*Baseline!G54</f>
        <v>5910.86637640259</v>
      </c>
    </row>
    <row r="55" customFormat="false" ht="15" hidden="false" customHeight="false" outlineLevel="0" collapsed="false">
      <c r="A55" s="13" t="n">
        <v>50</v>
      </c>
      <c r="B55" s="14" t="str">
        <f aca="false">Calendar!D55</f>
        <v>P12</v>
      </c>
      <c r="C55" s="20" t="n">
        <f aca="false">IF('Media Plan'!D55&lt;&gt;"",'Media Plan'!D55,Assumptions!$E$10*Baseline!T55)</f>
        <v>44883.2131844008</v>
      </c>
      <c r="D55" s="21" t="n">
        <f aca="false">IFERROR(C55/(Baseline!H55*(1+Assumptions!$E$13)*IFERROR(MAX(0,C55)/'History Y-1'!P55,1)^Assumptions!$E$14),0)</f>
        <v>92308.7415620357</v>
      </c>
      <c r="E55" s="20" t="n">
        <f aca="false">IF('Media Plan'!J55&lt;&gt;"",'Media Plan'!J55,Assumptions!$E$11*Baseline!U55)</f>
        <v>22652.5867492628</v>
      </c>
      <c r="F55" s="21" t="n">
        <f aca="false">IFERROR(E55/(Baseline!I55*(1+Assumptions!$E$13)*IFERROR(MAX(0,E55)/'History Y-1'!Q55,1)^Assumptions!$E$15),0)</f>
        <v>62601.0781778357</v>
      </c>
      <c r="G55" s="20" t="n">
        <f aca="false">IF('Media Plan'!P55&lt;&gt;"",'Media Plan'!P55,Assumptions!$E$12*Baseline!V55)</f>
        <v>5185.05285916521</v>
      </c>
      <c r="H55" s="21" t="n">
        <f aca="false">IFERROR(G55/(Baseline!J55*(1+Assumptions!$E$13)*IFERROR(MAX(0,G55)/'History Y-1'!R55,1)^Assumptions!$E$16),0)</f>
        <v>21311.7288242264</v>
      </c>
      <c r="I55" s="21" t="n">
        <f aca="false">'History Y-1'!$F$58*(1+Assumptions!$E$6)*Baseline!Q55+'History Y-1'!$G$58*(1+Assumptions!$E$7)*Baseline!R55+J55</f>
        <v>209131.210400974</v>
      </c>
      <c r="J55" s="21" t="n">
        <f aca="false">'History Y-1'!$H$58*(1+Assumptions!$E$8)*Baseline!S55</f>
        <v>24806.7421000214</v>
      </c>
      <c r="K55" s="55" t="n">
        <f aca="false">D55+F55+H55+I55</f>
        <v>385352.758965071</v>
      </c>
      <c r="L55" s="21" t="n">
        <f aca="false">K55*Baseline!B55*(1+Assumptions!$E$18)*(1+Calendar!G55)</f>
        <v>9365.93540476851</v>
      </c>
      <c r="M55" s="20" t="n">
        <f aca="false">L55*Baseline!C55*(1+Assumptions!$E$19)</f>
        <v>658482.824607634</v>
      </c>
      <c r="N55" s="31" t="n">
        <f aca="false">MAX(0,MIN(0.9,Baseline!E55+Assumptions!$E$20))</f>
        <v>0.272384646337648</v>
      </c>
      <c r="O55" s="31" t="n">
        <f aca="false">MAX(0,Baseline!F55+Assumptions!$E$21)</f>
        <v>0.235082040930921</v>
      </c>
      <c r="P55" s="49" t="n">
        <f aca="false">M55*O55</f>
        <v>154797.486326721</v>
      </c>
      <c r="Q55" s="49" t="n">
        <f aca="false">M55-P55</f>
        <v>503685.338280914</v>
      </c>
      <c r="R55" s="21" t="n">
        <f aca="false">L55*Baseline!D55</f>
        <v>17647.2630888905</v>
      </c>
      <c r="S55" s="21" t="n">
        <f aca="false">IFERROR(P55/(Baseline!C55*(1+Assumptions!$E$19)),0)</f>
        <v>2201.76321018016</v>
      </c>
      <c r="T55" s="20" t="n">
        <f aca="false">Q55/(1-N55)*(1-Assumptions!$E$23)</f>
        <v>263051.662644774</v>
      </c>
      <c r="U55" s="20" t="n">
        <f aca="false">P55/(1-N55)*(1-Assumptions!$E$23)*Assumptions!$E$24</f>
        <v>3233.74401092974</v>
      </c>
      <c r="V55" s="49" t="n">
        <f aca="false">Q55-T55-U55</f>
        <v>237399.93162521</v>
      </c>
      <c r="W55" s="20" t="n">
        <f aca="false">T55*Assumptions!$E$25+L55*(Assumptions!$E$27-Assumptions!$E$28+Assumptions!$E$29+Assumptions!$E$36*Assumptions!$E$37)+R55*Assumptions!$E$30+S55*(Assumptions!$E$31+Assumptions!$E$32)+M55*(Assumptions!$E$33+Assumptions!$E$38)+IFERROR(M55*J55/K55,0)*Assumptions!$E$35*Assumptions!$E$34</f>
        <v>80439.9011445792</v>
      </c>
      <c r="X55" s="49" t="n">
        <f aca="false">V55-W55</f>
        <v>156960.03048063</v>
      </c>
      <c r="Y55" s="49" t="n">
        <f aca="false">C55+E55+G55</f>
        <v>72720.8527928288</v>
      </c>
      <c r="Z55" s="49" t="n">
        <f aca="false">X55-Y55</f>
        <v>84239.1776878017</v>
      </c>
      <c r="AA55" s="20" t="n">
        <f aca="false">'Fixed Costs'!$G$31/52</f>
        <v>25332.6923076923</v>
      </c>
      <c r="AB55" s="49" t="n">
        <f aca="false">Z55-AA55</f>
        <v>58906.4853801093</v>
      </c>
      <c r="AC55" s="21" t="n">
        <f aca="false">L55*Baseline!G55</f>
        <v>4120.98542493362</v>
      </c>
    </row>
    <row r="56" customFormat="false" ht="15" hidden="false" customHeight="false" outlineLevel="0" collapsed="false">
      <c r="A56" s="13" t="n">
        <v>51</v>
      </c>
      <c r="B56" s="14" t="str">
        <f aca="false">Calendar!D56</f>
        <v>P12</v>
      </c>
      <c r="C56" s="20" t="n">
        <f aca="false">IF('Media Plan'!D56&lt;&gt;"",'Media Plan'!D56,Assumptions!$E$10*Baseline!T56)</f>
        <v>37672.5301071925</v>
      </c>
      <c r="D56" s="21" t="n">
        <f aca="false">IFERROR(C56/(Baseline!H56*(1+Assumptions!$E$13)*IFERROR(MAX(0,C56)/'History Y-1'!P56,1)^Assumptions!$E$14),0)</f>
        <v>76496.1817536316</v>
      </c>
      <c r="E56" s="20" t="n">
        <f aca="false">IF('Media Plan'!J56&lt;&gt;"",'Media Plan'!J56,Assumptions!$E$11*Baseline!U56)</f>
        <v>17479.307125677</v>
      </c>
      <c r="F56" s="21" t="n">
        <f aca="false">IFERROR(E56/(Baseline!I56*(1+Assumptions!$E$13)*IFERROR(MAX(0,E56)/'History Y-1'!Q56,1)^Assumptions!$E$15),0)</f>
        <v>48210.0081085363</v>
      </c>
      <c r="G56" s="20" t="n">
        <f aca="false">IF('Media Plan'!P56&lt;&gt;"",'Media Plan'!P56,Assumptions!$E$12*Baseline!V56)</f>
        <v>4140.70587760199</v>
      </c>
      <c r="H56" s="21" t="n">
        <f aca="false">IFERROR(G56/(Baseline!J56*(1+Assumptions!$E$13)*IFERROR(MAX(0,G56)/'History Y-1'!R56,1)^Assumptions!$E$16),0)</f>
        <v>16809.9610098481</v>
      </c>
      <c r="I56" s="21" t="n">
        <f aca="false">'History Y-1'!$F$58*(1+Assumptions!$E$6)*Baseline!Q56+'History Y-1'!$G$58*(1+Assumptions!$E$7)*Baseline!R56+J56</f>
        <v>162769.334605865</v>
      </c>
      <c r="J56" s="21" t="n">
        <f aca="false">'History Y-1'!$H$58*(1+Assumptions!$E$8)*Baseline!S56</f>
        <v>19267.4154305899</v>
      </c>
      <c r="K56" s="55" t="n">
        <f aca="false">D56+F56+H56+I56</f>
        <v>304285.485477881</v>
      </c>
      <c r="L56" s="21" t="n">
        <f aca="false">K56*Baseline!B56*(1+Assumptions!$E$18)*(1+Calendar!G56)</f>
        <v>6912.38627330068</v>
      </c>
      <c r="M56" s="20" t="n">
        <f aca="false">L56*Baseline!C56*(1+Assumptions!$E$19)</f>
        <v>540522.738439264</v>
      </c>
      <c r="N56" s="31" t="n">
        <f aca="false">MAX(0,MIN(0.9,Baseline!E56+Assumptions!$E$20))</f>
        <v>0.116406503925247</v>
      </c>
      <c r="O56" s="31" t="n">
        <f aca="false">MAX(0,Baseline!F56+Assumptions!$E$21)</f>
        <v>0.250301910154981</v>
      </c>
      <c r="P56" s="49" t="n">
        <f aca="false">M56*O56</f>
        <v>135293.873913549</v>
      </c>
      <c r="Q56" s="49" t="n">
        <f aca="false">M56-P56</f>
        <v>405228.864525715</v>
      </c>
      <c r="R56" s="21" t="n">
        <f aca="false">L56*Baseline!D56</f>
        <v>13300.7011304264</v>
      </c>
      <c r="S56" s="21" t="n">
        <f aca="false">IFERROR(P56/(Baseline!C56*(1+Assumptions!$E$19)),0)</f>
        <v>1730.18348793623</v>
      </c>
      <c r="T56" s="20" t="n">
        <f aca="false">Q56/(1-N56)*(1-Assumptions!$E$23)</f>
        <v>174273.542306319</v>
      </c>
      <c r="U56" s="20" t="n">
        <f aca="false">P56/(1-N56)*(1-Assumptions!$E$23)*Assumptions!$E$24</f>
        <v>2327.39024519932</v>
      </c>
      <c r="V56" s="49" t="n">
        <f aca="false">Q56-T56-U56</f>
        <v>228627.931974197</v>
      </c>
      <c r="W56" s="20" t="n">
        <f aca="false">T56*Assumptions!$E$25+L56*(Assumptions!$E$27-Assumptions!$E$28+Assumptions!$E$29+Assumptions!$E$36*Assumptions!$E$37)+R56*Assumptions!$E$30+S56*(Assumptions!$E$31+Assumptions!$E$32)+M56*(Assumptions!$E$33+Assumptions!$E$38)+IFERROR(M56*J56/K56,0)*Assumptions!$E$35*Assumptions!$E$34</f>
        <v>60561.5436949012</v>
      </c>
      <c r="X56" s="49" t="n">
        <f aca="false">V56-W56</f>
        <v>168066.388279295</v>
      </c>
      <c r="Y56" s="49" t="n">
        <f aca="false">C56+E56+G56</f>
        <v>59292.5431104715</v>
      </c>
      <c r="Z56" s="49" t="n">
        <f aca="false">X56-Y56</f>
        <v>108773.845168824</v>
      </c>
      <c r="AA56" s="20" t="n">
        <f aca="false">'Fixed Costs'!$G$31/52</f>
        <v>25332.6923076923</v>
      </c>
      <c r="AB56" s="49" t="n">
        <f aca="false">Z56-AA56</f>
        <v>83441.1528611317</v>
      </c>
      <c r="AC56" s="21" t="n">
        <f aca="false">L56*Baseline!G56</f>
        <v>2453.50395031967</v>
      </c>
    </row>
    <row r="57" customFormat="false" ht="15" hidden="false" customHeight="false" outlineLevel="0" collapsed="false">
      <c r="A57" s="13" t="n">
        <v>52</v>
      </c>
      <c r="B57" s="14" t="str">
        <f aca="false">Calendar!D57</f>
        <v>P12</v>
      </c>
      <c r="C57" s="20" t="n">
        <f aca="false">IF('Media Plan'!D57&lt;&gt;"",'Media Plan'!D57,Assumptions!$E$10*Baseline!T57)</f>
        <v>32582.1118829688</v>
      </c>
      <c r="D57" s="21" t="n">
        <f aca="false">IFERROR(C57/(Baseline!H57*(1+Assumptions!$E$13)*IFERROR(MAX(0,C57)/'History Y-1'!P57,1)^Assumptions!$E$14),0)</f>
        <v>68350.647924699</v>
      </c>
      <c r="E57" s="20" t="n">
        <f aca="false">IF('Media Plan'!J57&lt;&gt;"",'Media Plan'!J57,Assumptions!$E$11*Baseline!U57)</f>
        <v>16325.0287763534</v>
      </c>
      <c r="F57" s="21" t="n">
        <f aca="false">IFERROR(E57/(Baseline!I57*(1+Assumptions!$E$13)*IFERROR(MAX(0,E57)/'History Y-1'!Q57,1)^Assumptions!$E$15),0)</f>
        <v>44193.1579852739</v>
      </c>
      <c r="G57" s="20" t="n">
        <f aca="false">IF('Media Plan'!P57&lt;&gt;"",'Media Plan'!P57,Assumptions!$E$12*Baseline!V57)</f>
        <v>3855.52068377777</v>
      </c>
      <c r="H57" s="21" t="n">
        <f aca="false">IFERROR(G57/(Baseline!J57*(1+Assumptions!$E$13)*IFERROR(MAX(0,G57)/'History Y-1'!R57,1)^Assumptions!$E$16),0)</f>
        <v>16602.8546389536</v>
      </c>
      <c r="I57" s="21" t="n">
        <f aca="false">'History Y-1'!$F$58*(1+Assumptions!$E$6)*Baseline!Q57+'History Y-1'!$G$58*(1+Assumptions!$E$7)*Baseline!R57+J57</f>
        <v>150608.447302008</v>
      </c>
      <c r="J57" s="21" t="n">
        <f aca="false">'History Y-1'!$H$58*(1+Assumptions!$E$8)*Baseline!S57</f>
        <v>17965.2006148152</v>
      </c>
      <c r="K57" s="55" t="n">
        <f aca="false">D57+F57+H57+I57</f>
        <v>279755.107850934</v>
      </c>
      <c r="L57" s="21" t="n">
        <f aca="false">K57*Baseline!B57*(1+Assumptions!$E$18)*(1+Calendar!G57)</f>
        <v>6380.32025650791</v>
      </c>
      <c r="M57" s="20" t="n">
        <f aca="false">L57*Baseline!C57*(1+Assumptions!$E$19)</f>
        <v>498127.450599541</v>
      </c>
      <c r="N57" s="31" t="n">
        <f aca="false">MAX(0,MIN(0.9,Baseline!E57+Assumptions!$E$20))</f>
        <v>0.066088875518101</v>
      </c>
      <c r="O57" s="31" t="n">
        <f aca="false">MAX(0,Baseline!F57+Assumptions!$E$21)</f>
        <v>0.248966830327399</v>
      </c>
      <c r="P57" s="49" t="n">
        <f aca="false">M57*O57</f>
        <v>124017.212474836</v>
      </c>
      <c r="Q57" s="49" t="n">
        <f aca="false">M57-P57</f>
        <v>374110.238124706</v>
      </c>
      <c r="R57" s="21" t="n">
        <f aca="false">L57*Baseline!D57</f>
        <v>12270.4346739117</v>
      </c>
      <c r="S57" s="21" t="n">
        <f aca="false">IFERROR(P57/(Baseline!C57*(1+Assumptions!$E$19)),0)</f>
        <v>1588.48811073647</v>
      </c>
      <c r="T57" s="20" t="n">
        <f aca="false">Q57/(1-N57)*(1-Assumptions!$E$23)</f>
        <v>152222.076341852</v>
      </c>
      <c r="U57" s="20" t="n">
        <f aca="false">P57/(1-N57)*(1-Assumptions!$E$23)*Assumptions!$E$24</f>
        <v>2018.45933751273</v>
      </c>
      <c r="V57" s="49" t="n">
        <f aca="false">Q57-T57-U57</f>
        <v>219869.702445341</v>
      </c>
      <c r="W57" s="20" t="n">
        <f aca="false">T57*Assumptions!$E$25+L57*(Assumptions!$E$27-Assumptions!$E$28+Assumptions!$E$29+Assumptions!$E$36*Assumptions!$E$37)+R57*Assumptions!$E$30+S57*(Assumptions!$E$31+Assumptions!$E$32)+M57*(Assumptions!$E$33+Assumptions!$E$38)+IFERROR(M57*J57/K57,0)*Assumptions!$E$35*Assumptions!$E$34</f>
        <v>55613.4126885355</v>
      </c>
      <c r="X57" s="49" t="n">
        <f aca="false">V57-W57</f>
        <v>164256.289756806</v>
      </c>
      <c r="Y57" s="49" t="n">
        <f aca="false">C57+E57+G57</f>
        <v>52762.6613431</v>
      </c>
      <c r="Z57" s="49" t="n">
        <f aca="false">X57-Y57</f>
        <v>111493.628413706</v>
      </c>
      <c r="AA57" s="20" t="n">
        <f aca="false">'Fixed Costs'!$G$31/52</f>
        <v>25332.6923076923</v>
      </c>
      <c r="AB57" s="49" t="n">
        <f aca="false">Z57-AA57</f>
        <v>86160.9361060134</v>
      </c>
      <c r="AC57" s="21" t="n">
        <f aca="false">L57*Baseline!G57</f>
        <v>2325.64000590196</v>
      </c>
    </row>
    <row r="58" customFormat="false" ht="15" hidden="false" customHeight="false" outlineLevel="0" collapsed="false">
      <c r="A58" s="60" t="s">
        <v>483</v>
      </c>
      <c r="B58" s="61"/>
      <c r="C58" s="63" t="n">
        <f aca="false">SUM(C6:C57)</f>
        <v>2200000</v>
      </c>
      <c r="D58" s="62" t="n">
        <f aca="false">SUM(D6:D57)</f>
        <v>4523980.09895603</v>
      </c>
      <c r="E58" s="63" t="n">
        <f aca="false">SUM(E6:E57)</f>
        <v>1100000</v>
      </c>
      <c r="F58" s="62" t="n">
        <f aca="false">SUM(F6:F57)</f>
        <v>2982538.19269214</v>
      </c>
      <c r="G58" s="63" t="n">
        <f aca="false">SUM(G6:G57)</f>
        <v>250000</v>
      </c>
      <c r="H58" s="62" t="n">
        <f aca="false">SUM(H6:H57)</f>
        <v>1040793.63382461</v>
      </c>
      <c r="I58" s="62" t="n">
        <f aca="false">SUM(I6:I57)</f>
        <v>10271618.84</v>
      </c>
      <c r="J58" s="62" t="n">
        <f aca="false">SUM(J6:J57)</f>
        <v>1178840.15</v>
      </c>
      <c r="K58" s="62" t="n">
        <f aca="false">SUM(K6:K57)</f>
        <v>18818930.7654728</v>
      </c>
      <c r="L58" s="62" t="n">
        <f aca="false">SUM(L6:L57)</f>
        <v>444481.160537445</v>
      </c>
      <c r="M58" s="63" t="n">
        <f aca="false">SUM(M6:M57)</f>
        <v>34097465.6744066</v>
      </c>
      <c r="N58" s="76"/>
      <c r="O58" s="76"/>
      <c r="P58" s="63" t="n">
        <f aca="false">SUM(P6:P57)</f>
        <v>8493560.48458944</v>
      </c>
      <c r="Q58" s="63" t="n">
        <f aca="false">SUM(Q6:Q57)</f>
        <v>25603905.1898172</v>
      </c>
      <c r="R58" s="62" t="n">
        <f aca="false">SUM(R6:R57)</f>
        <v>845044.144668223</v>
      </c>
      <c r="S58" s="62" t="n">
        <f aca="false">SUM(S6:S57)</f>
        <v>110538.06942012</v>
      </c>
      <c r="T58" s="63" t="n">
        <f aca="false">SUM(T6:T57)</f>
        <v>11225550.5354626</v>
      </c>
      <c r="U58" s="63" t="n">
        <f aca="false">SUM(U6:U57)</f>
        <v>148411.716782878</v>
      </c>
      <c r="V58" s="63" t="n">
        <f aca="false">SUM(V6:V57)</f>
        <v>14229942.9375717</v>
      </c>
      <c r="W58" s="63" t="n">
        <f aca="false">SUM(W6:W57)</f>
        <v>3867755.85482454</v>
      </c>
      <c r="X58" s="63" t="n">
        <f aca="false">SUM(X6:X57)</f>
        <v>10362187.0827471</v>
      </c>
      <c r="Y58" s="63" t="n">
        <f aca="false">SUM(Y6:Y57)</f>
        <v>3550000</v>
      </c>
      <c r="Z58" s="63" t="n">
        <f aca="false">SUM(Z6:Z57)</f>
        <v>6812187.08274713</v>
      </c>
      <c r="AA58" s="63" t="n">
        <f aca="false">SUM(AA6:AA57)</f>
        <v>1317300</v>
      </c>
      <c r="AB58" s="63" t="n">
        <f aca="false">SUM(AB6:AB57)</f>
        <v>5494887.08274713</v>
      </c>
      <c r="AC58" s="62" t="n">
        <f aca="false">SUM(AC6:AC57)</f>
        <v>168436.210230628</v>
      </c>
    </row>
  </sheetData>
  <sheetProtection sheet="true" formatColumns="false" formatRows="false"/>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C5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7.35" hidden="false" customHeight="false" outlineLevel="0" collapsed="false">
      <c r="A1" s="1" t="s">
        <v>810</v>
      </c>
    </row>
    <row r="2" customFormat="false" ht="15" hidden="false" customHeight="false" outlineLevel="0" collapsed="false">
      <c r="A2" s="2" t="s">
        <v>802</v>
      </c>
    </row>
    <row r="5" customFormat="false" ht="42" hidden="false" customHeight="true" outlineLevel="0" collapsed="false">
      <c r="A5" s="19" t="s">
        <v>410</v>
      </c>
      <c r="B5" s="19" t="s">
        <v>413</v>
      </c>
      <c r="C5" s="19" t="s">
        <v>803</v>
      </c>
      <c r="D5" s="19" t="s">
        <v>551</v>
      </c>
      <c r="E5" s="19" t="s">
        <v>804</v>
      </c>
      <c r="F5" s="19" t="s">
        <v>557</v>
      </c>
      <c r="G5" s="19" t="s">
        <v>805</v>
      </c>
      <c r="H5" s="19" t="s">
        <v>563</v>
      </c>
      <c r="I5" s="19" t="s">
        <v>806</v>
      </c>
      <c r="J5" s="19" t="s">
        <v>807</v>
      </c>
      <c r="K5" s="19" t="s">
        <v>663</v>
      </c>
      <c r="L5" s="19" t="s">
        <v>454</v>
      </c>
      <c r="M5" s="19" t="s">
        <v>601</v>
      </c>
      <c r="N5" s="19" t="s">
        <v>467</v>
      </c>
      <c r="O5" s="19" t="s">
        <v>468</v>
      </c>
      <c r="P5" s="19" t="s">
        <v>603</v>
      </c>
      <c r="Q5" s="19" t="s">
        <v>87</v>
      </c>
      <c r="R5" s="19" t="s">
        <v>456</v>
      </c>
      <c r="S5" s="19" t="s">
        <v>576</v>
      </c>
      <c r="T5" s="19" t="s">
        <v>604</v>
      </c>
      <c r="U5" s="19" t="s">
        <v>605</v>
      </c>
      <c r="V5" s="19" t="s">
        <v>606</v>
      </c>
      <c r="W5" s="19" t="s">
        <v>608</v>
      </c>
      <c r="X5" s="19" t="s">
        <v>596</v>
      </c>
      <c r="Y5" s="19" t="s">
        <v>808</v>
      </c>
      <c r="Z5" s="19" t="s">
        <v>89</v>
      </c>
      <c r="AA5" s="19" t="s">
        <v>490</v>
      </c>
      <c r="AB5" s="19" t="s">
        <v>90</v>
      </c>
      <c r="AC5" s="19" t="s">
        <v>91</v>
      </c>
    </row>
    <row r="6" customFormat="false" ht="15" hidden="false" customHeight="false" outlineLevel="0" collapsed="false">
      <c r="A6" s="13" t="n">
        <v>1</v>
      </c>
      <c r="B6" s="14" t="str">
        <f aca="false">Calendar!D6</f>
        <v>P1</v>
      </c>
      <c r="C6" s="20" t="n">
        <f aca="false">IF('Media Plan'!D6&lt;&gt;"",'Media Plan'!D6,Assumptions!$F$10*Baseline!T6)</f>
        <v>26702.5000227813</v>
      </c>
      <c r="D6" s="21" t="n">
        <f aca="false">IFERROR(C6/(Baseline!H6*(1+Assumptions!$F$13)*IFERROR(MAX(0,C6)/'History Y-1'!P6,1)^Assumptions!$F$14),0)</f>
        <v>57057.3657103281</v>
      </c>
      <c r="E6" s="20" t="n">
        <f aca="false">IF('Media Plan'!J6&lt;&gt;"",'Media Plan'!J6,Assumptions!$F$11*Baseline!U6)</f>
        <v>12668.4948878581</v>
      </c>
      <c r="F6" s="21" t="n">
        <f aca="false">IFERROR(E6/(Baseline!I6*(1+Assumptions!$F$13)*IFERROR(MAX(0,E6)/'History Y-1'!Q6,1)^Assumptions!$F$15),0)</f>
        <v>34155.3594000083</v>
      </c>
      <c r="G6" s="20" t="n">
        <f aca="false">IF('Media Plan'!P6&lt;&gt;"",'Media Plan'!P6,Assumptions!$F$12*Baseline!V6)</f>
        <v>2445.8195531726</v>
      </c>
      <c r="H6" s="21" t="n">
        <f aca="false">IFERROR(G6/(Baseline!J6*(1+Assumptions!$F$13)*IFERROR(MAX(0,G6)/'History Y-1'!R6,1)^Assumptions!$F$16),0)</f>
        <v>9581.85865446942</v>
      </c>
      <c r="I6" s="21" t="n">
        <f aca="false">'History Y-1'!$F$58*(1+Assumptions!$F$6)*Baseline!Q6+'History Y-1'!$G$58*(1+Assumptions!$F$7)*Baseline!R6+J6</f>
        <v>149914.774605866</v>
      </c>
      <c r="J6" s="21" t="n">
        <f aca="false">'History Y-1'!$H$58*(1+Assumptions!$F$8)*Baseline!S6</f>
        <v>16502.2925919853</v>
      </c>
      <c r="K6" s="55" t="n">
        <f aca="false">D6+F6+H6+I6</f>
        <v>250709.358370671</v>
      </c>
      <c r="L6" s="21" t="n">
        <f aca="false">K6*Baseline!B6*(1+Assumptions!$F$18)*(1+Calendar!G6)</f>
        <v>5118.27669961223</v>
      </c>
      <c r="M6" s="20" t="n">
        <f aca="false">L6*Baseline!C6*(1+Assumptions!$F$19)</f>
        <v>385718.78585941</v>
      </c>
      <c r="N6" s="31" t="n">
        <f aca="false">MAX(0,MIN(0.9,Baseline!E6+Assumptions!$F$20))</f>
        <v>0.097110324454184</v>
      </c>
      <c r="O6" s="31" t="n">
        <f aca="false">MAX(0,Baseline!F6+Assumptions!$F$21)</f>
        <v>0.269153851431718</v>
      </c>
      <c r="P6" s="49" t="n">
        <f aca="false">M6*O6</f>
        <v>103817.696783626</v>
      </c>
      <c r="Q6" s="49" t="n">
        <f aca="false">M6-P6</f>
        <v>281901.089075784</v>
      </c>
      <c r="R6" s="21" t="n">
        <f aca="false">L6*Baseline!D6</f>
        <v>9784.75784044586</v>
      </c>
      <c r="S6" s="21" t="n">
        <f aca="false">IFERROR(P6/(Baseline!C6*(1+Assumptions!$F$19)),0)</f>
        <v>1377.60388639385</v>
      </c>
      <c r="T6" s="20" t="n">
        <f aca="false">Q6/(1-N6)*(1-Assumptions!$F$23)</f>
        <v>118643.968083964</v>
      </c>
      <c r="U6" s="20" t="n">
        <f aca="false">P6/(1-N6)*(1-Assumptions!$F$23)*Assumptions!$F$24</f>
        <v>3058.56940137791</v>
      </c>
      <c r="V6" s="49" t="n">
        <f aca="false">Q6-T6-U6</f>
        <v>160198.551590443</v>
      </c>
      <c r="W6" s="20" t="n">
        <f aca="false">T6*Assumptions!$F$25+L6*(Assumptions!$F$27-Assumptions!$F$28+Assumptions!$F$29+Assumptions!$F$36*Assumptions!$F$37)+R6*Assumptions!$F$30+S6*(Assumptions!$F$31+Assumptions!$F$32)+M6*(Assumptions!$F$33+Assumptions!$F$38)+IFERROR(M6*J6/K6,0)*Assumptions!$F$35*Assumptions!$F$34</f>
        <v>50914.1571349343</v>
      </c>
      <c r="X6" s="49" t="n">
        <f aca="false">V6-W6</f>
        <v>109284.394455508</v>
      </c>
      <c r="Y6" s="49" t="n">
        <f aca="false">C6+E6+G6</f>
        <v>41816.814463812</v>
      </c>
      <c r="Z6" s="49" t="n">
        <f aca="false">X6-Y6</f>
        <v>67467.5799916964</v>
      </c>
      <c r="AA6" s="20" t="n">
        <f aca="false">'Fixed Costs'!$G$31/52</f>
        <v>25332.6923076923</v>
      </c>
      <c r="AB6" s="49" t="n">
        <f aca="false">Z6-AA6</f>
        <v>42134.8876840041</v>
      </c>
      <c r="AC6" s="21" t="n">
        <f aca="false">L6*Baseline!G6</f>
        <v>1827.08902106559</v>
      </c>
    </row>
    <row r="7" customFormat="false" ht="15" hidden="false" customHeight="false" outlineLevel="0" collapsed="false">
      <c r="A7" s="13" t="n">
        <v>2</v>
      </c>
      <c r="B7" s="14" t="str">
        <f aca="false">Calendar!D7</f>
        <v>P1</v>
      </c>
      <c r="C7" s="20" t="n">
        <f aca="false">IF('Media Plan'!D7&lt;&gt;"",'Media Plan'!D7,Assumptions!$F$10*Baseline!T7)</f>
        <v>28333.9050397452</v>
      </c>
      <c r="D7" s="21" t="n">
        <f aca="false">IFERROR(C7/(Baseline!H7*(1+Assumptions!$F$13)*IFERROR(MAX(0,C7)/'History Y-1'!P7,1)^Assumptions!$F$14),0)</f>
        <v>62104.3029034831</v>
      </c>
      <c r="E7" s="20" t="n">
        <f aca="false">IF('Media Plan'!J7&lt;&gt;"",'Media Plan'!J7,Assumptions!$F$11*Baseline!U7)</f>
        <v>13977.0789631086</v>
      </c>
      <c r="F7" s="21" t="n">
        <f aca="false">IFERROR(E7/(Baseline!I7*(1+Assumptions!$F$13)*IFERROR(MAX(0,E7)/'History Y-1'!Q7,1)^Assumptions!$F$15),0)</f>
        <v>37885.3198457491</v>
      </c>
      <c r="G7" s="20" t="n">
        <f aca="false">IF('Media Plan'!P7&lt;&gt;"",'Media Plan'!P7,Assumptions!$F$12*Baseline!V7)</f>
        <v>2468.09676470808</v>
      </c>
      <c r="H7" s="21" t="n">
        <f aca="false">IFERROR(G7/(Baseline!J7*(1+Assumptions!$F$13)*IFERROR(MAX(0,G7)/'History Y-1'!R7,1)^Assumptions!$F$16),0)</f>
        <v>9919.7874763891</v>
      </c>
      <c r="I7" s="21" t="n">
        <f aca="false">'History Y-1'!$F$58*(1+Assumptions!$F$6)*Baseline!Q7+'History Y-1'!$G$58*(1+Assumptions!$F$7)*Baseline!R7+J7</f>
        <v>154933.514093678</v>
      </c>
      <c r="J7" s="21" t="n">
        <f aca="false">'History Y-1'!$H$58*(1+Assumptions!$F$8)*Baseline!S7</f>
        <v>18044.3286581344</v>
      </c>
      <c r="K7" s="55" t="n">
        <f aca="false">D7+F7+H7+I7</f>
        <v>264842.924319299</v>
      </c>
      <c r="L7" s="21" t="n">
        <f aca="false">K7*Baseline!B7*(1+Assumptions!$F$18)*(1+Calendar!G7)</f>
        <v>5492.06672804601</v>
      </c>
      <c r="M7" s="20" t="n">
        <f aca="false">L7*Baseline!C7*(1+Assumptions!$F$19)</f>
        <v>413155.680595572</v>
      </c>
      <c r="N7" s="31" t="n">
        <f aca="false">MAX(0,MIN(0.9,Baseline!E7+Assumptions!$F$20))</f>
        <v>0.0963282292155085</v>
      </c>
      <c r="O7" s="31" t="n">
        <f aca="false">MAX(0,Baseline!F7+Assumptions!$F$21)</f>
        <v>0.275498513514979</v>
      </c>
      <c r="P7" s="49" t="n">
        <f aca="false">M7*O7</f>
        <v>113823.775854349</v>
      </c>
      <c r="Q7" s="49" t="n">
        <f aca="false">M7-P7</f>
        <v>299331.904741223</v>
      </c>
      <c r="R7" s="21" t="n">
        <f aca="false">L7*Baseline!D7</f>
        <v>10613.6773349889</v>
      </c>
      <c r="S7" s="21" t="n">
        <f aca="false">IFERROR(P7/(Baseline!C7*(1+Assumptions!$F$19)),0)</f>
        <v>1513.05621970175</v>
      </c>
      <c r="T7" s="20" t="n">
        <f aca="false">Q7/(1-N7)*(1-Assumptions!$F$23)</f>
        <v>125871.060133836</v>
      </c>
      <c r="U7" s="20" t="n">
        <f aca="false">P7/(1-N7)*(1-Assumptions!$F$23)*Assumptions!$F$24</f>
        <v>3350.45592394381</v>
      </c>
      <c r="V7" s="49" t="n">
        <f aca="false">Q7-T7-U7</f>
        <v>170110.388683443</v>
      </c>
      <c r="W7" s="20" t="n">
        <f aca="false">T7*Assumptions!$F$25+L7*(Assumptions!$F$27-Assumptions!$F$28+Assumptions!$F$29+Assumptions!$F$36*Assumptions!$F$37)+R7*Assumptions!$F$30+S7*(Assumptions!$F$31+Assumptions!$F$32)+M7*(Assumptions!$F$33+Assumptions!$F$38)+IFERROR(M7*J7/K7,0)*Assumptions!$F$35*Assumptions!$F$34</f>
        <v>54921.531482745</v>
      </c>
      <c r="X7" s="49" t="n">
        <f aca="false">V7-W7</f>
        <v>115188.857200698</v>
      </c>
      <c r="Y7" s="49" t="n">
        <f aca="false">C7+E7+G7</f>
        <v>44779.080767562</v>
      </c>
      <c r="Z7" s="49" t="n">
        <f aca="false">X7-Y7</f>
        <v>70409.7764331362</v>
      </c>
      <c r="AA7" s="20" t="n">
        <f aca="false">'Fixed Costs'!$G$31/52</f>
        <v>25332.6923076923</v>
      </c>
      <c r="AB7" s="49" t="n">
        <f aca="false">Z7-AA7</f>
        <v>45077.0841254439</v>
      </c>
      <c r="AC7" s="21" t="n">
        <f aca="false">L7*Baseline!G7</f>
        <v>1978.96065840293</v>
      </c>
    </row>
    <row r="8" customFormat="false" ht="15" hidden="false" customHeight="false" outlineLevel="0" collapsed="false">
      <c r="A8" s="13" t="n">
        <v>3</v>
      </c>
      <c r="B8" s="14" t="str">
        <f aca="false">Calendar!D8</f>
        <v>P1</v>
      </c>
      <c r="C8" s="20" t="n">
        <f aca="false">IF('Media Plan'!D8&lt;&gt;"",'Media Plan'!D8,Assumptions!$F$10*Baseline!T8)</f>
        <v>28969.8090827483</v>
      </c>
      <c r="D8" s="21" t="n">
        <f aca="false">IFERROR(C8/(Baseline!H8*(1+Assumptions!$F$13)*IFERROR(MAX(0,C8)/'History Y-1'!P8,1)^Assumptions!$F$14),0)</f>
        <v>63055.9401360787</v>
      </c>
      <c r="E8" s="20" t="n">
        <f aca="false">IF('Media Plan'!J8&lt;&gt;"",'Media Plan'!J8,Assumptions!$F$11*Baseline!U8)</f>
        <v>14075.3623553016</v>
      </c>
      <c r="F8" s="21" t="n">
        <f aca="false">IFERROR(E8/(Baseline!I8*(1+Assumptions!$F$13)*IFERROR(MAX(0,E8)/'History Y-1'!Q8,1)^Assumptions!$F$15),0)</f>
        <v>37113.5225218946</v>
      </c>
      <c r="G8" s="20" t="n">
        <f aca="false">IF('Media Plan'!P8&lt;&gt;"",'Media Plan'!P8,Assumptions!$F$12*Baseline!V8)</f>
        <v>2519.12839023577</v>
      </c>
      <c r="H8" s="21" t="n">
        <f aca="false">IFERROR(G8/(Baseline!J8*(1+Assumptions!$F$13)*IFERROR(MAX(0,G8)/'History Y-1'!R8,1)^Assumptions!$F$16),0)</f>
        <v>10135.367393591</v>
      </c>
      <c r="I8" s="21" t="n">
        <f aca="false">'History Y-1'!$F$58*(1+Assumptions!$F$6)*Baseline!Q8+'History Y-1'!$G$58*(1+Assumptions!$F$7)*Baseline!R8+J8</f>
        <v>157072.50932104</v>
      </c>
      <c r="J8" s="21" t="n">
        <f aca="false">'History Y-1'!$H$58*(1+Assumptions!$F$8)*Baseline!S8</f>
        <v>18681.2896574653</v>
      </c>
      <c r="K8" s="55" t="n">
        <f aca="false">D8+F8+H8+I8</f>
        <v>267377.339372605</v>
      </c>
      <c r="L8" s="21" t="n">
        <f aca="false">K8*Baseline!B8*(1+Assumptions!$F$18)*(1+Calendar!G8)</f>
        <v>5604.5171347624</v>
      </c>
      <c r="M8" s="20" t="n">
        <f aca="false">L8*Baseline!C8*(1+Assumptions!$F$19)</f>
        <v>427919.806388553</v>
      </c>
      <c r="N8" s="31" t="n">
        <f aca="false">MAX(0,MIN(0.9,Baseline!E8+Assumptions!$F$20))</f>
        <v>0.102500023906191</v>
      </c>
      <c r="O8" s="31" t="n">
        <f aca="false">MAX(0,Baseline!F8+Assumptions!$F$21)</f>
        <v>0.268393127812901</v>
      </c>
      <c r="P8" s="49" t="n">
        <f aca="false">M8*O8</f>
        <v>114850.735289715</v>
      </c>
      <c r="Q8" s="49" t="n">
        <f aca="false">M8-P8</f>
        <v>313069.071098839</v>
      </c>
      <c r="R8" s="21" t="n">
        <f aca="false">L8*Baseline!D8</f>
        <v>10600.9823978281</v>
      </c>
      <c r="S8" s="21" t="n">
        <f aca="false">IFERROR(P8/(Baseline!C8*(1+Assumptions!$F$19)),0)</f>
        <v>1504.21388367988</v>
      </c>
      <c r="T8" s="20" t="n">
        <f aca="false">Q8/(1-N8)*(1-Assumptions!$F$23)</f>
        <v>132552.924998768</v>
      </c>
      <c r="U8" s="20" t="n">
        <f aca="false">P8/(1-N8)*(1-Assumptions!$F$23)*Assumptions!$F$24</f>
        <v>3403.93274660889</v>
      </c>
      <c r="V8" s="49" t="n">
        <f aca="false">Q8-T8-U8</f>
        <v>177112.213353462</v>
      </c>
      <c r="W8" s="20" t="n">
        <f aca="false">T8*Assumptions!$F$25+L8*(Assumptions!$F$27-Assumptions!$F$28+Assumptions!$F$29+Assumptions!$F$36*Assumptions!$F$37)+R8*Assumptions!$F$30+S8*(Assumptions!$F$31+Assumptions!$F$32)+M8*(Assumptions!$F$33+Assumptions!$F$38)+IFERROR(M8*J8/K8,0)*Assumptions!$F$35*Assumptions!$F$34</f>
        <v>55980.6531896376</v>
      </c>
      <c r="X8" s="49" t="n">
        <f aca="false">V8-W8</f>
        <v>121131.560163824</v>
      </c>
      <c r="Y8" s="49" t="n">
        <f aca="false">C8+E8+G8</f>
        <v>45564.2998282856</v>
      </c>
      <c r="Z8" s="49" t="n">
        <f aca="false">X8-Y8</f>
        <v>75567.2603355387</v>
      </c>
      <c r="AA8" s="20" t="n">
        <f aca="false">'Fixed Costs'!$G$31/52</f>
        <v>25332.6923076923</v>
      </c>
      <c r="AB8" s="49" t="n">
        <f aca="false">Z8-AA8</f>
        <v>50234.5680278463</v>
      </c>
      <c r="AC8" s="21" t="n">
        <f aca="false">L8*Baseline!G8</f>
        <v>2017.02474741724</v>
      </c>
    </row>
    <row r="9" customFormat="false" ht="15" hidden="false" customHeight="false" outlineLevel="0" collapsed="false">
      <c r="A9" s="13" t="n">
        <v>4</v>
      </c>
      <c r="B9" s="14" t="str">
        <f aca="false">Calendar!D9</f>
        <v>P1</v>
      </c>
      <c r="C9" s="20" t="n">
        <f aca="false">IF('Media Plan'!D9&lt;&gt;"",'Media Plan'!D9,Assumptions!$F$10*Baseline!T9)</f>
        <v>26566.7070163759</v>
      </c>
      <c r="D9" s="21" t="n">
        <f aca="false">IFERROR(C9/(Baseline!H9*(1+Assumptions!$F$13)*IFERROR(MAX(0,C9)/'History Y-1'!P9,1)^Assumptions!$F$14),0)</f>
        <v>54989.7627766225</v>
      </c>
      <c r="E9" s="20" t="n">
        <f aca="false">IF('Media Plan'!J9&lt;&gt;"",'Media Plan'!J9,Assumptions!$F$11*Baseline!U9)</f>
        <v>12910.8066214635</v>
      </c>
      <c r="F9" s="21" t="n">
        <f aca="false">IFERROR(E9/(Baseline!I9*(1+Assumptions!$F$13)*IFERROR(MAX(0,E9)/'History Y-1'!Q9,1)^Assumptions!$F$15),0)</f>
        <v>34384.4307764324</v>
      </c>
      <c r="G9" s="20" t="n">
        <f aca="false">IF('Media Plan'!P9&lt;&gt;"",'Media Plan'!P9,Assumptions!$F$12*Baseline!V9)</f>
        <v>2370.7945555176</v>
      </c>
      <c r="H9" s="21" t="n">
        <f aca="false">IFERROR(G9/(Baseline!J9*(1+Assumptions!$F$13)*IFERROR(MAX(0,G9)/'History Y-1'!R9,1)^Assumptions!$F$16),0)</f>
        <v>9271.79934575183</v>
      </c>
      <c r="I9" s="21" t="n">
        <f aca="false">'History Y-1'!$F$58*(1+Assumptions!$F$6)*Baseline!Q9+'History Y-1'!$G$58*(1+Assumptions!$F$7)*Baseline!R9+J9</f>
        <v>146733.685791243</v>
      </c>
      <c r="J9" s="21" t="n">
        <f aca="false">'History Y-1'!$H$58*(1+Assumptions!$F$8)*Baseline!S9</f>
        <v>16802.7441146368</v>
      </c>
      <c r="K9" s="55" t="n">
        <f aca="false">D9+F9+H9+I9</f>
        <v>245379.67869005</v>
      </c>
      <c r="L9" s="21" t="n">
        <f aca="false">K9*Baseline!B9*(1+Assumptions!$F$18)*(1+Calendar!G9)</f>
        <v>5009.71389052369</v>
      </c>
      <c r="M9" s="20" t="n">
        <f aca="false">L9*Baseline!C9*(1+Assumptions!$F$19)</f>
        <v>383212.084157979</v>
      </c>
      <c r="N9" s="31" t="n">
        <f aca="false">MAX(0,MIN(0.9,Baseline!E9+Assumptions!$F$20))</f>
        <v>0.103361954433716</v>
      </c>
      <c r="O9" s="31" t="n">
        <f aca="false">MAX(0,Baseline!F9+Assumptions!$F$21)</f>
        <v>0.266372841126127</v>
      </c>
      <c r="P9" s="49" t="n">
        <f aca="false">M9*O9</f>
        <v>102077.291611026</v>
      </c>
      <c r="Q9" s="49" t="n">
        <f aca="false">M9-P9</f>
        <v>281134.792546954</v>
      </c>
      <c r="R9" s="21" t="n">
        <f aca="false">L9*Baseline!D9</f>
        <v>9637.73928794012</v>
      </c>
      <c r="S9" s="21" t="n">
        <f aca="false">IFERROR(P9/(Baseline!C9*(1+Assumptions!$F$19)),0)</f>
        <v>1334.45172224782</v>
      </c>
      <c r="T9" s="20" t="n">
        <f aca="false">Q9/(1-N9)*(1-Assumptions!$F$23)</f>
        <v>119146.428925366</v>
      </c>
      <c r="U9" s="20" t="n">
        <f aca="false">P9/(1-N9)*(1-Assumptions!$F$23)*Assumptions!$F$24</f>
        <v>3028.26315510449</v>
      </c>
      <c r="V9" s="49" t="n">
        <f aca="false">Q9-T9-U9</f>
        <v>158960.100466483</v>
      </c>
      <c r="W9" s="20" t="n">
        <f aca="false">T9*Assumptions!$F$25+L9*(Assumptions!$F$27-Assumptions!$F$28+Assumptions!$F$29+Assumptions!$F$36*Assumptions!$F$37)+R9*Assumptions!$F$30+S9*(Assumptions!$F$31+Assumptions!$F$32)+M9*(Assumptions!$F$33+Assumptions!$F$38)+IFERROR(M9*J9/K9,0)*Assumptions!$F$35*Assumptions!$F$34</f>
        <v>50130.0690616378</v>
      </c>
      <c r="X9" s="49" t="n">
        <f aca="false">V9-W9</f>
        <v>108830.031404845</v>
      </c>
      <c r="Y9" s="49" t="n">
        <f aca="false">C9+E9+G9</f>
        <v>41848.308193357</v>
      </c>
      <c r="Z9" s="49" t="n">
        <f aca="false">X9-Y9</f>
        <v>66981.7232114882</v>
      </c>
      <c r="AA9" s="20" t="n">
        <f aca="false">'Fixed Costs'!$G$31/52</f>
        <v>25332.6923076923</v>
      </c>
      <c r="AB9" s="49" t="n">
        <f aca="false">Z9-AA9</f>
        <v>41649.0309037959</v>
      </c>
      <c r="AC9" s="21" t="n">
        <f aca="false">L9*Baseline!G9</f>
        <v>1708.16032384006</v>
      </c>
    </row>
    <row r="10" customFormat="false" ht="15" hidden="false" customHeight="false" outlineLevel="0" collapsed="false">
      <c r="A10" s="13" t="n">
        <v>5</v>
      </c>
      <c r="B10" s="14" t="str">
        <f aca="false">Calendar!D10</f>
        <v>P2</v>
      </c>
      <c r="C10" s="20" t="n">
        <f aca="false">IF('Media Plan'!D10&lt;&gt;"",'Media Plan'!D10,Assumptions!$F$10*Baseline!T10)</f>
        <v>27342.4205568743</v>
      </c>
      <c r="D10" s="21" t="n">
        <f aca="false">IFERROR(C10/(Baseline!H10*(1+Assumptions!$F$13)*IFERROR(MAX(0,C10)/'History Y-1'!P10,1)^Assumptions!$F$14),0)</f>
        <v>60930.680688977</v>
      </c>
      <c r="E10" s="20" t="n">
        <f aca="false">IF('Media Plan'!J10&lt;&gt;"",'Media Plan'!J10,Assumptions!$F$11*Baseline!U10)</f>
        <v>13712.9389450017</v>
      </c>
      <c r="F10" s="21" t="n">
        <f aca="false">IFERROR(E10/(Baseline!I10*(1+Assumptions!$F$13)*IFERROR(MAX(0,E10)/'History Y-1'!Q10,1)^Assumptions!$F$15),0)</f>
        <v>36415.8116523109</v>
      </c>
      <c r="G10" s="20" t="n">
        <f aca="false">IF('Media Plan'!P10&lt;&gt;"",'Media Plan'!P10,Assumptions!$F$12*Baseline!V10)</f>
        <v>2513.45249928427</v>
      </c>
      <c r="H10" s="21" t="n">
        <f aca="false">IFERROR(G10/(Baseline!J10*(1+Assumptions!$F$13)*IFERROR(MAX(0,G10)/'History Y-1'!R10,1)^Assumptions!$F$16),0)</f>
        <v>9962.72497078213</v>
      </c>
      <c r="I10" s="21" t="n">
        <f aca="false">'History Y-1'!$F$58*(1+Assumptions!$F$6)*Baseline!Q10+'History Y-1'!$G$58*(1+Assumptions!$F$7)*Baseline!R10+J10</f>
        <v>148922.965483861</v>
      </c>
      <c r="J10" s="21" t="n">
        <f aca="false">'History Y-1'!$H$58*(1+Assumptions!$F$8)*Baseline!S10</f>
        <v>17505.4961774224</v>
      </c>
      <c r="K10" s="55" t="n">
        <f aca="false">D10+F10+H10+I10</f>
        <v>256232.182795931</v>
      </c>
      <c r="L10" s="21" t="n">
        <f aca="false">K10*Baseline!B10*(1+Assumptions!$F$18)*(1+Calendar!G10)</f>
        <v>5241.52850932937</v>
      </c>
      <c r="M10" s="20" t="n">
        <f aca="false">L10*Baseline!C10*(1+Assumptions!$F$19)</f>
        <v>387556.866968506</v>
      </c>
      <c r="N10" s="31" t="n">
        <f aca="false">MAX(0,MIN(0.9,Baseline!E10+Assumptions!$F$20))</f>
        <v>0.10290634071471</v>
      </c>
      <c r="O10" s="31" t="n">
        <f aca="false">MAX(0,Baseline!F10+Assumptions!$F$21)</f>
        <v>0.277005503131197</v>
      </c>
      <c r="P10" s="49" t="n">
        <f aca="false">M10*O10</f>
        <v>107355.384926561</v>
      </c>
      <c r="Q10" s="49" t="n">
        <f aca="false">M10-P10</f>
        <v>280201.482041945</v>
      </c>
      <c r="R10" s="21" t="n">
        <f aca="false">L10*Baseline!D10</f>
        <v>9866.27908463133</v>
      </c>
      <c r="S10" s="21" t="n">
        <f aca="false">IFERROR(P10/(Baseline!C10*(1+Assumptions!$F$19)),0)</f>
        <v>1451.93224190329</v>
      </c>
      <c r="T10" s="20" t="n">
        <f aca="false">Q10/(1-N10)*(1-Assumptions!$F$23)</f>
        <v>118690.576032795</v>
      </c>
      <c r="U10" s="20" t="n">
        <f aca="false">P10/(1-N10)*(1-Assumptions!$F$23)*Assumptions!$F$24</f>
        <v>3183.2275364889</v>
      </c>
      <c r="V10" s="49" t="n">
        <f aca="false">Q10-T10-U10</f>
        <v>158327.678472661</v>
      </c>
      <c r="W10" s="20" t="n">
        <f aca="false">T10*Assumptions!$F$25+L10*(Assumptions!$F$27-Assumptions!$F$28+Assumptions!$F$29+Assumptions!$F$36*Assumptions!$F$37)+R10*Assumptions!$F$30+S10*(Assumptions!$F$31+Assumptions!$F$32)+M10*(Assumptions!$F$33+Assumptions!$F$38)+IFERROR(M10*J10/K10,0)*Assumptions!$F$35*Assumptions!$F$34</f>
        <v>52015.474038679</v>
      </c>
      <c r="X10" s="49" t="n">
        <f aca="false">V10-W10</f>
        <v>106312.204433982</v>
      </c>
      <c r="Y10" s="49" t="n">
        <f aca="false">C10+E10+G10</f>
        <v>43568.8120011603</v>
      </c>
      <c r="Z10" s="49" t="n">
        <f aca="false">X10-Y10</f>
        <v>62743.3924328214</v>
      </c>
      <c r="AA10" s="20" t="n">
        <f aca="false">'Fixed Costs'!$G$31/52</f>
        <v>25332.6923076923</v>
      </c>
      <c r="AB10" s="49" t="n">
        <f aca="false">Z10-AA10</f>
        <v>37410.7001251291</v>
      </c>
      <c r="AC10" s="21" t="n">
        <f aca="false">L10*Baseline!G10</f>
        <v>1869.42744682769</v>
      </c>
    </row>
    <row r="11" customFormat="false" ht="15" hidden="false" customHeight="false" outlineLevel="0" collapsed="false">
      <c r="A11" s="13" t="n">
        <v>6</v>
      </c>
      <c r="B11" s="14" t="str">
        <f aca="false">Calendar!D11</f>
        <v>P2</v>
      </c>
      <c r="C11" s="20" t="n">
        <f aca="false">IF('Media Plan'!D11&lt;&gt;"",'Media Plan'!D11,Assumptions!$F$10*Baseline!T11)</f>
        <v>27847.8381916586</v>
      </c>
      <c r="D11" s="21" t="n">
        <f aca="false">IFERROR(C11/(Baseline!H11*(1+Assumptions!$F$13)*IFERROR(MAX(0,C11)/'History Y-1'!P11,1)^Assumptions!$F$14),0)</f>
        <v>59566.8388845235</v>
      </c>
      <c r="E11" s="20" t="n">
        <f aca="false">IF('Media Plan'!J11&lt;&gt;"",'Media Plan'!J11,Assumptions!$F$11*Baseline!U11)</f>
        <v>13510.2137553952</v>
      </c>
      <c r="F11" s="21" t="n">
        <f aca="false">IFERROR(E11/(Baseline!I11*(1+Assumptions!$F$13)*IFERROR(MAX(0,E11)/'History Y-1'!Q11,1)^Assumptions!$F$15),0)</f>
        <v>36165.9367373788</v>
      </c>
      <c r="G11" s="20" t="n">
        <f aca="false">IF('Media Plan'!P11&lt;&gt;"",'Media Plan'!P11,Assumptions!$F$12*Baseline!V11)</f>
        <v>2389.3923237802</v>
      </c>
      <c r="H11" s="21" t="n">
        <f aca="false">IFERROR(G11/(Baseline!J11*(1+Assumptions!$F$13)*IFERROR(MAX(0,G11)/'History Y-1'!R11,1)^Assumptions!$F$16),0)</f>
        <v>9643.10254432457</v>
      </c>
      <c r="I11" s="21" t="n">
        <f aca="false">'History Y-1'!$F$58*(1+Assumptions!$F$6)*Baseline!Q11+'History Y-1'!$G$58*(1+Assumptions!$F$7)*Baseline!R11+J11</f>
        <v>152122.494834704</v>
      </c>
      <c r="J11" s="21" t="n">
        <f aca="false">'History Y-1'!$H$58*(1+Assumptions!$F$8)*Baseline!S11</f>
        <v>17922.3392496079</v>
      </c>
      <c r="K11" s="55" t="n">
        <f aca="false">D11+F11+H11+I11</f>
        <v>257498.373000931</v>
      </c>
      <c r="L11" s="21" t="n">
        <f aca="false">K11*Baseline!B11*(1+Assumptions!$F$18)*(1+Calendar!G11)</f>
        <v>5486.09050520869</v>
      </c>
      <c r="M11" s="20" t="n">
        <f aca="false">L11*Baseline!C11*(1+Assumptions!$F$19)</f>
        <v>416740.672675831</v>
      </c>
      <c r="N11" s="31" t="n">
        <f aca="false">MAX(0,MIN(0.9,Baseline!E11+Assumptions!$F$20))</f>
        <v>0.0982325313472703</v>
      </c>
      <c r="O11" s="31" t="n">
        <f aca="false">MAX(0,Baseline!F11+Assumptions!$F$21)</f>
        <v>0.272710082310919</v>
      </c>
      <c r="P11" s="49" t="n">
        <f aca="false">M11*O11</f>
        <v>113649.383147733</v>
      </c>
      <c r="Q11" s="49" t="n">
        <f aca="false">M11-P11</f>
        <v>303091.289528098</v>
      </c>
      <c r="R11" s="21" t="n">
        <f aca="false">L11*Baseline!D11</f>
        <v>10635.3223827595</v>
      </c>
      <c r="S11" s="21" t="n">
        <f aca="false">IFERROR(P11/(Baseline!C11*(1+Assumptions!$F$19)),0)</f>
        <v>1496.11219324061</v>
      </c>
      <c r="T11" s="20" t="n">
        <f aca="false">Q11/(1-N11)*(1-Assumptions!$F$23)</f>
        <v>127721.052293838</v>
      </c>
      <c r="U11" s="20" t="n">
        <f aca="false">P11/(1-N11)*(1-Assumptions!$F$23)*Assumptions!$F$24</f>
        <v>3352.38705854657</v>
      </c>
      <c r="V11" s="49" t="n">
        <f aca="false">Q11-T11-U11</f>
        <v>172017.850175713</v>
      </c>
      <c r="W11" s="20" t="n">
        <f aca="false">T11*Assumptions!$F$25+L11*(Assumptions!$F$27-Assumptions!$F$28+Assumptions!$F$29+Assumptions!$F$36*Assumptions!$F$37)+R11*Assumptions!$F$30+S11*(Assumptions!$F$31+Assumptions!$F$32)+M11*(Assumptions!$F$33+Assumptions!$F$38)+IFERROR(M11*J11/K11,0)*Assumptions!$F$35*Assumptions!$F$34</f>
        <v>55023.9356666808</v>
      </c>
      <c r="X11" s="49" t="n">
        <f aca="false">V11-W11</f>
        <v>116993.914509032</v>
      </c>
      <c r="Y11" s="49" t="n">
        <f aca="false">C11+E11+G11</f>
        <v>43747.444270834</v>
      </c>
      <c r="Z11" s="49" t="n">
        <f aca="false">X11-Y11</f>
        <v>73246.4702381984</v>
      </c>
      <c r="AA11" s="20" t="n">
        <f aca="false">'Fixed Costs'!$G$31/52</f>
        <v>25332.6923076923</v>
      </c>
      <c r="AB11" s="49" t="n">
        <f aca="false">Z11-AA11</f>
        <v>47913.7779305061</v>
      </c>
      <c r="AC11" s="21" t="n">
        <f aca="false">L11*Baseline!G11</f>
        <v>1900.95990236403</v>
      </c>
    </row>
    <row r="12" customFormat="false" ht="15" hidden="false" customHeight="false" outlineLevel="0" collapsed="false">
      <c r="A12" s="13" t="n">
        <v>7</v>
      </c>
      <c r="B12" s="14" t="str">
        <f aca="false">Calendar!D12</f>
        <v>P2</v>
      </c>
      <c r="C12" s="20" t="n">
        <f aca="false">IF('Media Plan'!D12&lt;&gt;"",'Media Plan'!D12,Assumptions!$F$10*Baseline!T12)</f>
        <v>26654.8358745762</v>
      </c>
      <c r="D12" s="21" t="n">
        <f aca="false">IFERROR(C12/(Baseline!H12*(1+Assumptions!$F$13)*IFERROR(MAX(0,C12)/'History Y-1'!P12,1)^Assumptions!$F$14),0)</f>
        <v>58996.079888209</v>
      </c>
      <c r="E12" s="20" t="n">
        <f aca="false">IF('Media Plan'!J12&lt;&gt;"",'Media Plan'!J12,Assumptions!$F$11*Baseline!U12)</f>
        <v>14094.8978697096</v>
      </c>
      <c r="F12" s="21" t="n">
        <f aca="false">IFERROR(E12/(Baseline!I12*(1+Assumptions!$F$13)*IFERROR(MAX(0,E12)/'History Y-1'!Q12,1)^Assumptions!$F$15),0)</f>
        <v>37551.9090149063</v>
      </c>
      <c r="G12" s="20" t="n">
        <f aca="false">IF('Media Plan'!P12&lt;&gt;"",'Media Plan'!P12,Assumptions!$F$12*Baseline!V12)</f>
        <v>2391.91135676892</v>
      </c>
      <c r="H12" s="21" t="n">
        <f aca="false">IFERROR(G12/(Baseline!J12*(1+Assumptions!$F$13)*IFERROR(MAX(0,G12)/'History Y-1'!R12,1)^Assumptions!$F$16),0)</f>
        <v>10122.7276460156</v>
      </c>
      <c r="I12" s="21" t="n">
        <f aca="false">'History Y-1'!$F$58*(1+Assumptions!$F$6)*Baseline!Q12+'History Y-1'!$G$58*(1+Assumptions!$F$7)*Baseline!R12+J12</f>
        <v>155150.082208736</v>
      </c>
      <c r="J12" s="21" t="n">
        <f aca="false">'History Y-1'!$H$58*(1+Assumptions!$F$8)*Baseline!S12</f>
        <v>17870.5089053319</v>
      </c>
      <c r="K12" s="55" t="n">
        <f aca="false">D12+F12+H12+I12</f>
        <v>261820.798757867</v>
      </c>
      <c r="L12" s="21" t="n">
        <f aca="false">K12*Baseline!B12*(1+Assumptions!$F$18)*(1+Calendar!G12)</f>
        <v>5386.71482773409</v>
      </c>
      <c r="M12" s="20" t="n">
        <f aca="false">L12*Baseline!C12*(1+Assumptions!$F$19)</f>
        <v>401668.311955955</v>
      </c>
      <c r="N12" s="31" t="n">
        <f aca="false">MAX(0,MIN(0.9,Baseline!E12+Assumptions!$F$20))</f>
        <v>0.0996188438534107</v>
      </c>
      <c r="O12" s="31" t="n">
        <f aca="false">MAX(0,Baseline!F12+Assumptions!$F$21)</f>
        <v>0.274534122550686</v>
      </c>
      <c r="P12" s="49" t="n">
        <f aca="false">M12*O12</f>
        <v>110271.657579243</v>
      </c>
      <c r="Q12" s="49" t="n">
        <f aca="false">M12-P12</f>
        <v>291396.654376712</v>
      </c>
      <c r="R12" s="21" t="n">
        <f aca="false">L12*Baseline!D12</f>
        <v>10277.281541617</v>
      </c>
      <c r="S12" s="21" t="n">
        <f aca="false">IFERROR(P12/(Baseline!C12*(1+Assumptions!$F$19)),0)</f>
        <v>1478.83702866275</v>
      </c>
      <c r="T12" s="20" t="n">
        <f aca="false">Q12/(1-N12)*(1-Assumptions!$F$23)</f>
        <v>122982.059217066</v>
      </c>
      <c r="U12" s="20" t="n">
        <f aca="false">P12/(1-N12)*(1-Assumptions!$F$23)*Assumptions!$F$24</f>
        <v>3257.76041800049</v>
      </c>
      <c r="V12" s="49" t="n">
        <f aca="false">Q12-T12-U12</f>
        <v>165156.834741645</v>
      </c>
      <c r="W12" s="20" t="n">
        <f aca="false">T12*Assumptions!$F$25+L12*(Assumptions!$F$27-Assumptions!$F$28+Assumptions!$F$29+Assumptions!$F$36*Assumptions!$F$37)+R12*Assumptions!$F$30+S12*(Assumptions!$F$31+Assumptions!$F$32)+M12*(Assumptions!$F$33+Assumptions!$F$38)+IFERROR(M12*J12/K12,0)*Assumptions!$F$35*Assumptions!$F$34</f>
        <v>53625.6334309304</v>
      </c>
      <c r="X12" s="49" t="n">
        <f aca="false">V12-W12</f>
        <v>111531.201310715</v>
      </c>
      <c r="Y12" s="49" t="n">
        <f aca="false">C12+E12+G12</f>
        <v>43141.6451010547</v>
      </c>
      <c r="Z12" s="49" t="n">
        <f aca="false">X12-Y12</f>
        <v>68389.5562096599</v>
      </c>
      <c r="AA12" s="20" t="n">
        <f aca="false">'Fixed Costs'!$G$31/52</f>
        <v>25332.6923076923</v>
      </c>
      <c r="AB12" s="49" t="n">
        <f aca="false">Z12-AA12</f>
        <v>43056.8639019676</v>
      </c>
      <c r="AC12" s="21" t="n">
        <f aca="false">L12*Baseline!G12</f>
        <v>1856.43549201305</v>
      </c>
    </row>
    <row r="13" customFormat="false" ht="15" hidden="false" customHeight="false" outlineLevel="0" collapsed="false">
      <c r="A13" s="13" t="n">
        <v>8</v>
      </c>
      <c r="B13" s="14" t="str">
        <f aca="false">Calendar!D13</f>
        <v>P2</v>
      </c>
      <c r="C13" s="20" t="n">
        <f aca="false">IF('Media Plan'!D13&lt;&gt;"",'Media Plan'!D13,Assumptions!$F$10*Baseline!T13)</f>
        <v>26072.0411892322</v>
      </c>
      <c r="D13" s="21" t="n">
        <f aca="false">IFERROR(C13/(Baseline!H13*(1+Assumptions!$F$13)*IFERROR(MAX(0,C13)/'History Y-1'!P13,1)^Assumptions!$F$14),0)</f>
        <v>56098.5390846874</v>
      </c>
      <c r="E13" s="20" t="n">
        <f aca="false">IF('Media Plan'!J13&lt;&gt;"",'Media Plan'!J13,Assumptions!$F$11*Baseline!U13)</f>
        <v>13483.2972705492</v>
      </c>
      <c r="F13" s="21" t="n">
        <f aca="false">IFERROR(E13/(Baseline!I13*(1+Assumptions!$F$13)*IFERROR(MAX(0,E13)/'History Y-1'!Q13,1)^Assumptions!$F$15),0)</f>
        <v>36095.9717153467</v>
      </c>
      <c r="G13" s="20" t="n">
        <f aca="false">IF('Media Plan'!P13&lt;&gt;"",'Media Plan'!P13,Assumptions!$F$12*Baseline!V13)</f>
        <v>2463.91315120173</v>
      </c>
      <c r="H13" s="21" t="n">
        <f aca="false">IFERROR(G13/(Baseline!J13*(1+Assumptions!$F$13)*IFERROR(MAX(0,G13)/'History Y-1'!R13,1)^Assumptions!$F$16),0)</f>
        <v>9725.74067020466</v>
      </c>
      <c r="I13" s="21" t="n">
        <f aca="false">'History Y-1'!$F$58*(1+Assumptions!$F$6)*Baseline!Q13+'History Y-1'!$G$58*(1+Assumptions!$F$7)*Baseline!R13+J13</f>
        <v>147813.465134031</v>
      </c>
      <c r="J13" s="21" t="n">
        <f aca="false">'History Y-1'!$H$58*(1+Assumptions!$F$8)*Baseline!S13</f>
        <v>17684.3560643728</v>
      </c>
      <c r="K13" s="55" t="n">
        <f aca="false">D13+F13+H13+I13</f>
        <v>249733.71660427</v>
      </c>
      <c r="L13" s="21" t="n">
        <f aca="false">K13*Baseline!B13*(1+Assumptions!$F$18)*(1+Calendar!G13)</f>
        <v>5166.44118141353</v>
      </c>
      <c r="M13" s="20" t="n">
        <f aca="false">L13*Baseline!C13*(1+Assumptions!$F$19)</f>
        <v>390739.221342147</v>
      </c>
      <c r="N13" s="31" t="n">
        <f aca="false">MAX(0,MIN(0.9,Baseline!E13+Assumptions!$F$20))</f>
        <v>0.0994971979963994</v>
      </c>
      <c r="O13" s="31" t="n">
        <f aca="false">MAX(0,Baseline!F13+Assumptions!$F$21)</f>
        <v>0.269978271906444</v>
      </c>
      <c r="P13" s="49" t="n">
        <f aca="false">M13*O13</f>
        <v>105491.099744022</v>
      </c>
      <c r="Q13" s="49" t="n">
        <f aca="false">M13-P13</f>
        <v>285248.121598124</v>
      </c>
      <c r="R13" s="21" t="n">
        <f aca="false">L13*Baseline!D13</f>
        <v>9618.32574422093</v>
      </c>
      <c r="S13" s="21" t="n">
        <f aca="false">IFERROR(P13/(Baseline!C13*(1+Assumptions!$F$19)),0)</f>
        <v>1394.82686206431</v>
      </c>
      <c r="T13" s="20" t="n">
        <f aca="false">Q13/(1-N13)*(1-Assumptions!$F$23)</f>
        <v>120370.848337298</v>
      </c>
      <c r="U13" s="20" t="n">
        <f aca="false">P13/(1-N13)*(1-Assumptions!$F$23)*Assumptions!$F$24</f>
        <v>3116.10718694885</v>
      </c>
      <c r="V13" s="49" t="n">
        <f aca="false">Q13-T13-U13</f>
        <v>161761.166073877</v>
      </c>
      <c r="W13" s="20" t="n">
        <f aca="false">T13*Assumptions!$F$25+L13*(Assumptions!$F$27-Assumptions!$F$28+Assumptions!$F$29+Assumptions!$F$36*Assumptions!$F$37)+R13*Assumptions!$F$30+S13*(Assumptions!$F$31+Assumptions!$F$32)+M13*(Assumptions!$F$33+Assumptions!$F$38)+IFERROR(M13*J13/K13,0)*Assumptions!$F$35*Assumptions!$F$34</f>
        <v>51389.5421997432</v>
      </c>
      <c r="X13" s="49" t="n">
        <f aca="false">V13-W13</f>
        <v>110371.623874134</v>
      </c>
      <c r="Y13" s="49" t="n">
        <f aca="false">C13+E13+G13</f>
        <v>42019.2516109831</v>
      </c>
      <c r="Z13" s="49" t="n">
        <f aca="false">X13-Y13</f>
        <v>68352.3722631511</v>
      </c>
      <c r="AA13" s="20" t="n">
        <f aca="false">'Fixed Costs'!$G$31/52</f>
        <v>25332.6923076923</v>
      </c>
      <c r="AB13" s="49" t="n">
        <f aca="false">Z13-AA13</f>
        <v>43019.6799554588</v>
      </c>
      <c r="AC13" s="21" t="n">
        <f aca="false">L13*Baseline!G13</f>
        <v>1873.44992322231</v>
      </c>
    </row>
    <row r="14" customFormat="false" ht="15" hidden="false" customHeight="false" outlineLevel="0" collapsed="false">
      <c r="A14" s="13" t="n">
        <v>9</v>
      </c>
      <c r="B14" s="14" t="str">
        <f aca="false">Calendar!D14</f>
        <v>P3</v>
      </c>
      <c r="C14" s="20" t="n">
        <f aca="false">IF('Media Plan'!D14&lt;&gt;"",'Media Plan'!D14,Assumptions!$F$10*Baseline!T14)</f>
        <v>31649.7870050869</v>
      </c>
      <c r="D14" s="21" t="n">
        <f aca="false">IFERROR(C14/(Baseline!H14*(1+Assumptions!$F$13)*IFERROR(MAX(0,C14)/'History Y-1'!P14,1)^Assumptions!$F$14),0)</f>
        <v>67339.3930103837</v>
      </c>
      <c r="E14" s="20" t="n">
        <f aca="false">IF('Media Plan'!J14&lt;&gt;"",'Media Plan'!J14,Assumptions!$F$11*Baseline!U14)</f>
        <v>15523.680682368</v>
      </c>
      <c r="F14" s="21" t="n">
        <f aca="false">IFERROR(E14/(Baseline!I14*(1+Assumptions!$F$13)*IFERROR(MAX(0,E14)/'History Y-1'!Q14,1)^Assumptions!$F$15),0)</f>
        <v>41962.9060242786</v>
      </c>
      <c r="G14" s="20" t="n">
        <f aca="false">IF('Media Plan'!P14&lt;&gt;"",'Media Plan'!P14,Assumptions!$F$12*Baseline!V14)</f>
        <v>2698.20907391186</v>
      </c>
      <c r="H14" s="21" t="n">
        <f aca="false">IFERROR(G14/(Baseline!J14*(1+Assumptions!$F$13)*IFERROR(MAX(0,G14)/'History Y-1'!R14,1)^Assumptions!$F$16),0)</f>
        <v>10654.1632897751</v>
      </c>
      <c r="I14" s="21" t="n">
        <f aca="false">'History Y-1'!$F$58*(1+Assumptions!$F$6)*Baseline!Q14+'History Y-1'!$G$58*(1+Assumptions!$F$7)*Baseline!R14+J14</f>
        <v>175950.828062251</v>
      </c>
      <c r="J14" s="21" t="n">
        <f aca="false">'History Y-1'!$H$58*(1+Assumptions!$F$8)*Baseline!S14</f>
        <v>20456.8487731326</v>
      </c>
      <c r="K14" s="55" t="n">
        <f aca="false">D14+F14+H14+I14</f>
        <v>295907.290386689</v>
      </c>
      <c r="L14" s="21" t="n">
        <f aca="false">K14*Baseline!B14*(1+Assumptions!$F$18)*(1+Calendar!G14)</f>
        <v>6149.87825731912</v>
      </c>
      <c r="M14" s="20" t="n">
        <f aca="false">L14*Baseline!C14*(1+Assumptions!$F$19)</f>
        <v>460007.496080828</v>
      </c>
      <c r="N14" s="31" t="n">
        <f aca="false">MAX(0,MIN(0.9,Baseline!E14+Assumptions!$F$20))</f>
        <v>0.102405820674153</v>
      </c>
      <c r="O14" s="31" t="n">
        <f aca="false">MAX(0,Baseline!F14+Assumptions!$F$21)</f>
        <v>0.268287307330355</v>
      </c>
      <c r="P14" s="49" t="n">
        <f aca="false">M14*O14</f>
        <v>123414.172475304</v>
      </c>
      <c r="Q14" s="49" t="n">
        <f aca="false">M14-P14</f>
        <v>336593.323605524</v>
      </c>
      <c r="R14" s="21" t="n">
        <f aca="false">L14*Baseline!D14</f>
        <v>11763.995765266</v>
      </c>
      <c r="S14" s="21" t="n">
        <f aca="false">IFERROR(P14/(Baseline!C14*(1+Assumptions!$F$19)),0)</f>
        <v>1649.93427806564</v>
      </c>
      <c r="T14" s="20" t="n">
        <f aca="false">Q14/(1-N14)*(1-Assumptions!$F$23)</f>
        <v>142498.097599256</v>
      </c>
      <c r="U14" s="20" t="n">
        <f aca="false">P14/(1-N14)*(1-Assumptions!$F$23)*Assumptions!$F$24</f>
        <v>3657.3510206012</v>
      </c>
      <c r="V14" s="49" t="n">
        <f aca="false">Q14-T14-U14</f>
        <v>190437.874985666</v>
      </c>
      <c r="W14" s="20" t="n">
        <f aca="false">T14*Assumptions!$F$25+L14*(Assumptions!$F$27-Assumptions!$F$28+Assumptions!$F$29+Assumptions!$F$36*Assumptions!$F$37)+R14*Assumptions!$F$30+S14*(Assumptions!$F$31+Assumptions!$F$32)+M14*(Assumptions!$F$33+Assumptions!$F$38)+IFERROR(M14*J14/K14,0)*Assumptions!$F$35*Assumptions!$F$34</f>
        <v>61192.547971114</v>
      </c>
      <c r="X14" s="49" t="n">
        <f aca="false">V14-W14</f>
        <v>129245.327014552</v>
      </c>
      <c r="Y14" s="49" t="n">
        <f aca="false">C14+E14+G14</f>
        <v>49871.6767613667</v>
      </c>
      <c r="Z14" s="49" t="n">
        <f aca="false">X14-Y14</f>
        <v>79373.6502531854</v>
      </c>
      <c r="AA14" s="20" t="n">
        <f aca="false">'Fixed Costs'!$G$31/52</f>
        <v>25332.6923076923</v>
      </c>
      <c r="AB14" s="49" t="n">
        <f aca="false">Z14-AA14</f>
        <v>54040.9579454931</v>
      </c>
      <c r="AC14" s="21" t="n">
        <f aca="false">L14*Baseline!G14</f>
        <v>2118.68215042276</v>
      </c>
    </row>
    <row r="15" customFormat="false" ht="15" hidden="false" customHeight="false" outlineLevel="0" collapsed="false">
      <c r="A15" s="13" t="n">
        <v>10</v>
      </c>
      <c r="B15" s="14" t="str">
        <f aca="false">Calendar!D15</f>
        <v>P3</v>
      </c>
      <c r="C15" s="20" t="n">
        <f aca="false">IF('Media Plan'!D15&lt;&gt;"",'Media Plan'!D15,Assumptions!$F$10*Baseline!T15)</f>
        <v>30227.3941337209</v>
      </c>
      <c r="D15" s="21" t="n">
        <f aca="false">IFERROR(C15/(Baseline!H15*(1+Assumptions!$F$13)*IFERROR(MAX(0,C15)/'History Y-1'!P15,1)^Assumptions!$F$14),0)</f>
        <v>65050.6240397564</v>
      </c>
      <c r="E15" s="20" t="n">
        <f aca="false">IF('Media Plan'!J15&lt;&gt;"",'Media Plan'!J15,Assumptions!$F$11*Baseline!U15)</f>
        <v>15564.0828405889</v>
      </c>
      <c r="F15" s="21" t="n">
        <f aca="false">IFERROR(E15/(Baseline!I15*(1+Assumptions!$F$13)*IFERROR(MAX(0,E15)/'History Y-1'!Q15,1)^Assumptions!$F$15),0)</f>
        <v>41577.2619299147</v>
      </c>
      <c r="G15" s="20" t="n">
        <f aca="false">IF('Media Plan'!P15&lt;&gt;"",'Media Plan'!P15,Assumptions!$F$12*Baseline!V15)</f>
        <v>2746.4807342034</v>
      </c>
      <c r="H15" s="21" t="n">
        <f aca="false">IFERROR(G15/(Baseline!J15*(1+Assumptions!$F$13)*IFERROR(MAX(0,G15)/'History Y-1'!R15,1)^Assumptions!$F$16),0)</f>
        <v>11356.6322332474</v>
      </c>
      <c r="I15" s="21" t="n">
        <f aca="false">'History Y-1'!$F$58*(1+Assumptions!$F$6)*Baseline!Q15+'History Y-1'!$G$58*(1+Assumptions!$F$7)*Baseline!R15+J15</f>
        <v>166112.910001432</v>
      </c>
      <c r="J15" s="21" t="n">
        <f aca="false">'History Y-1'!$H$58*(1+Assumptions!$F$8)*Baseline!S15</f>
        <v>19136.8654991851</v>
      </c>
      <c r="K15" s="55" t="n">
        <f aca="false">D15+F15+H15+I15</f>
        <v>284097.428204351</v>
      </c>
      <c r="L15" s="21" t="n">
        <f aca="false">K15*Baseline!B15*(1+Assumptions!$F$18)*(1+Calendar!G15)</f>
        <v>5953.71334311527</v>
      </c>
      <c r="M15" s="20" t="n">
        <f aca="false">L15*Baseline!C15*(1+Assumptions!$F$19)</f>
        <v>450192.26286503</v>
      </c>
      <c r="N15" s="31" t="n">
        <f aca="false">MAX(0,MIN(0.9,Baseline!E15+Assumptions!$F$20))</f>
        <v>0.0989715642970281</v>
      </c>
      <c r="O15" s="31" t="n">
        <f aca="false">MAX(0,Baseline!F15+Assumptions!$F$21)</f>
        <v>0.274779330718454</v>
      </c>
      <c r="P15" s="49" t="n">
        <f aca="false">M15*O15</f>
        <v>123703.528684679</v>
      </c>
      <c r="Q15" s="49" t="n">
        <f aca="false">M15-P15</f>
        <v>326488.734180351</v>
      </c>
      <c r="R15" s="21" t="n">
        <f aca="false">L15*Baseline!D15</f>
        <v>11493.7241698166</v>
      </c>
      <c r="S15" s="21" t="n">
        <f aca="false">IFERROR(P15/(Baseline!C15*(1+Assumptions!$F$19)),0)</f>
        <v>1635.95736771074</v>
      </c>
      <c r="T15" s="20" t="n">
        <f aca="false">Q15/(1-N15)*(1-Assumptions!$F$23)</f>
        <v>137693.455691816</v>
      </c>
      <c r="U15" s="20" t="n">
        <f aca="false">P15/(1-N15)*(1-Assumptions!$F$23)*Assumptions!$F$24</f>
        <v>3651.95340416226</v>
      </c>
      <c r="V15" s="49" t="n">
        <f aca="false">Q15-T15-U15</f>
        <v>185143.325084373</v>
      </c>
      <c r="W15" s="20" t="n">
        <f aca="false">T15*Assumptions!$F$25+L15*(Assumptions!$F$27-Assumptions!$F$28+Assumptions!$F$29+Assumptions!$F$36*Assumptions!$F$37)+R15*Assumptions!$F$30+S15*(Assumptions!$F$31+Assumptions!$F$32)+M15*(Assumptions!$F$33+Assumptions!$F$38)+IFERROR(M15*J15/K15,0)*Assumptions!$F$35*Assumptions!$F$34</f>
        <v>59572.0828351884</v>
      </c>
      <c r="X15" s="49" t="n">
        <f aca="false">V15-W15</f>
        <v>125571.242249184</v>
      </c>
      <c r="Y15" s="49" t="n">
        <f aca="false">C15+E15+G15</f>
        <v>48537.9577085132</v>
      </c>
      <c r="Z15" s="49" t="n">
        <f aca="false">X15-Y15</f>
        <v>77033.2845406709</v>
      </c>
      <c r="AA15" s="20" t="n">
        <f aca="false">'Fixed Costs'!$G$31/52</f>
        <v>25332.6923076923</v>
      </c>
      <c r="AB15" s="49" t="n">
        <f aca="false">Z15-AA15</f>
        <v>51700.5922329786</v>
      </c>
      <c r="AC15" s="21" t="n">
        <f aca="false">L15*Baseline!G15</f>
        <v>2744.89724424631</v>
      </c>
    </row>
    <row r="16" customFormat="false" ht="15" hidden="false" customHeight="false" outlineLevel="0" collapsed="false">
      <c r="A16" s="13" t="n">
        <v>11</v>
      </c>
      <c r="B16" s="14" t="str">
        <f aca="false">Calendar!D16</f>
        <v>P3</v>
      </c>
      <c r="C16" s="20" t="n">
        <f aca="false">IF('Media Plan'!D16&lt;&gt;"",'Media Plan'!D16,Assumptions!$F$10*Baseline!T16)</f>
        <v>31773.5132004575</v>
      </c>
      <c r="D16" s="21" t="n">
        <f aca="false">IFERROR(C16/(Baseline!H16*(1+Assumptions!$F$13)*IFERROR(MAX(0,C16)/'History Y-1'!P16,1)^Assumptions!$F$14),0)</f>
        <v>69983.2478298369</v>
      </c>
      <c r="E16" s="20" t="n">
        <f aca="false">IF('Media Plan'!J16&lt;&gt;"",'Media Plan'!J16,Assumptions!$F$11*Baseline!U16)</f>
        <v>15094.4806246999</v>
      </c>
      <c r="F16" s="21" t="n">
        <f aca="false">IFERROR(E16/(Baseline!I16*(1+Assumptions!$F$13)*IFERROR(MAX(0,E16)/'History Y-1'!Q16,1)^Assumptions!$F$15),0)</f>
        <v>41250.7383613353</v>
      </c>
      <c r="G16" s="20" t="n">
        <f aca="false">IF('Media Plan'!P16&lt;&gt;"",'Media Plan'!P16,Assumptions!$F$12*Baseline!V16)</f>
        <v>2800.04222236983</v>
      </c>
      <c r="H16" s="21" t="n">
        <f aca="false">IFERROR(G16/(Baseline!J16*(1+Assumptions!$F$13)*IFERROR(MAX(0,G16)/'History Y-1'!R16,1)^Assumptions!$F$16),0)</f>
        <v>11193.3811078678</v>
      </c>
      <c r="I16" s="21" t="n">
        <f aca="false">'History Y-1'!$F$58*(1+Assumptions!$F$6)*Baseline!Q16+'History Y-1'!$G$58*(1+Assumptions!$F$7)*Baseline!R16+J16</f>
        <v>172873.082804917</v>
      </c>
      <c r="J16" s="21" t="n">
        <f aca="false">'History Y-1'!$H$58*(1+Assumptions!$F$8)*Baseline!S16</f>
        <v>20313.3337943177</v>
      </c>
      <c r="K16" s="55" t="n">
        <f aca="false">D16+F16+H16+I16</f>
        <v>295300.450103957</v>
      </c>
      <c r="L16" s="21" t="n">
        <f aca="false">K16*Baseline!B16*(1+Assumptions!$F$18)*(1+Calendar!G16)</f>
        <v>6249.41904043728</v>
      </c>
      <c r="M16" s="20" t="n">
        <f aca="false">L16*Baseline!C16*(1+Assumptions!$F$19)</f>
        <v>464860.779597379</v>
      </c>
      <c r="N16" s="31" t="n">
        <f aca="false">MAX(0,MIN(0.9,Baseline!E16+Assumptions!$F$20))</f>
        <v>0.0997780632675516</v>
      </c>
      <c r="O16" s="31" t="n">
        <f aca="false">MAX(0,Baseline!F16+Assumptions!$F$21)</f>
        <v>0.282338092206024</v>
      </c>
      <c r="P16" s="49" t="n">
        <f aca="false">M16*O16</f>
        <v>131247.905652929</v>
      </c>
      <c r="Q16" s="49" t="n">
        <f aca="false">M16-P16</f>
        <v>333612.87394445</v>
      </c>
      <c r="R16" s="21" t="n">
        <f aca="false">L16*Baseline!D16</f>
        <v>11648.5250972765</v>
      </c>
      <c r="S16" s="21" t="n">
        <f aca="false">IFERROR(P16/(Baseline!C16*(1+Assumptions!$F$19)),0)</f>
        <v>1764.44904927306</v>
      </c>
      <c r="T16" s="20" t="n">
        <f aca="false">Q16/(1-N16)*(1-Assumptions!$F$23)</f>
        <v>140824.042301214</v>
      </c>
      <c r="U16" s="20" t="n">
        <f aca="false">P16/(1-N16)*(1-Assumptions!$F$23)*Assumptions!$F$24</f>
        <v>3878.14842975273</v>
      </c>
      <c r="V16" s="49" t="n">
        <f aca="false">Q16-T16-U16</f>
        <v>188910.683213483</v>
      </c>
      <c r="W16" s="20" t="n">
        <f aca="false">T16*Assumptions!$F$25+L16*(Assumptions!$F$27-Assumptions!$F$28+Assumptions!$F$29+Assumptions!$F$36*Assumptions!$F$37)+R16*Assumptions!$F$30+S16*(Assumptions!$F$31+Assumptions!$F$32)+M16*(Assumptions!$F$33+Assumptions!$F$38)+IFERROR(M16*J16/K16,0)*Assumptions!$F$35*Assumptions!$F$34</f>
        <v>62142.1755454313</v>
      </c>
      <c r="X16" s="49" t="n">
        <f aca="false">V16-W16</f>
        <v>126768.507668052</v>
      </c>
      <c r="Y16" s="49" t="n">
        <f aca="false">C16+E16+G16</f>
        <v>49668.0360475272</v>
      </c>
      <c r="Z16" s="49" t="n">
        <f aca="false">X16-Y16</f>
        <v>77100.471620525</v>
      </c>
      <c r="AA16" s="20" t="n">
        <f aca="false">'Fixed Costs'!$G$31/52</f>
        <v>25332.6923076923</v>
      </c>
      <c r="AB16" s="49" t="n">
        <f aca="false">Z16-AA16</f>
        <v>51767.7793128327</v>
      </c>
      <c r="AC16" s="21" t="n">
        <f aca="false">L16*Baseline!G16</f>
        <v>2188.46265998279</v>
      </c>
    </row>
    <row r="17" customFormat="false" ht="15" hidden="false" customHeight="false" outlineLevel="0" collapsed="false">
      <c r="A17" s="13" t="n">
        <v>12</v>
      </c>
      <c r="B17" s="14" t="str">
        <f aca="false">Calendar!D17</f>
        <v>P3</v>
      </c>
      <c r="C17" s="20" t="n">
        <f aca="false">IF('Media Plan'!D17&lt;&gt;"",'Media Plan'!D17,Assumptions!$F$10*Baseline!T17)</f>
        <v>28041.8112592576</v>
      </c>
      <c r="D17" s="21" t="n">
        <f aca="false">IFERROR(C17/(Baseline!H17*(1+Assumptions!$F$13)*IFERROR(MAX(0,C17)/'History Y-1'!P17,1)^Assumptions!$F$14),0)</f>
        <v>69927.5747053882</v>
      </c>
      <c r="E17" s="20" t="n">
        <f aca="false">IF('Media Plan'!J17&lt;&gt;"",'Media Plan'!J17,Assumptions!$F$11*Baseline!U17)</f>
        <v>15903.0749662895</v>
      </c>
      <c r="F17" s="21" t="n">
        <f aca="false">IFERROR(E17/(Baseline!I17*(1+Assumptions!$F$13)*IFERROR(MAX(0,E17)/'History Y-1'!Q17,1)^Assumptions!$F$15),0)</f>
        <v>45233.5672299805</v>
      </c>
      <c r="G17" s="20" t="n">
        <f aca="false">IF('Media Plan'!P17&lt;&gt;"",'Media Plan'!P17,Assumptions!$F$12*Baseline!V17)</f>
        <v>2700.73366806192</v>
      </c>
      <c r="H17" s="21" t="n">
        <f aca="false">IFERROR(G17/(Baseline!J17*(1+Assumptions!$F$13)*IFERROR(MAX(0,G17)/'History Y-1'!R17,1)^Assumptions!$F$16),0)</f>
        <v>11663.0907752874</v>
      </c>
      <c r="I17" s="21" t="n">
        <f aca="false">'History Y-1'!$F$58*(1+Assumptions!$F$6)*Baseline!Q17+'History Y-1'!$G$58*(1+Assumptions!$F$7)*Baseline!R17+J17</f>
        <v>168130.320483024</v>
      </c>
      <c r="J17" s="21" t="n">
        <f aca="false">'History Y-1'!$H$58*(1+Assumptions!$F$8)*Baseline!S17</f>
        <v>19248.7079352211</v>
      </c>
      <c r="K17" s="55" t="n">
        <f aca="false">D17+F17+H17+I17</f>
        <v>294954.55319368</v>
      </c>
      <c r="L17" s="21" t="n">
        <f aca="false">K17*Baseline!B17*(1+Assumptions!$F$18)*(1+Calendar!G17)</f>
        <v>6103.00092269819</v>
      </c>
      <c r="M17" s="20" t="n">
        <f aca="false">L17*Baseline!C17*(1+Assumptions!$F$19)</f>
        <v>443876.394626266</v>
      </c>
      <c r="N17" s="31" t="n">
        <f aca="false">MAX(0,MIN(0.9,Baseline!E17+Assumptions!$F$20))</f>
        <v>0.102085891490112</v>
      </c>
      <c r="O17" s="31" t="n">
        <f aca="false">MAX(0,Baseline!F17+Assumptions!$F$21)</f>
        <v>0.282646799119499</v>
      </c>
      <c r="P17" s="49" t="n">
        <f aca="false">M17*O17</f>
        <v>125460.242145818</v>
      </c>
      <c r="Q17" s="49" t="n">
        <f aca="false">M17-P17</f>
        <v>318416.152480449</v>
      </c>
      <c r="R17" s="21" t="n">
        <f aca="false">L17*Baseline!D17</f>
        <v>11456.5036575704</v>
      </c>
      <c r="S17" s="21" t="n">
        <f aca="false">IFERROR(P17/(Baseline!C17*(1+Assumptions!$F$19)),0)</f>
        <v>1724.99367582399</v>
      </c>
      <c r="T17" s="20" t="n">
        <f aca="false">Q17/(1-N17)*(1-Assumptions!$F$23)</f>
        <v>134754.690672329</v>
      </c>
      <c r="U17" s="20" t="n">
        <f aca="false">P17/(1-N17)*(1-Assumptions!$F$23)*Assumptions!$F$24</f>
        <v>3716.66110316163</v>
      </c>
      <c r="V17" s="49" t="n">
        <f aca="false">Q17-T17-U17</f>
        <v>179944.800704957</v>
      </c>
      <c r="W17" s="20" t="n">
        <f aca="false">T17*Assumptions!$F$25+L17*(Assumptions!$F$27-Assumptions!$F$28+Assumptions!$F$29+Assumptions!$F$36*Assumptions!$F$37)+R17*Assumptions!$F$30+S17*(Assumptions!$F$31+Assumptions!$F$32)+M17*(Assumptions!$F$33+Assumptions!$F$38)+IFERROR(M17*J17/K17,0)*Assumptions!$F$35*Assumptions!$F$34</f>
        <v>60312.5572925819</v>
      </c>
      <c r="X17" s="49" t="n">
        <f aca="false">V17-W17</f>
        <v>119632.243412376</v>
      </c>
      <c r="Y17" s="49" t="n">
        <f aca="false">C17+E17+G17</f>
        <v>46645.619893609</v>
      </c>
      <c r="Z17" s="49" t="n">
        <f aca="false">X17-Y17</f>
        <v>72986.6235187665</v>
      </c>
      <c r="AA17" s="20" t="n">
        <f aca="false">'Fixed Costs'!$G$31/52</f>
        <v>25332.6923076923</v>
      </c>
      <c r="AB17" s="49" t="n">
        <f aca="false">Z17-AA17</f>
        <v>47653.9312110742</v>
      </c>
      <c r="AC17" s="21" t="n">
        <f aca="false">L17*Baseline!G17</f>
        <v>2065.36978393849</v>
      </c>
    </row>
    <row r="18" customFormat="false" ht="15" hidden="false" customHeight="false" outlineLevel="0" collapsed="false">
      <c r="A18" s="13" t="n">
        <v>13</v>
      </c>
      <c r="B18" s="14" t="str">
        <f aca="false">Calendar!D18</f>
        <v>P3</v>
      </c>
      <c r="C18" s="20" t="n">
        <f aca="false">IF('Media Plan'!D18&lt;&gt;"",'Media Plan'!D18,Assumptions!$F$10*Baseline!T18)</f>
        <v>31112.9953566118</v>
      </c>
      <c r="D18" s="21" t="n">
        <f aca="false">IFERROR(C18/(Baseline!H18*(1+Assumptions!$F$13)*IFERROR(MAX(0,C18)/'History Y-1'!P18,1)^Assumptions!$F$14),0)</f>
        <v>63904.5420209358</v>
      </c>
      <c r="E18" s="20" t="n">
        <f aca="false">IF('Media Plan'!J18&lt;&gt;"",'Media Plan'!J18,Assumptions!$F$11*Baseline!U18)</f>
        <v>15612.028585477</v>
      </c>
      <c r="F18" s="21" t="n">
        <f aca="false">IFERROR(E18/(Baseline!I18*(1+Assumptions!$F$13)*IFERROR(MAX(0,E18)/'History Y-1'!Q18,1)^Assumptions!$F$15),0)</f>
        <v>42534.5070163274</v>
      </c>
      <c r="G18" s="20" t="n">
        <f aca="false">IF('Media Plan'!P18&lt;&gt;"",'Media Plan'!P18,Assumptions!$F$12*Baseline!V18)</f>
        <v>2642.25254166361</v>
      </c>
      <c r="H18" s="21" t="n">
        <f aca="false">IFERROR(G18/(Baseline!J18*(1+Assumptions!$F$13)*IFERROR(MAX(0,G18)/'History Y-1'!R18,1)^Assumptions!$F$16),0)</f>
        <v>10760.9157244892</v>
      </c>
      <c r="I18" s="21" t="n">
        <f aca="false">'History Y-1'!$F$58*(1+Assumptions!$F$6)*Baseline!Q18+'History Y-1'!$G$58*(1+Assumptions!$F$7)*Baseline!R18+J18</f>
        <v>170408.113819051</v>
      </c>
      <c r="J18" s="21" t="n">
        <f aca="false">'History Y-1'!$H$58*(1+Assumptions!$F$8)*Baseline!S18</f>
        <v>20222.6820567587</v>
      </c>
      <c r="K18" s="55" t="n">
        <f aca="false">D18+F18+H18+I18</f>
        <v>287608.078580803</v>
      </c>
      <c r="L18" s="21" t="n">
        <f aca="false">K18*Baseline!B18*(1+Assumptions!$F$18)*(1+Calendar!G18)</f>
        <v>5930.25252504818</v>
      </c>
      <c r="M18" s="20" t="n">
        <f aca="false">L18*Baseline!C18*(1+Assumptions!$F$19)</f>
        <v>446273.581045776</v>
      </c>
      <c r="N18" s="31" t="n">
        <f aca="false">MAX(0,MIN(0.9,Baseline!E18+Assumptions!$F$20))</f>
        <v>0.102636863571165</v>
      </c>
      <c r="O18" s="31" t="n">
        <f aca="false">MAX(0,Baseline!F18+Assumptions!$F$21)</f>
        <v>0.271998513757347</v>
      </c>
      <c r="P18" s="49" t="n">
        <f aca="false">M18*O18</f>
        <v>121385.75077362</v>
      </c>
      <c r="Q18" s="49" t="n">
        <f aca="false">M18-P18</f>
        <v>324887.830272156</v>
      </c>
      <c r="R18" s="21" t="n">
        <f aca="false">L18*Baseline!D18</f>
        <v>11162.0960692356</v>
      </c>
      <c r="S18" s="21" t="n">
        <f aca="false">IFERROR(P18/(Baseline!C18*(1+Assumptions!$F$19)),0)</f>
        <v>1613.01987301886</v>
      </c>
      <c r="T18" s="20" t="n">
        <f aca="false">Q18/(1-N18)*(1-Assumptions!$F$23)</f>
        <v>137577.944191838</v>
      </c>
      <c r="U18" s="20" t="n">
        <f aca="false">P18/(1-N18)*(1-Assumptions!$F$23)*Assumptions!$F$24</f>
        <v>3598.16537976803</v>
      </c>
      <c r="V18" s="49" t="n">
        <f aca="false">Q18-T18-U18</f>
        <v>183711.72070055</v>
      </c>
      <c r="W18" s="20" t="n">
        <f aca="false">T18*Assumptions!$F$25+L18*(Assumptions!$F$27-Assumptions!$F$28+Assumptions!$F$29+Assumptions!$F$36*Assumptions!$F$37)+R18*Assumptions!$F$30+S18*(Assumptions!$F$31+Assumptions!$F$32)+M18*(Assumptions!$F$33+Assumptions!$F$38)+IFERROR(M18*J18/K18,0)*Assumptions!$F$35*Assumptions!$F$34</f>
        <v>59064.7658408196</v>
      </c>
      <c r="X18" s="49" t="n">
        <f aca="false">V18-W18</f>
        <v>124646.95485973</v>
      </c>
      <c r="Y18" s="49" t="n">
        <f aca="false">C18+E18+G18</f>
        <v>49367.2764837524</v>
      </c>
      <c r="Z18" s="49" t="n">
        <f aca="false">X18-Y18</f>
        <v>75279.6783759777</v>
      </c>
      <c r="AA18" s="20" t="n">
        <f aca="false">'Fixed Costs'!$G$31/52</f>
        <v>25332.6923076923</v>
      </c>
      <c r="AB18" s="49" t="n">
        <f aca="false">Z18-AA18</f>
        <v>49946.9860682854</v>
      </c>
      <c r="AC18" s="21" t="n">
        <f aca="false">L18*Baseline!G18</f>
        <v>2065.27815123039</v>
      </c>
    </row>
    <row r="19" customFormat="false" ht="15" hidden="false" customHeight="false" outlineLevel="0" collapsed="false">
      <c r="A19" s="13" t="n">
        <v>14</v>
      </c>
      <c r="B19" s="14" t="str">
        <f aca="false">Calendar!D19</f>
        <v>P4</v>
      </c>
      <c r="C19" s="20" t="n">
        <f aca="false">IF('Media Plan'!D19&lt;&gt;"",'Media Plan'!D19,Assumptions!$F$10*Baseline!T19)</f>
        <v>32961.345137554</v>
      </c>
      <c r="D19" s="21" t="n">
        <f aca="false">IFERROR(C19/(Baseline!H19*(1+Assumptions!$F$13)*IFERROR(MAX(0,C19)/'History Y-1'!P19,1)^Assumptions!$F$14),0)</f>
        <v>71435.3832125238</v>
      </c>
      <c r="E19" s="20" t="n">
        <f aca="false">IF('Media Plan'!J19&lt;&gt;"",'Media Plan'!J19,Assumptions!$F$11*Baseline!U19)</f>
        <v>16398.498536615</v>
      </c>
      <c r="F19" s="21" t="n">
        <f aca="false">IFERROR(E19/(Baseline!I19*(1+Assumptions!$F$13)*IFERROR(MAX(0,E19)/'History Y-1'!Q19,1)^Assumptions!$F$15),0)</f>
        <v>43009.0711513076</v>
      </c>
      <c r="G19" s="20" t="n">
        <f aca="false">IF('Media Plan'!P19&lt;&gt;"",'Media Plan'!P19,Assumptions!$F$12*Baseline!V19)</f>
        <v>2891.15138409852</v>
      </c>
      <c r="H19" s="21" t="n">
        <f aca="false">IFERROR(G19/(Baseline!J19*(1+Assumptions!$F$13)*IFERROR(MAX(0,G19)/'History Y-1'!R19,1)^Assumptions!$F$16),0)</f>
        <v>11462.2191918966</v>
      </c>
      <c r="I19" s="21" t="n">
        <f aca="false">'History Y-1'!$F$58*(1+Assumptions!$F$6)*Baseline!Q19+'History Y-1'!$G$58*(1+Assumptions!$F$7)*Baseline!R19+J19</f>
        <v>180779.711636611</v>
      </c>
      <c r="J19" s="21" t="n">
        <f aca="false">'History Y-1'!$H$58*(1+Assumptions!$F$8)*Baseline!S19</f>
        <v>21241.1886106576</v>
      </c>
      <c r="K19" s="55" t="n">
        <f aca="false">D19+F19+H19+I19</f>
        <v>306686.385192339</v>
      </c>
      <c r="L19" s="21" t="n">
        <f aca="false">K19*Baseline!B19*(1+Assumptions!$F$18)*(1+Calendar!G19)</f>
        <v>6464.54755779673</v>
      </c>
      <c r="M19" s="20" t="n">
        <f aca="false">L19*Baseline!C19*(1+Assumptions!$F$19)</f>
        <v>487595.203513939</v>
      </c>
      <c r="N19" s="31" t="n">
        <f aca="false">MAX(0,MIN(0.9,Baseline!E19+Assumptions!$F$20))</f>
        <v>0.0982264682320803</v>
      </c>
      <c r="O19" s="31" t="n">
        <f aca="false">MAX(0,Baseline!F19+Assumptions!$F$21)</f>
        <v>0.273401284826854</v>
      </c>
      <c r="P19" s="49" t="n">
        <f aca="false">M19*O19</f>
        <v>133309.155116122</v>
      </c>
      <c r="Q19" s="49" t="n">
        <f aca="false">M19-P19</f>
        <v>354286.048397817</v>
      </c>
      <c r="R19" s="21" t="n">
        <f aca="false">L19*Baseline!D19</f>
        <v>12059.3085921442</v>
      </c>
      <c r="S19" s="21" t="n">
        <f aca="false">IFERROR(P19/(Baseline!C19*(1+Assumptions!$F$19)),0)</f>
        <v>1767.41560812593</v>
      </c>
      <c r="T19" s="20" t="n">
        <f aca="false">Q19/(1-N19)*(1-Assumptions!$F$23)</f>
        <v>149293.246750359</v>
      </c>
      <c r="U19" s="20" t="n">
        <f aca="false">P19/(1-N19)*(1-Assumptions!$F$23)*Assumptions!$F$24</f>
        <v>3932.27723055577</v>
      </c>
      <c r="V19" s="49" t="n">
        <f aca="false">Q19-T19-U19</f>
        <v>201060.524416902</v>
      </c>
      <c r="W19" s="20" t="n">
        <f aca="false">T19*Assumptions!$F$25+L19*(Assumptions!$F$27-Assumptions!$F$28+Assumptions!$F$29+Assumptions!$F$36*Assumptions!$F$37)+R19*Assumptions!$F$30+S19*(Assumptions!$F$31+Assumptions!$F$32)+M19*(Assumptions!$F$33+Assumptions!$F$38)+IFERROR(M19*J19/K19,0)*Assumptions!$F$35*Assumptions!$F$34</f>
        <v>64299.0758717772</v>
      </c>
      <c r="X19" s="49" t="n">
        <f aca="false">V19-W19</f>
        <v>136761.448545125</v>
      </c>
      <c r="Y19" s="49" t="n">
        <f aca="false">C19+E19+G19</f>
        <v>52250.9950582676</v>
      </c>
      <c r="Z19" s="49" t="n">
        <f aca="false">X19-Y19</f>
        <v>84510.4534868577</v>
      </c>
      <c r="AA19" s="20" t="n">
        <f aca="false">'Fixed Costs'!$G$31/52</f>
        <v>25332.6923076923</v>
      </c>
      <c r="AB19" s="49" t="n">
        <f aca="false">Z19-AA19</f>
        <v>59177.7611791654</v>
      </c>
      <c r="AC19" s="21" t="n">
        <f aca="false">L19*Baseline!G19</f>
        <v>2255.72590035231</v>
      </c>
    </row>
    <row r="20" customFormat="false" ht="15" hidden="false" customHeight="false" outlineLevel="0" collapsed="false">
      <c r="A20" s="13" t="n">
        <v>15</v>
      </c>
      <c r="B20" s="14" t="str">
        <f aca="false">Calendar!D20</f>
        <v>P4</v>
      </c>
      <c r="C20" s="20" t="n">
        <f aca="false">IF('Media Plan'!D20&lt;&gt;"",'Media Plan'!D20,Assumptions!$F$10*Baseline!T20)</f>
        <v>33460.0501000966</v>
      </c>
      <c r="D20" s="21" t="n">
        <f aca="false">IFERROR(C20/(Baseline!H20*(1+Assumptions!$F$13)*IFERROR(MAX(0,C20)/'History Y-1'!P20,1)^Assumptions!$F$14),0)</f>
        <v>72037.5244155418</v>
      </c>
      <c r="E20" s="20" t="n">
        <f aca="false">IF('Media Plan'!J20&lt;&gt;"",'Media Plan'!J20,Assumptions!$F$11*Baseline!U20)</f>
        <v>15239.0840823508</v>
      </c>
      <c r="F20" s="21" t="n">
        <f aca="false">IFERROR(E20/(Baseline!I20*(1+Assumptions!$F$13)*IFERROR(MAX(0,E20)/'History Y-1'!Q20,1)^Assumptions!$F$15),0)</f>
        <v>42495.5418742003</v>
      </c>
      <c r="G20" s="20" t="n">
        <f aca="false">IF('Media Plan'!P20&lt;&gt;"",'Media Plan'!P20,Assumptions!$F$12*Baseline!V20)</f>
        <v>2847.06254352237</v>
      </c>
      <c r="H20" s="21" t="n">
        <f aca="false">IFERROR(G20/(Baseline!J20*(1+Assumptions!$F$13)*IFERROR(MAX(0,G20)/'History Y-1'!R20,1)^Assumptions!$F$16),0)</f>
        <v>11499.1103300415</v>
      </c>
      <c r="I20" s="21" t="n">
        <f aca="false">'History Y-1'!$F$58*(1+Assumptions!$F$6)*Baseline!Q20+'History Y-1'!$G$58*(1+Assumptions!$F$7)*Baseline!R20+J20</f>
        <v>176116.309672742</v>
      </c>
      <c r="J20" s="21" t="n">
        <f aca="false">'History Y-1'!$H$58*(1+Assumptions!$F$8)*Baseline!S20</f>
        <v>20382.4708039253</v>
      </c>
      <c r="K20" s="55" t="n">
        <f aca="false">D20+F20+H20+I20</f>
        <v>302148.486292526</v>
      </c>
      <c r="L20" s="21" t="n">
        <f aca="false">K20*Baseline!B20*(1+Assumptions!$F$18)*(1+Calendar!G20)</f>
        <v>6270.04407839664</v>
      </c>
      <c r="M20" s="20" t="n">
        <f aca="false">L20*Baseline!C20*(1+Assumptions!$F$19)</f>
        <v>477730.121117462</v>
      </c>
      <c r="N20" s="31" t="n">
        <f aca="false">MAX(0,MIN(0.9,Baseline!E20+Assumptions!$F$20))</f>
        <v>0.0975871775762531</v>
      </c>
      <c r="O20" s="31" t="n">
        <f aca="false">MAX(0,Baseline!F20+Assumptions!$F$21)</f>
        <v>0.272247648462997</v>
      </c>
      <c r="P20" s="49" t="n">
        <f aca="false">M20*O20</f>
        <v>130060.902074172</v>
      </c>
      <c r="Q20" s="49" t="n">
        <f aca="false">M20-P20</f>
        <v>347669.21904329</v>
      </c>
      <c r="R20" s="21" t="n">
        <f aca="false">L20*Baseline!D20</f>
        <v>11945.6957006621</v>
      </c>
      <c r="S20" s="21" t="n">
        <f aca="false">IFERROR(P20/(Baseline!C20*(1+Assumptions!$F$19)),0)</f>
        <v>1707.00475610283</v>
      </c>
      <c r="T20" s="20" t="n">
        <f aca="false">Q20/(1-N20)*(1-Assumptions!$F$23)</f>
        <v>146401.18131479</v>
      </c>
      <c r="U20" s="20" t="n">
        <f aca="false">P20/(1-N20)*(1-Assumptions!$F$23)*Assumptions!$F$24</f>
        <v>3833.74427889992</v>
      </c>
      <c r="V20" s="49" t="n">
        <f aca="false">Q20-T20-U20</f>
        <v>197434.2934496</v>
      </c>
      <c r="W20" s="20" t="n">
        <f aca="false">T20*Assumptions!$F$25+L20*(Assumptions!$F$27-Assumptions!$F$28+Assumptions!$F$29+Assumptions!$F$36*Assumptions!$F$37)+R20*Assumptions!$F$30+S20*(Assumptions!$F$31+Assumptions!$F$32)+M20*(Assumptions!$F$33+Assumptions!$F$38)+IFERROR(M20*J20/K20,0)*Assumptions!$F$35*Assumptions!$F$34</f>
        <v>62650.385379424</v>
      </c>
      <c r="X20" s="49" t="n">
        <f aca="false">V20-W20</f>
        <v>134783.908070176</v>
      </c>
      <c r="Y20" s="49" t="n">
        <f aca="false">C20+E20+G20</f>
        <v>51546.1967259698</v>
      </c>
      <c r="Z20" s="49" t="n">
        <f aca="false">X20-Y20</f>
        <v>83237.7113442064</v>
      </c>
      <c r="AA20" s="20" t="n">
        <f aca="false">'Fixed Costs'!$G$31/52</f>
        <v>25332.6923076923</v>
      </c>
      <c r="AB20" s="49" t="n">
        <f aca="false">Z20-AA20</f>
        <v>57905.0190365141</v>
      </c>
      <c r="AC20" s="21" t="n">
        <f aca="false">L20*Baseline!G20</f>
        <v>2170.44882795825</v>
      </c>
    </row>
    <row r="21" customFormat="false" ht="15" hidden="false" customHeight="false" outlineLevel="0" collapsed="false">
      <c r="A21" s="13" t="n">
        <v>16</v>
      </c>
      <c r="B21" s="14" t="str">
        <f aca="false">Calendar!D21</f>
        <v>P4</v>
      </c>
      <c r="C21" s="20" t="n">
        <f aca="false">IF('Media Plan'!D21&lt;&gt;"",'Media Plan'!D21,Assumptions!$F$10*Baseline!T21)</f>
        <v>32367.3224678803</v>
      </c>
      <c r="D21" s="21" t="n">
        <f aca="false">IFERROR(C21/(Baseline!H21*(1+Assumptions!$F$13)*IFERROR(MAX(0,C21)/'History Y-1'!P21,1)^Assumptions!$F$14),0)</f>
        <v>69326.5229832609</v>
      </c>
      <c r="E21" s="20" t="n">
        <f aca="false">IF('Media Plan'!J21&lt;&gt;"",'Media Plan'!J21,Assumptions!$F$11*Baseline!U21)</f>
        <v>15784.3801998367</v>
      </c>
      <c r="F21" s="21" t="n">
        <f aca="false">IFERROR(E21/(Baseline!I21*(1+Assumptions!$F$13)*IFERROR(MAX(0,E21)/'History Y-1'!Q21,1)^Assumptions!$F$15),0)</f>
        <v>43571.0742416713</v>
      </c>
      <c r="G21" s="20" t="n">
        <f aca="false">IF('Media Plan'!P21&lt;&gt;"",'Media Plan'!P21,Assumptions!$F$12*Baseline!V21)</f>
        <v>2989.42193903787</v>
      </c>
      <c r="H21" s="21" t="n">
        <f aca="false">IFERROR(G21/(Baseline!J21*(1+Assumptions!$F$13)*IFERROR(MAX(0,G21)/'History Y-1'!R21,1)^Assumptions!$F$16),0)</f>
        <v>12216.7232840303</v>
      </c>
      <c r="I21" s="21" t="n">
        <f aca="false">'History Y-1'!$F$58*(1+Assumptions!$F$6)*Baseline!Q21+'History Y-1'!$G$58*(1+Assumptions!$F$7)*Baseline!R21+J21</f>
        <v>182849.089573741</v>
      </c>
      <c r="J21" s="21" t="n">
        <f aca="false">'History Y-1'!$H$58*(1+Assumptions!$F$8)*Baseline!S21</f>
        <v>21712.1133389339</v>
      </c>
      <c r="K21" s="55" t="n">
        <f aca="false">D21+F21+H21+I21</f>
        <v>307963.410082704</v>
      </c>
      <c r="L21" s="21" t="n">
        <f aca="false">K21*Baseline!B21*(1+Assumptions!$F$18)*(1+Calendar!G21)</f>
        <v>6432.22004311033</v>
      </c>
      <c r="M21" s="20" t="n">
        <f aca="false">L21*Baseline!C21*(1+Assumptions!$F$19)</f>
        <v>490356.71211553</v>
      </c>
      <c r="N21" s="31" t="n">
        <f aca="false">MAX(0,MIN(0.9,Baseline!E21+Assumptions!$F$20))</f>
        <v>0.102466677565907</v>
      </c>
      <c r="O21" s="31" t="n">
        <f aca="false">MAX(0,Baseline!F21+Assumptions!$F$21)</f>
        <v>0.272869977537873</v>
      </c>
      <c r="P21" s="49" t="n">
        <f aca="false">M21*O21</f>
        <v>133803.62502051</v>
      </c>
      <c r="Q21" s="49" t="n">
        <f aca="false">M21-P21</f>
        <v>356553.08709502</v>
      </c>
      <c r="R21" s="21" t="n">
        <f aca="false">L21*Baseline!D21</f>
        <v>12327.0394458741</v>
      </c>
      <c r="S21" s="21" t="n">
        <f aca="false">IFERROR(P21/(Baseline!C21*(1+Assumptions!$F$19)),0)</f>
        <v>1755.15973868217</v>
      </c>
      <c r="T21" s="20" t="n">
        <f aca="false">Q21/(1-N21)*(1-Assumptions!$F$23)</f>
        <v>150958.376373883</v>
      </c>
      <c r="U21" s="20" t="n">
        <f aca="false">P21/(1-N21)*(1-Assumptions!$F$23)*Assumptions!$F$24</f>
        <v>3965.50895279647</v>
      </c>
      <c r="V21" s="49" t="n">
        <f aca="false">Q21-T21-U21</f>
        <v>201629.201768341</v>
      </c>
      <c r="W21" s="20" t="n">
        <f aca="false">T21*Assumptions!$F$25+L21*(Assumptions!$F$27-Assumptions!$F$28+Assumptions!$F$29+Assumptions!$F$36*Assumptions!$F$37)+R21*Assumptions!$F$30+S21*(Assumptions!$F$31+Assumptions!$F$32)+M21*(Assumptions!$F$33+Assumptions!$F$38)+IFERROR(M21*J21/K21,0)*Assumptions!$F$35*Assumptions!$F$34</f>
        <v>64504.699833105</v>
      </c>
      <c r="X21" s="49" t="n">
        <f aca="false">V21-W21</f>
        <v>137124.501935236</v>
      </c>
      <c r="Y21" s="49" t="n">
        <f aca="false">C21+E21+G21</f>
        <v>51141.1246067548</v>
      </c>
      <c r="Z21" s="49" t="n">
        <f aca="false">X21-Y21</f>
        <v>85983.3773284808</v>
      </c>
      <c r="AA21" s="20" t="n">
        <f aca="false">'Fixed Costs'!$G$31/52</f>
        <v>25332.6923076923</v>
      </c>
      <c r="AB21" s="49" t="n">
        <f aca="false">Z21-AA21</f>
        <v>60650.6850207884</v>
      </c>
      <c r="AC21" s="21" t="n">
        <f aca="false">L21*Baseline!G21</f>
        <v>2219.43534102073</v>
      </c>
    </row>
    <row r="22" customFormat="false" ht="15" hidden="false" customHeight="false" outlineLevel="0" collapsed="false">
      <c r="A22" s="13" t="n">
        <v>17</v>
      </c>
      <c r="B22" s="14" t="str">
        <f aca="false">Calendar!D22</f>
        <v>P4</v>
      </c>
      <c r="C22" s="20" t="n">
        <f aca="false">IF('Media Plan'!D22&lt;&gt;"",'Media Plan'!D22,Assumptions!$F$10*Baseline!T22)</f>
        <v>32621.0911405763</v>
      </c>
      <c r="D22" s="21" t="n">
        <f aca="false">IFERROR(C22/(Baseline!H22*(1+Assumptions!$F$13)*IFERROR(MAX(0,C22)/'History Y-1'!P22,1)^Assumptions!$F$14),0)</f>
        <v>73165.5780018349</v>
      </c>
      <c r="E22" s="20" t="n">
        <f aca="false">IF('Media Plan'!J22&lt;&gt;"",'Media Plan'!J22,Assumptions!$F$11*Baseline!U22)</f>
        <v>16926.1625439777</v>
      </c>
      <c r="F22" s="21" t="n">
        <f aca="false">IFERROR(E22/(Baseline!I22*(1+Assumptions!$F$13)*IFERROR(MAX(0,E22)/'History Y-1'!Q22,1)^Assumptions!$F$15),0)</f>
        <v>46210.0191694122</v>
      </c>
      <c r="G22" s="20" t="n">
        <f aca="false">IF('Media Plan'!P22&lt;&gt;"",'Media Plan'!P22,Assumptions!$F$12*Baseline!V22)</f>
        <v>2792.24026469328</v>
      </c>
      <c r="H22" s="21" t="n">
        <f aca="false">IFERROR(G22/(Baseline!J22*(1+Assumptions!$F$13)*IFERROR(MAX(0,G22)/'History Y-1'!R22,1)^Assumptions!$F$16),0)</f>
        <v>11372.8420221475</v>
      </c>
      <c r="I22" s="21" t="n">
        <f aca="false">'History Y-1'!$F$58*(1+Assumptions!$F$6)*Baseline!Q22+'History Y-1'!$G$58*(1+Assumptions!$F$7)*Baseline!R22+J22</f>
        <v>180058.706807583</v>
      </c>
      <c r="J22" s="21" t="n">
        <f aca="false">'History Y-1'!$H$58*(1+Assumptions!$F$8)*Baseline!S22</f>
        <v>21264.4838898672</v>
      </c>
      <c r="K22" s="55" t="n">
        <f aca="false">D22+F22+H22+I22</f>
        <v>310807.146000978</v>
      </c>
      <c r="L22" s="21" t="n">
        <f aca="false">K22*Baseline!B22*(1+Assumptions!$F$18)*(1+Calendar!G22)</f>
        <v>6292.04910872204</v>
      </c>
      <c r="M22" s="20" t="n">
        <f aca="false">L22*Baseline!C22*(1+Assumptions!$F$19)</f>
        <v>468363.825928098</v>
      </c>
      <c r="N22" s="31" t="n">
        <f aca="false">MAX(0,MIN(0.9,Baseline!E22+Assumptions!$F$20))</f>
        <v>0.0991205885732181</v>
      </c>
      <c r="O22" s="31" t="n">
        <f aca="false">MAX(0,Baseline!F22+Assumptions!$F$21)</f>
        <v>0.28126757724974</v>
      </c>
      <c r="P22" s="49" t="n">
        <f aca="false">M22*O22</f>
        <v>131735.558590215</v>
      </c>
      <c r="Q22" s="49" t="n">
        <f aca="false">M22-P22</f>
        <v>336628.267337883</v>
      </c>
      <c r="R22" s="21" t="n">
        <f aca="false">L22*Baseline!D22</f>
        <v>12109.760656645</v>
      </c>
      <c r="S22" s="21" t="n">
        <f aca="false">IFERROR(P22/(Baseline!C22*(1+Assumptions!$F$19)),0)</f>
        <v>1769.74940874664</v>
      </c>
      <c r="T22" s="20" t="n">
        <f aca="false">Q22/(1-N22)*(1-Assumptions!$F$23)</f>
        <v>141993.190171593</v>
      </c>
      <c r="U22" s="20" t="n">
        <f aca="false">P22/(1-N22)*(1-Assumptions!$F$23)*Assumptions!$F$24</f>
        <v>3889.71688558178</v>
      </c>
      <c r="V22" s="49" t="n">
        <f aca="false">Q22-T22-U22</f>
        <v>190745.360280708</v>
      </c>
      <c r="W22" s="20" t="n">
        <f aca="false">T22*Assumptions!$F$25+L22*(Assumptions!$F$27-Assumptions!$F$28+Assumptions!$F$29+Assumptions!$F$36*Assumptions!$F$37)+R22*Assumptions!$F$30+S22*(Assumptions!$F$31+Assumptions!$F$32)+M22*(Assumptions!$F$33+Assumptions!$F$38)+IFERROR(M22*J22/K22,0)*Assumptions!$F$35*Assumptions!$F$34</f>
        <v>62877.131175594</v>
      </c>
      <c r="X22" s="49" t="n">
        <f aca="false">V22-W22</f>
        <v>127868.229105114</v>
      </c>
      <c r="Y22" s="49" t="n">
        <f aca="false">C22+E22+G22</f>
        <v>52339.4939492472</v>
      </c>
      <c r="Z22" s="49" t="n">
        <f aca="false">X22-Y22</f>
        <v>75528.7351558672</v>
      </c>
      <c r="AA22" s="20" t="n">
        <f aca="false">'Fixed Costs'!$G$31/52</f>
        <v>25332.6923076923</v>
      </c>
      <c r="AB22" s="49" t="n">
        <f aca="false">Z22-AA22</f>
        <v>50196.0428481748</v>
      </c>
      <c r="AC22" s="21" t="n">
        <f aca="false">L22*Baseline!G22</f>
        <v>2258.60529213331</v>
      </c>
    </row>
    <row r="23" customFormat="false" ht="15" hidden="false" customHeight="false" outlineLevel="0" collapsed="false">
      <c r="A23" s="13" t="n">
        <v>18</v>
      </c>
      <c r="B23" s="14" t="str">
        <f aca="false">Calendar!D23</f>
        <v>P5</v>
      </c>
      <c r="C23" s="20" t="n">
        <f aca="false">IF('Media Plan'!D23&lt;&gt;"",'Media Plan'!D23,Assumptions!$F$10*Baseline!T23)</f>
        <v>31859.9425341783</v>
      </c>
      <c r="D23" s="21" t="n">
        <f aca="false">IFERROR(C23/(Baseline!H23*(1+Assumptions!$F$13)*IFERROR(MAX(0,C23)/'History Y-1'!P23,1)^Assumptions!$F$14),0)</f>
        <v>68003.2206141193</v>
      </c>
      <c r="E23" s="20" t="n">
        <f aca="false">IF('Media Plan'!J23&lt;&gt;"",'Media Plan'!J23,Assumptions!$F$11*Baseline!U23)</f>
        <v>15805.6559195924</v>
      </c>
      <c r="F23" s="21" t="n">
        <f aca="false">IFERROR(E23/(Baseline!I23*(1+Assumptions!$F$13)*IFERROR(MAX(0,E23)/'History Y-1'!Q23,1)^Assumptions!$F$15),0)</f>
        <v>41721.162174273</v>
      </c>
      <c r="G23" s="20" t="n">
        <f aca="false">IF('Media Plan'!P23&lt;&gt;"",'Media Plan'!P23,Assumptions!$F$12*Baseline!V23)</f>
        <v>2874.07454545657</v>
      </c>
      <c r="H23" s="21" t="n">
        <f aca="false">IFERROR(G23/(Baseline!J23*(1+Assumptions!$F$13)*IFERROR(MAX(0,G23)/'History Y-1'!R23,1)^Assumptions!$F$16),0)</f>
        <v>11298.1071361834</v>
      </c>
      <c r="I23" s="21" t="n">
        <f aca="false">'History Y-1'!$F$58*(1+Assumptions!$F$6)*Baseline!Q23+'History Y-1'!$G$58*(1+Assumptions!$F$7)*Baseline!R23+J23</f>
        <v>178127.093840098</v>
      </c>
      <c r="J23" s="21" t="n">
        <f aca="false">'History Y-1'!$H$58*(1+Assumptions!$F$8)*Baseline!S23</f>
        <v>20220.8610361239</v>
      </c>
      <c r="K23" s="55" t="n">
        <f aca="false">D23+F23+H23+I23</f>
        <v>299149.583764674</v>
      </c>
      <c r="L23" s="21" t="n">
        <f aca="false">K23*Baseline!B23*(1+Assumptions!$F$18)*(1+Calendar!G23)</f>
        <v>6069.73474650973</v>
      </c>
      <c r="M23" s="20" t="n">
        <f aca="false">L23*Baseline!C23*(1+Assumptions!$F$19)</f>
        <v>462871.820487182</v>
      </c>
      <c r="N23" s="31" t="n">
        <f aca="false">MAX(0,MIN(0.9,Baseline!E23+Assumptions!$F$20))</f>
        <v>0.0987994209704977</v>
      </c>
      <c r="O23" s="31" t="n">
        <f aca="false">MAX(0,Baseline!F23+Assumptions!$F$21)</f>
        <v>0.270407042600766</v>
      </c>
      <c r="P23" s="49" t="n">
        <f aca="false">M23*O23</f>
        <v>125163.800081172</v>
      </c>
      <c r="Q23" s="49" t="n">
        <f aca="false">M23-P23</f>
        <v>337708.020406011</v>
      </c>
      <c r="R23" s="21" t="n">
        <f aca="false">L23*Baseline!D23</f>
        <v>11686.5673469419</v>
      </c>
      <c r="S23" s="21" t="n">
        <f aca="false">IFERROR(P23/(Baseline!C23*(1+Assumptions!$F$19)),0)</f>
        <v>1641.29902217481</v>
      </c>
      <c r="T23" s="20" t="n">
        <f aca="false">Q23/(1-N23)*(1-Assumptions!$F$23)</f>
        <v>142397.875390272</v>
      </c>
      <c r="U23" s="20" t="n">
        <f aca="false">P23/(1-N23)*(1-Assumptions!$F$23)*Assumptions!$F$24</f>
        <v>3694.35746007235</v>
      </c>
      <c r="V23" s="49" t="n">
        <f aca="false">Q23-T23-U23</f>
        <v>191615.787555666</v>
      </c>
      <c r="W23" s="20" t="n">
        <f aca="false">T23*Assumptions!$F$25+L23*(Assumptions!$F$27-Assumptions!$F$28+Assumptions!$F$29+Assumptions!$F$36*Assumptions!$F$37)+R23*Assumptions!$F$30+S23*(Assumptions!$F$31+Assumptions!$F$32)+M23*(Assumptions!$F$33+Assumptions!$F$38)+IFERROR(M23*J23/K23,0)*Assumptions!$F$35*Assumptions!$F$34</f>
        <v>60739.5002608999</v>
      </c>
      <c r="X23" s="49" t="n">
        <f aca="false">V23-W23</f>
        <v>130876.287294766</v>
      </c>
      <c r="Y23" s="49" t="n">
        <f aca="false">C23+E23+G23</f>
        <v>50539.6729992272</v>
      </c>
      <c r="Z23" s="49" t="n">
        <f aca="false">X23-Y23</f>
        <v>80336.6142955392</v>
      </c>
      <c r="AA23" s="20" t="n">
        <f aca="false">'Fixed Costs'!$G$31/52</f>
        <v>25332.6923076923</v>
      </c>
      <c r="AB23" s="49" t="n">
        <f aca="false">Z23-AA23</f>
        <v>55003.9219878469</v>
      </c>
      <c r="AC23" s="21" t="n">
        <f aca="false">L23*Baseline!G23</f>
        <v>2143.46348801828</v>
      </c>
    </row>
    <row r="24" customFormat="false" ht="15" hidden="false" customHeight="false" outlineLevel="0" collapsed="false">
      <c r="A24" s="13" t="n">
        <v>19</v>
      </c>
      <c r="B24" s="14" t="str">
        <f aca="false">Calendar!D24</f>
        <v>P5</v>
      </c>
      <c r="C24" s="20" t="n">
        <f aca="false">IF('Media Plan'!D24&lt;&gt;"",'Media Plan'!D24,Assumptions!$F$10*Baseline!T24)</f>
        <v>33808.163374215</v>
      </c>
      <c r="D24" s="21" t="n">
        <f aca="false">IFERROR(C24/(Baseline!H24*(1+Assumptions!$F$13)*IFERROR(MAX(0,C24)/'History Y-1'!P24,1)^Assumptions!$F$14),0)</f>
        <v>71073.7361295186</v>
      </c>
      <c r="E24" s="20" t="n">
        <f aca="false">IF('Media Plan'!J24&lt;&gt;"",'Media Plan'!J24,Assumptions!$F$11*Baseline!U24)</f>
        <v>16396.0161328312</v>
      </c>
      <c r="F24" s="21" t="n">
        <f aca="false">IFERROR(E24/(Baseline!I24*(1+Assumptions!$F$13)*IFERROR(MAX(0,E24)/'History Y-1'!Q24,1)^Assumptions!$F$15),0)</f>
        <v>45899.3803720207</v>
      </c>
      <c r="G24" s="20" t="n">
        <f aca="false">IF('Media Plan'!P24&lt;&gt;"",'Media Plan'!P24,Assumptions!$F$12*Baseline!V24)</f>
        <v>3048.6205498237</v>
      </c>
      <c r="H24" s="21" t="n">
        <f aca="false">IFERROR(G24/(Baseline!J24*(1+Assumptions!$F$13)*IFERROR(MAX(0,G24)/'History Y-1'!R24,1)^Assumptions!$F$16),0)</f>
        <v>12013.2901868776</v>
      </c>
      <c r="I24" s="21" t="n">
        <f aca="false">'History Y-1'!$F$58*(1+Assumptions!$F$6)*Baseline!Q24+'History Y-1'!$G$58*(1+Assumptions!$F$7)*Baseline!R24+J24</f>
        <v>183143.74660654</v>
      </c>
      <c r="J24" s="21" t="n">
        <f aca="false">'History Y-1'!$H$58*(1+Assumptions!$F$8)*Baseline!S24</f>
        <v>20790.5509551373</v>
      </c>
      <c r="K24" s="55" t="n">
        <f aca="false">D24+F24+H24+I24</f>
        <v>312130.153294957</v>
      </c>
      <c r="L24" s="21" t="n">
        <f aca="false">K24*Baseline!B24*(1+Assumptions!$F$18)*(1+Calendar!G24)</f>
        <v>6626.5557285727</v>
      </c>
      <c r="M24" s="20" t="n">
        <f aca="false">L24*Baseline!C24*(1+Assumptions!$F$19)</f>
        <v>502303.238820788</v>
      </c>
      <c r="N24" s="31" t="n">
        <f aca="false">MAX(0,MIN(0.9,Baseline!E24+Assumptions!$F$20))</f>
        <v>0.09985340933346</v>
      </c>
      <c r="O24" s="31" t="n">
        <f aca="false">MAX(0,Baseline!F24+Assumptions!$F$21)</f>
        <v>0.279483437794478</v>
      </c>
      <c r="P24" s="49" t="n">
        <f aca="false">M24*O24</f>
        <v>140385.436000935</v>
      </c>
      <c r="Q24" s="49" t="n">
        <f aca="false">M24-P24</f>
        <v>361917.802819853</v>
      </c>
      <c r="R24" s="21" t="n">
        <f aca="false">L24*Baseline!D24</f>
        <v>12884.5879569157</v>
      </c>
      <c r="S24" s="21" t="n">
        <f aca="false">IFERROR(P24/(Baseline!C24*(1+Assumptions!$F$19)),0)</f>
        <v>1852.01257575819</v>
      </c>
      <c r="T24" s="20" t="n">
        <f aca="false">Q24/(1-N24)*(1-Assumptions!$F$23)</f>
        <v>152784.853597798</v>
      </c>
      <c r="U24" s="20" t="n">
        <f aca="false">P24/(1-N24)*(1-Assumptions!$F$23)*Assumptions!$F$24</f>
        <v>4148.49385238434</v>
      </c>
      <c r="V24" s="49" t="n">
        <f aca="false">Q24-T24-U24</f>
        <v>204984.455369671</v>
      </c>
      <c r="W24" s="20" t="n">
        <f aca="false">T24*Assumptions!$F$25+L24*(Assumptions!$F$27-Assumptions!$F$28+Assumptions!$F$29+Assumptions!$F$36*Assumptions!$F$37)+R24*Assumptions!$F$30+S24*(Assumptions!$F$31+Assumptions!$F$32)+M24*(Assumptions!$F$33+Assumptions!$F$38)+IFERROR(M24*J24/K24,0)*Assumptions!$F$35*Assumptions!$F$34</f>
        <v>66525.7352805048</v>
      </c>
      <c r="X24" s="49" t="n">
        <f aca="false">V24-W24</f>
        <v>138458.720089166</v>
      </c>
      <c r="Y24" s="49" t="n">
        <f aca="false">C24+E24+G24</f>
        <v>53252.80005687</v>
      </c>
      <c r="Z24" s="49" t="n">
        <f aca="false">X24-Y24</f>
        <v>85205.9200322964</v>
      </c>
      <c r="AA24" s="20" t="n">
        <f aca="false">'Fixed Costs'!$G$31/52</f>
        <v>25332.6923076923</v>
      </c>
      <c r="AB24" s="49" t="n">
        <f aca="false">Z24-AA24</f>
        <v>59873.2277246041</v>
      </c>
      <c r="AC24" s="21" t="n">
        <f aca="false">L24*Baseline!G24</f>
        <v>2319.45931029485</v>
      </c>
    </row>
    <row r="25" customFormat="false" ht="15" hidden="false" customHeight="false" outlineLevel="0" collapsed="false">
      <c r="A25" s="13" t="n">
        <v>20</v>
      </c>
      <c r="B25" s="14" t="str">
        <f aca="false">Calendar!D25</f>
        <v>P5</v>
      </c>
      <c r="C25" s="20" t="n">
        <f aca="false">IF('Media Plan'!D25&lt;&gt;"",'Media Plan'!D25,Assumptions!$F$10*Baseline!T25)</f>
        <v>33489.8696155845</v>
      </c>
      <c r="D25" s="21" t="n">
        <f aca="false">IFERROR(C25/(Baseline!H25*(1+Assumptions!$F$13)*IFERROR(MAX(0,C25)/'History Y-1'!P25,1)^Assumptions!$F$14),0)</f>
        <v>73162.5337195641</v>
      </c>
      <c r="E25" s="20" t="n">
        <f aca="false">IF('Media Plan'!J25&lt;&gt;"",'Media Plan'!J25,Assumptions!$F$11*Baseline!U25)</f>
        <v>16147.3260304548</v>
      </c>
      <c r="F25" s="21" t="n">
        <f aca="false">IFERROR(E25/(Baseline!I25*(1+Assumptions!$F$13)*IFERROR(MAX(0,E25)/'History Y-1'!Q25,1)^Assumptions!$F$15),0)</f>
        <v>44907.8811691111</v>
      </c>
      <c r="G25" s="20" t="n">
        <f aca="false">IF('Media Plan'!P25&lt;&gt;"",'Media Plan'!P25,Assumptions!$F$12*Baseline!V25)</f>
        <v>2920.49111753569</v>
      </c>
      <c r="H25" s="21" t="n">
        <f aca="false">IFERROR(G25/(Baseline!J25*(1+Assumptions!$F$13)*IFERROR(MAX(0,G25)/'History Y-1'!R25,1)^Assumptions!$F$16),0)</f>
        <v>11979.794258577</v>
      </c>
      <c r="I25" s="21" t="n">
        <f aca="false">'History Y-1'!$F$58*(1+Assumptions!$F$6)*Baseline!Q25+'History Y-1'!$G$58*(1+Assumptions!$F$7)*Baseline!R25+J25</f>
        <v>182822.695208224</v>
      </c>
      <c r="J25" s="21" t="n">
        <f aca="false">'History Y-1'!$H$58*(1+Assumptions!$F$8)*Baseline!S25</f>
        <v>20977.6981755937</v>
      </c>
      <c r="K25" s="55" t="n">
        <f aca="false">D25+F25+H25+I25</f>
        <v>312872.904355477</v>
      </c>
      <c r="L25" s="21" t="n">
        <f aca="false">K25*Baseline!B25*(1+Assumptions!$F$18)*(1+Calendar!G25)</f>
        <v>6529.48971413128</v>
      </c>
      <c r="M25" s="20" t="n">
        <f aca="false">L25*Baseline!C25*(1+Assumptions!$F$19)</f>
        <v>487248.302896149</v>
      </c>
      <c r="N25" s="31" t="n">
        <f aca="false">MAX(0,MIN(0.9,Baseline!E25+Assumptions!$F$20))</f>
        <v>0.100617645741281</v>
      </c>
      <c r="O25" s="31" t="n">
        <f aca="false">MAX(0,Baseline!F25+Assumptions!$F$21)</f>
        <v>0.277434612603968</v>
      </c>
      <c r="P25" s="49" t="n">
        <f aca="false">M25*O25</f>
        <v>135179.544155934</v>
      </c>
      <c r="Q25" s="49" t="n">
        <f aca="false">M25-P25</f>
        <v>352068.758740215</v>
      </c>
      <c r="R25" s="21" t="n">
        <f aca="false">L25*Baseline!D25</f>
        <v>12709.4207413138</v>
      </c>
      <c r="S25" s="21" t="n">
        <f aca="false">IFERROR(P25/(Baseline!C25*(1+Assumptions!$F$19)),0)</f>
        <v>1811.5064493416</v>
      </c>
      <c r="T25" s="20" t="n">
        <f aca="false">Q25/(1-N25)*(1-Assumptions!$F$23)</f>
        <v>148753.339097418</v>
      </c>
      <c r="U25" s="20" t="n">
        <f aca="false">P25/(1-N25)*(1-Assumptions!$F$23)*Assumptions!$F$24</f>
        <v>3998.05028141954</v>
      </c>
      <c r="V25" s="49" t="n">
        <f aca="false">Q25-T25-U25</f>
        <v>199317.369361377</v>
      </c>
      <c r="W25" s="20" t="n">
        <f aca="false">T25*Assumptions!$F$25+L25*(Assumptions!$F$27-Assumptions!$F$28+Assumptions!$F$29+Assumptions!$F$36*Assumptions!$F$37)+R25*Assumptions!$F$30+S25*(Assumptions!$F$31+Assumptions!$F$32)+M25*(Assumptions!$F$33+Assumptions!$F$38)+IFERROR(M25*J25/K25,0)*Assumptions!$F$35*Assumptions!$F$34</f>
        <v>65274.0074203718</v>
      </c>
      <c r="X25" s="49" t="n">
        <f aca="false">V25-W25</f>
        <v>134043.361941005</v>
      </c>
      <c r="Y25" s="49" t="n">
        <f aca="false">C25+E25+G25</f>
        <v>52557.686763575</v>
      </c>
      <c r="Z25" s="49" t="n">
        <f aca="false">X25-Y25</f>
        <v>81485.6751774304</v>
      </c>
      <c r="AA25" s="20" t="n">
        <f aca="false">'Fixed Costs'!$G$31/52</f>
        <v>25332.6923076923</v>
      </c>
      <c r="AB25" s="49" t="n">
        <f aca="false">Z25-AA25</f>
        <v>56152.9828697381</v>
      </c>
      <c r="AC25" s="21" t="n">
        <f aca="false">L25*Baseline!G25</f>
        <v>2322.97162942384</v>
      </c>
    </row>
    <row r="26" customFormat="false" ht="15" hidden="false" customHeight="false" outlineLevel="0" collapsed="false">
      <c r="A26" s="13" t="n">
        <v>21</v>
      </c>
      <c r="B26" s="14" t="str">
        <f aca="false">Calendar!D26</f>
        <v>P5</v>
      </c>
      <c r="C26" s="20" t="n">
        <f aca="false">IF('Media Plan'!D26&lt;&gt;"",'Media Plan'!D26,Assumptions!$F$10*Baseline!T26)</f>
        <v>44210.1275571653</v>
      </c>
      <c r="D26" s="21" t="n">
        <f aca="false">IFERROR(C26/(Baseline!H26*(1+Assumptions!$F$13)*IFERROR(MAX(0,C26)/'History Y-1'!P26,1)^Assumptions!$F$14),0)</f>
        <v>96649.6593624942</v>
      </c>
      <c r="E26" s="20" t="n">
        <f aca="false">IF('Media Plan'!J26&lt;&gt;"",'Media Plan'!J26,Assumptions!$F$11*Baseline!U26)</f>
        <v>22510.8593255006</v>
      </c>
      <c r="F26" s="21" t="n">
        <f aca="false">IFERROR(E26/(Baseline!I26*(1+Assumptions!$F$13)*IFERROR(MAX(0,E26)/'History Y-1'!Q26,1)^Assumptions!$F$15),0)</f>
        <v>62151.5580878052</v>
      </c>
      <c r="G26" s="20" t="n">
        <f aca="false">IF('Media Plan'!P26&lt;&gt;"",'Media Plan'!P26,Assumptions!$F$12*Baseline!V26)</f>
        <v>3763.66703191002</v>
      </c>
      <c r="H26" s="21" t="n">
        <f aca="false">IFERROR(G26/(Baseline!J26*(1+Assumptions!$F$13)*IFERROR(MAX(0,G26)/'History Y-1'!R26,1)^Assumptions!$F$16),0)</f>
        <v>15317.5282395817</v>
      </c>
      <c r="I26" s="21" t="n">
        <f aca="false">'History Y-1'!$F$58*(1+Assumptions!$F$6)*Baseline!Q26+'History Y-1'!$G$58*(1+Assumptions!$F$7)*Baseline!R26+J26</f>
        <v>274925.211455272</v>
      </c>
      <c r="J26" s="21" t="n">
        <f aca="false">'History Y-1'!$H$58*(1+Assumptions!$F$8)*Baseline!S26</f>
        <v>28199.5707823984</v>
      </c>
      <c r="K26" s="55" t="n">
        <f aca="false">D26+F26+H26+I26</f>
        <v>449043.957145153</v>
      </c>
      <c r="L26" s="21" t="n">
        <f aca="false">K26*Baseline!B26*(1+Assumptions!$F$18)*(1+Calendar!G26)</f>
        <v>11317.1302247614</v>
      </c>
      <c r="M26" s="20" t="n">
        <f aca="false">L26*Baseline!C26*(1+Assumptions!$F$19)</f>
        <v>763722.497698976</v>
      </c>
      <c r="N26" s="31" t="n">
        <f aca="false">MAX(0,MIN(0.9,Baseline!E26+Assumptions!$F$20))</f>
        <v>0.335129204534006</v>
      </c>
      <c r="O26" s="31" t="n">
        <f aca="false">MAX(0,Baseline!F26+Assumptions!$F$21)</f>
        <v>0.244097918862144</v>
      </c>
      <c r="P26" s="49" t="n">
        <f aca="false">M26*O26</f>
        <v>186423.072276519</v>
      </c>
      <c r="Q26" s="49" t="n">
        <f aca="false">M26-P26</f>
        <v>577299.425422457</v>
      </c>
      <c r="R26" s="21" t="n">
        <f aca="false">L26*Baseline!D26</f>
        <v>21601.2589021683</v>
      </c>
      <c r="S26" s="21" t="n">
        <f aca="false">IFERROR(P26/(Baseline!C26*(1+Assumptions!$F$19)),0)</f>
        <v>2762.48793535612</v>
      </c>
      <c r="T26" s="20" t="n">
        <f aca="false">Q26/(1-N26)*(1-Assumptions!$F$23)</f>
        <v>329949.492678167</v>
      </c>
      <c r="U26" s="20" t="n">
        <f aca="false">P26/(1-N26)*(1-Assumptions!$F$23)*Assumptions!$F$24</f>
        <v>7458.37199704319</v>
      </c>
      <c r="V26" s="49" t="n">
        <f aca="false">Q26-T26-U26</f>
        <v>239891.560747247</v>
      </c>
      <c r="W26" s="20" t="n">
        <f aca="false">T26*Assumptions!$F$25+L26*(Assumptions!$F$27-Assumptions!$F$28+Assumptions!$F$29+Assumptions!$F$36*Assumptions!$F$37)+R26*Assumptions!$F$30+S26*(Assumptions!$F$31+Assumptions!$F$32)+M26*(Assumptions!$F$33+Assumptions!$F$38)+IFERROR(M26*J26/K26,0)*Assumptions!$F$35*Assumptions!$F$34</f>
        <v>110837.72383869</v>
      </c>
      <c r="X26" s="49" t="n">
        <f aca="false">V26-W26</f>
        <v>129053.836908557</v>
      </c>
      <c r="Y26" s="49" t="n">
        <f aca="false">C26+E26+G26</f>
        <v>70484.6539145759</v>
      </c>
      <c r="Z26" s="49" t="n">
        <f aca="false">X26-Y26</f>
        <v>58569.1829939815</v>
      </c>
      <c r="AA26" s="20" t="n">
        <f aca="false">'Fixed Costs'!$G$31/52</f>
        <v>25332.6923076923</v>
      </c>
      <c r="AB26" s="49" t="n">
        <f aca="false">Z26-AA26</f>
        <v>33236.4906862892</v>
      </c>
      <c r="AC26" s="21" t="n">
        <f aca="false">L26*Baseline!G26</f>
        <v>5035.15559813145</v>
      </c>
    </row>
    <row r="27" customFormat="false" ht="15" hidden="false" customHeight="false" outlineLevel="0" collapsed="false">
      <c r="A27" s="13" t="n">
        <v>22</v>
      </c>
      <c r="B27" s="14" t="str">
        <f aca="false">Calendar!D27</f>
        <v>P6</v>
      </c>
      <c r="C27" s="20" t="n">
        <f aca="false">IF('Media Plan'!D27&lt;&gt;"",'Media Plan'!D27,Assumptions!$F$10*Baseline!T27)</f>
        <v>40990.9108651991</v>
      </c>
      <c r="D27" s="21" t="n">
        <f aca="false">IFERROR(C27/(Baseline!H27*(1+Assumptions!$F$13)*IFERROR(MAX(0,C27)/'History Y-1'!P27,1)^Assumptions!$F$14),0)</f>
        <v>84029.0531285458</v>
      </c>
      <c r="E27" s="20" t="n">
        <f aca="false">IF('Media Plan'!J27&lt;&gt;"",'Media Plan'!J27,Assumptions!$F$11*Baseline!U27)</f>
        <v>20032.5727625197</v>
      </c>
      <c r="F27" s="21" t="n">
        <f aca="false">IFERROR(E27/(Baseline!I27*(1+Assumptions!$F$13)*IFERROR(MAX(0,E27)/'History Y-1'!Q27,1)^Assumptions!$F$15),0)</f>
        <v>52779.6884641722</v>
      </c>
      <c r="G27" s="20" t="n">
        <f aca="false">IF('Media Plan'!P27&lt;&gt;"",'Media Plan'!P27,Assumptions!$F$12*Baseline!V27)</f>
        <v>3599.23395838336</v>
      </c>
      <c r="H27" s="21" t="n">
        <f aca="false">IFERROR(G27/(Baseline!J27*(1+Assumptions!$F$13)*IFERROR(MAX(0,G27)/'History Y-1'!R27,1)^Assumptions!$F$16),0)</f>
        <v>14653.1899917543</v>
      </c>
      <c r="I27" s="21" t="n">
        <f aca="false">'History Y-1'!$F$58*(1+Assumptions!$F$6)*Baseline!Q27+'History Y-1'!$G$58*(1+Assumptions!$F$7)*Baseline!R27+J27</f>
        <v>232970.912135441</v>
      </c>
      <c r="J27" s="21" t="n">
        <f aca="false">'History Y-1'!$H$58*(1+Assumptions!$F$8)*Baseline!S27</f>
        <v>27222.6459681563</v>
      </c>
      <c r="K27" s="55" t="n">
        <f aca="false">D27+F27+H27+I27</f>
        <v>384432.843719914</v>
      </c>
      <c r="L27" s="21" t="n">
        <f aca="false">K27*Baseline!B27*(1+Assumptions!$F$18)*(1+Calendar!G27)</f>
        <v>9678.57513157322</v>
      </c>
      <c r="M27" s="20" t="n">
        <f aca="false">L27*Baseline!C27*(1+Assumptions!$F$19)</f>
        <v>643541.626448706</v>
      </c>
      <c r="N27" s="31" t="n">
        <f aca="false">MAX(0,MIN(0.9,Baseline!E27+Assumptions!$F$20))</f>
        <v>0.326191373705647</v>
      </c>
      <c r="O27" s="31" t="n">
        <f aca="false">MAX(0,Baseline!F27+Assumptions!$F$21)</f>
        <v>0.249700919176987</v>
      </c>
      <c r="P27" s="49" t="n">
        <f aca="false">M27*O27</f>
        <v>160692.935652895</v>
      </c>
      <c r="Q27" s="49" t="n">
        <f aca="false">M27-P27</f>
        <v>482848.690795811</v>
      </c>
      <c r="R27" s="21" t="n">
        <f aca="false">L27*Baseline!D27</f>
        <v>17918.7844373601</v>
      </c>
      <c r="S27" s="21" t="n">
        <f aca="false">IFERROR(P27/(Baseline!C27*(1+Assumptions!$F$19)),0)</f>
        <v>2416.74910667736</v>
      </c>
      <c r="T27" s="20" t="n">
        <f aca="false">Q27/(1-N27)*(1-Assumptions!$F$23)</f>
        <v>272306.550172087</v>
      </c>
      <c r="U27" s="20" t="n">
        <f aca="false">P27/(1-N27)*(1-Assumptions!$F$23)*Assumptions!$F$24</f>
        <v>6343.68858094691</v>
      </c>
      <c r="V27" s="49" t="n">
        <f aca="false">Q27-T27-U27</f>
        <v>204198.452042777</v>
      </c>
      <c r="W27" s="20" t="n">
        <f aca="false">T27*Assumptions!$F$25+L27*(Assumptions!$F$27-Assumptions!$F$28+Assumptions!$F$29+Assumptions!$F$36*Assumptions!$F$37)+R27*Assumptions!$F$30+S27*(Assumptions!$F$31+Assumptions!$F$32)+M27*(Assumptions!$F$33+Assumptions!$F$38)+IFERROR(M27*J27/K27,0)*Assumptions!$F$35*Assumptions!$F$34</f>
        <v>94442.0000748414</v>
      </c>
      <c r="X27" s="49" t="n">
        <f aca="false">V27-W27</f>
        <v>109756.451967936</v>
      </c>
      <c r="Y27" s="49" t="n">
        <f aca="false">C27+E27+G27</f>
        <v>64622.7175861022</v>
      </c>
      <c r="Z27" s="49" t="n">
        <f aca="false">X27-Y27</f>
        <v>45133.7343818333</v>
      </c>
      <c r="AA27" s="20" t="n">
        <f aca="false">'Fixed Costs'!$G$31/52</f>
        <v>25332.6923076923</v>
      </c>
      <c r="AB27" s="49" t="n">
        <f aca="false">Z27-AA27</f>
        <v>19801.042074141</v>
      </c>
      <c r="AC27" s="21" t="n">
        <f aca="false">L27*Baseline!G27</f>
        <v>4262.39715118263</v>
      </c>
    </row>
    <row r="28" customFormat="false" ht="15" hidden="false" customHeight="false" outlineLevel="0" collapsed="false">
      <c r="A28" s="13" t="n">
        <v>23</v>
      </c>
      <c r="B28" s="14" t="str">
        <f aca="false">Calendar!D28</f>
        <v>P6</v>
      </c>
      <c r="C28" s="20" t="n">
        <f aca="false">IF('Media Plan'!D28&lt;&gt;"",'Media Plan'!D28,Assumptions!$F$10*Baseline!T28)</f>
        <v>38659.0727181236</v>
      </c>
      <c r="D28" s="21" t="n">
        <f aca="false">IFERROR(C28/(Baseline!H28*(1+Assumptions!$F$13)*IFERROR(MAX(0,C28)/'History Y-1'!P28,1)^Assumptions!$F$14),0)</f>
        <v>80461.4556148191</v>
      </c>
      <c r="E28" s="20" t="n">
        <f aca="false">IF('Media Plan'!J28&lt;&gt;"",'Media Plan'!J28,Assumptions!$F$11*Baseline!U28)</f>
        <v>19193.1144651403</v>
      </c>
      <c r="F28" s="21" t="n">
        <f aca="false">IFERROR(E28/(Baseline!I28*(1+Assumptions!$F$13)*IFERROR(MAX(0,E28)/'History Y-1'!Q28,1)^Assumptions!$F$15),0)</f>
        <v>50191.4805236457</v>
      </c>
      <c r="G28" s="20" t="n">
        <f aca="false">IF('Media Plan'!P28&lt;&gt;"",'Media Plan'!P28,Assumptions!$F$12*Baseline!V28)</f>
        <v>3361.68202344787</v>
      </c>
      <c r="H28" s="21" t="n">
        <f aca="false">IFERROR(G28/(Baseline!J28*(1+Assumptions!$F$13)*IFERROR(MAX(0,G28)/'History Y-1'!R28,1)^Assumptions!$F$16),0)</f>
        <v>13953.0137849232</v>
      </c>
      <c r="I28" s="21" t="n">
        <f aca="false">'History Y-1'!$F$58*(1+Assumptions!$F$6)*Baseline!Q28+'History Y-1'!$G$58*(1+Assumptions!$F$7)*Baseline!R28+J28</f>
        <v>209832.293866754</v>
      </c>
      <c r="J28" s="21" t="n">
        <f aca="false">'History Y-1'!$H$58*(1+Assumptions!$F$8)*Baseline!S28</f>
        <v>23788.153648637</v>
      </c>
      <c r="K28" s="55" t="n">
        <f aca="false">D28+F28+H28+I28</f>
        <v>354438.243790142</v>
      </c>
      <c r="L28" s="21" t="n">
        <f aca="false">K28*Baseline!B28*(1+Assumptions!$F$18)*(1+Calendar!G28)</f>
        <v>8174.7852811537</v>
      </c>
      <c r="M28" s="20" t="n">
        <f aca="false">L28*Baseline!C28*(1+Assumptions!$F$19)</f>
        <v>554600.95524362</v>
      </c>
      <c r="N28" s="31" t="n">
        <f aca="false">MAX(0,MIN(0.9,Baseline!E28+Assumptions!$F$20))</f>
        <v>0.2994697297588</v>
      </c>
      <c r="O28" s="31" t="n">
        <f aca="false">MAX(0,Baseline!F28+Assumptions!$F$21)</f>
        <v>0.256339203714735</v>
      </c>
      <c r="P28" s="49" t="n">
        <f aca="false">M28*O28</f>
        <v>142165.967246581</v>
      </c>
      <c r="Q28" s="49" t="n">
        <f aca="false">M28-P28</f>
        <v>412434.987997039</v>
      </c>
      <c r="R28" s="21" t="n">
        <f aca="false">L28*Baseline!D28</f>
        <v>15577.5246854669</v>
      </c>
      <c r="S28" s="21" t="n">
        <f aca="false">IFERROR(P28/(Baseline!C28*(1+Assumptions!$F$19)),0)</f>
        <v>2095.51794950987</v>
      </c>
      <c r="T28" s="20" t="n">
        <f aca="false">Q28/(1-N28)*(1-Assumptions!$F$23)</f>
        <v>223723.801949219</v>
      </c>
      <c r="U28" s="20" t="n">
        <f aca="false">P28/(1-N28)*(1-Assumptions!$F$23)*Assumptions!$F$24</f>
        <v>5398.21744955717</v>
      </c>
      <c r="V28" s="49" t="n">
        <f aca="false">Q28-T28-U28</f>
        <v>183312.968598263</v>
      </c>
      <c r="W28" s="20" t="n">
        <f aca="false">T28*Assumptions!$F$25+L28*(Assumptions!$F$27-Assumptions!$F$28+Assumptions!$F$29+Assumptions!$F$36*Assumptions!$F$37)+R28*Assumptions!$F$30+S28*(Assumptions!$F$31+Assumptions!$F$32)+M28*(Assumptions!$F$33+Assumptions!$F$38)+IFERROR(M28*J28/K28,0)*Assumptions!$F$35*Assumptions!$F$34</f>
        <v>80352.9683691996</v>
      </c>
      <c r="X28" s="49" t="n">
        <f aca="false">V28-W28</f>
        <v>102960.000229064</v>
      </c>
      <c r="Y28" s="49" t="n">
        <f aca="false">C28+E28+G28</f>
        <v>61213.8692067118</v>
      </c>
      <c r="Z28" s="49" t="n">
        <f aca="false">X28-Y28</f>
        <v>41746.1310223517</v>
      </c>
      <c r="AA28" s="20" t="n">
        <f aca="false">'Fixed Costs'!$G$31/52</f>
        <v>25332.6923076923</v>
      </c>
      <c r="AB28" s="49" t="n">
        <f aca="false">Z28-AA28</f>
        <v>16413.4387146594</v>
      </c>
      <c r="AC28" s="21" t="n">
        <f aca="false">L28*Baseline!G28</f>
        <v>3719.73497936045</v>
      </c>
    </row>
    <row r="29" customFormat="false" ht="15" hidden="false" customHeight="false" outlineLevel="0" collapsed="false">
      <c r="A29" s="13" t="n">
        <v>24</v>
      </c>
      <c r="B29" s="14" t="str">
        <f aca="false">Calendar!D29</f>
        <v>P6</v>
      </c>
      <c r="C29" s="20" t="n">
        <f aca="false">IF('Media Plan'!D29&lt;&gt;"",'Media Plan'!D29,Assumptions!$F$10*Baseline!T29)</f>
        <v>30098.2190999596</v>
      </c>
      <c r="D29" s="21" t="n">
        <f aca="false">IFERROR(C29/(Baseline!H29*(1+Assumptions!$F$13)*IFERROR(MAX(0,C29)/'History Y-1'!P29,1)^Assumptions!$F$14),0)</f>
        <v>63003.4794767459</v>
      </c>
      <c r="E29" s="20" t="n">
        <f aca="false">IF('Media Plan'!J29&lt;&gt;"",'Media Plan'!J29,Assumptions!$F$11*Baseline!U29)</f>
        <v>15824.0785894979</v>
      </c>
      <c r="F29" s="21" t="n">
        <f aca="false">IFERROR(E29/(Baseline!I29*(1+Assumptions!$F$13)*IFERROR(MAX(0,E29)/'History Y-1'!Q29,1)^Assumptions!$F$15),0)</f>
        <v>42432.7738650014</v>
      </c>
      <c r="G29" s="20" t="n">
        <f aca="false">IF('Media Plan'!P29&lt;&gt;"",'Media Plan'!P29,Assumptions!$F$12*Baseline!V29)</f>
        <v>2757.32436965578</v>
      </c>
      <c r="H29" s="21" t="n">
        <f aca="false">IFERROR(G29/(Baseline!J29*(1+Assumptions!$F$13)*IFERROR(MAX(0,G29)/'History Y-1'!R29,1)^Assumptions!$F$16),0)</f>
        <v>11009.1593871763</v>
      </c>
      <c r="I29" s="21" t="n">
        <f aca="false">'History Y-1'!$F$58*(1+Assumptions!$F$6)*Baseline!Q29+'History Y-1'!$G$58*(1+Assumptions!$F$7)*Baseline!R29+J29</f>
        <v>168786.799907633</v>
      </c>
      <c r="J29" s="21" t="n">
        <f aca="false">'History Y-1'!$H$58*(1+Assumptions!$F$8)*Baseline!S29</f>
        <v>20420.9755758662</v>
      </c>
      <c r="K29" s="55" t="n">
        <f aca="false">D29+F29+H29+I29</f>
        <v>285232.212636556</v>
      </c>
      <c r="L29" s="21" t="n">
        <f aca="false">K29*Baseline!B29*(1+Assumptions!$F$18)*(1+Calendar!G29)</f>
        <v>5892.71428923782</v>
      </c>
      <c r="M29" s="20" t="n">
        <f aca="false">L29*Baseline!C29*(1+Assumptions!$F$19)</f>
        <v>442765.663763111</v>
      </c>
      <c r="N29" s="31" t="n">
        <f aca="false">MAX(0,MIN(0.9,Baseline!E29+Assumptions!$F$20))</f>
        <v>0.0993164676105139</v>
      </c>
      <c r="O29" s="31" t="n">
        <f aca="false">MAX(0,Baseline!F29+Assumptions!$F$21)</f>
        <v>0.280305443688819</v>
      </c>
      <c r="P29" s="49" t="n">
        <f aca="false">M29*O29</f>
        <v>124109.625831293</v>
      </c>
      <c r="Q29" s="49" t="n">
        <f aca="false">M29-P29</f>
        <v>318656.037931817</v>
      </c>
      <c r="R29" s="21" t="n">
        <f aca="false">L29*Baseline!D29</f>
        <v>11161.1039589056</v>
      </c>
      <c r="S29" s="21" t="n">
        <f aca="false">IFERROR(P29/(Baseline!C29*(1+Assumptions!$F$19)),0)</f>
        <v>1651.75989337625</v>
      </c>
      <c r="T29" s="20" t="n">
        <f aca="false">Q29/(1-N29)*(1-Assumptions!$F$23)</f>
        <v>134441.554729933</v>
      </c>
      <c r="U29" s="20" t="n">
        <f aca="false">P29/(1-N29)*(1-Assumptions!$F$23)*Assumptions!$F$24</f>
        <v>3665.34518328997</v>
      </c>
      <c r="V29" s="49" t="n">
        <f aca="false">Q29-T29-U29</f>
        <v>180549.138018594</v>
      </c>
      <c r="W29" s="20" t="n">
        <f aca="false">T29*Assumptions!$F$25+L29*(Assumptions!$F$27-Assumptions!$F$28+Assumptions!$F$29+Assumptions!$F$36*Assumptions!$F$37)+R29*Assumptions!$F$30+S29*(Assumptions!$F$31+Assumptions!$F$32)+M29*(Assumptions!$F$33+Assumptions!$F$38)+IFERROR(M29*J29/K29,0)*Assumptions!$F$35*Assumptions!$F$34</f>
        <v>58954.0274511271</v>
      </c>
      <c r="X29" s="49" t="n">
        <f aca="false">V29-W29</f>
        <v>121595.110567467</v>
      </c>
      <c r="Y29" s="49" t="n">
        <f aca="false">C29+E29+G29</f>
        <v>48679.6220591132</v>
      </c>
      <c r="Z29" s="49" t="n">
        <f aca="false">X29-Y29</f>
        <v>72915.4885083539</v>
      </c>
      <c r="AA29" s="20" t="n">
        <f aca="false">'Fixed Costs'!$G$31/52</f>
        <v>25332.6923076923</v>
      </c>
      <c r="AB29" s="49" t="n">
        <f aca="false">Z29-AA29</f>
        <v>47582.7962006616</v>
      </c>
      <c r="AC29" s="21" t="n">
        <f aca="false">L29*Baseline!G29</f>
        <v>2062.07818587055</v>
      </c>
    </row>
    <row r="30" customFormat="false" ht="15" hidden="false" customHeight="false" outlineLevel="0" collapsed="false">
      <c r="A30" s="13" t="n">
        <v>25</v>
      </c>
      <c r="B30" s="14" t="str">
        <f aca="false">Calendar!D30</f>
        <v>P6</v>
      </c>
      <c r="C30" s="20" t="n">
        <f aca="false">IF('Media Plan'!D30&lt;&gt;"",'Media Plan'!D30,Assumptions!$F$10*Baseline!T30)</f>
        <v>30090.6548312096</v>
      </c>
      <c r="D30" s="21" t="n">
        <f aca="false">IFERROR(C30/(Baseline!H30*(1+Assumptions!$F$13)*IFERROR(MAX(0,C30)/'History Y-1'!P30,1)^Assumptions!$F$14),0)</f>
        <v>61206.1381351743</v>
      </c>
      <c r="E30" s="20" t="n">
        <f aca="false">IF('Media Plan'!J30&lt;&gt;"",'Media Plan'!J30,Assumptions!$F$11*Baseline!U30)</f>
        <v>14814.9296936488</v>
      </c>
      <c r="F30" s="21" t="n">
        <f aca="false">IFERROR(E30/(Baseline!I30*(1+Assumptions!$F$13)*IFERROR(MAX(0,E30)/'History Y-1'!Q30,1)^Assumptions!$F$15),0)</f>
        <v>39870.2559754342</v>
      </c>
      <c r="G30" s="20" t="n">
        <f aca="false">IF('Media Plan'!P30&lt;&gt;"",'Media Plan'!P30,Assumptions!$F$12*Baseline!V30)</f>
        <v>2484.70599494012</v>
      </c>
      <c r="H30" s="21" t="n">
        <f aca="false">IFERROR(G30/(Baseline!J30*(1+Assumptions!$F$13)*IFERROR(MAX(0,G30)/'History Y-1'!R30,1)^Assumptions!$F$16),0)</f>
        <v>9990.48516022439</v>
      </c>
      <c r="I30" s="21" t="n">
        <f aca="false">'History Y-1'!$F$58*(1+Assumptions!$F$6)*Baseline!Q30+'History Y-1'!$G$58*(1+Assumptions!$F$7)*Baseline!R30+J30</f>
        <v>156308.223533201</v>
      </c>
      <c r="J30" s="21" t="n">
        <f aca="false">'History Y-1'!$H$58*(1+Assumptions!$F$8)*Baseline!S30</f>
        <v>18591.1379572221</v>
      </c>
      <c r="K30" s="55" t="n">
        <f aca="false">D30+F30+H30+I30</f>
        <v>267375.102804034</v>
      </c>
      <c r="L30" s="21" t="n">
        <f aca="false">K30*Baseline!B30*(1+Assumptions!$F$18)*(1+Calendar!G30)</f>
        <v>5497.37744992803</v>
      </c>
      <c r="M30" s="20" t="n">
        <f aca="false">L30*Baseline!C30*(1+Assumptions!$F$19)</f>
        <v>409093.239497002</v>
      </c>
      <c r="N30" s="31" t="n">
        <f aca="false">MAX(0,MIN(0.9,Baseline!E30+Assumptions!$F$20))</f>
        <v>0.100343438945994</v>
      </c>
      <c r="O30" s="31" t="n">
        <f aca="false">MAX(0,Baseline!F30+Assumptions!$F$21)</f>
        <v>0.277845116516355</v>
      </c>
      <c r="P30" s="49" t="n">
        <f aca="false">M30*O30</f>
        <v>113664.558794098</v>
      </c>
      <c r="Q30" s="49" t="n">
        <f aca="false">M30-P30</f>
        <v>295428.680702904</v>
      </c>
      <c r="R30" s="21" t="n">
        <f aca="false">L30*Baseline!D30</f>
        <v>10214.5575654825</v>
      </c>
      <c r="S30" s="21" t="n">
        <f aca="false">IFERROR(P30/(Baseline!C30*(1+Assumptions!$F$19)),0)</f>
        <v>1527.41947810964</v>
      </c>
      <c r="T30" s="20" t="n">
        <f aca="false">Q30/(1-N30)*(1-Assumptions!$F$23)</f>
        <v>124784.171568293</v>
      </c>
      <c r="U30" s="20" t="n">
        <f aca="false">P30/(1-N30)*(1-Assumptions!$F$23)*Assumptions!$F$24</f>
        <v>3360.70162193982</v>
      </c>
      <c r="V30" s="49" t="n">
        <f aca="false">Q30-T30-U30</f>
        <v>167283.807512671</v>
      </c>
      <c r="W30" s="20" t="n">
        <f aca="false">T30*Assumptions!$F$25+L30*(Assumptions!$F$27-Assumptions!$F$28+Assumptions!$F$29+Assumptions!$F$36*Assumptions!$F$37)+R30*Assumptions!$F$30+S30*(Assumptions!$F$31+Assumptions!$F$32)+M30*(Assumptions!$F$33+Assumptions!$F$38)+IFERROR(M30*J30/K30,0)*Assumptions!$F$35*Assumptions!$F$34</f>
        <v>54569.8638866066</v>
      </c>
      <c r="X30" s="49" t="n">
        <f aca="false">V30-W30</f>
        <v>112713.943626065</v>
      </c>
      <c r="Y30" s="49" t="n">
        <f aca="false">C30+E30+G30</f>
        <v>47390.2905197986</v>
      </c>
      <c r="Z30" s="49" t="n">
        <f aca="false">X30-Y30</f>
        <v>65323.6531062663</v>
      </c>
      <c r="AA30" s="20" t="n">
        <f aca="false">'Fixed Costs'!$G$31/52</f>
        <v>25332.6923076923</v>
      </c>
      <c r="AB30" s="49" t="n">
        <f aca="false">Z30-AA30</f>
        <v>39990.960798574</v>
      </c>
      <c r="AC30" s="21" t="n">
        <f aca="false">L30*Baseline!G30</f>
        <v>1959.4588171973</v>
      </c>
    </row>
    <row r="31" customFormat="false" ht="15" hidden="false" customHeight="false" outlineLevel="0" collapsed="false">
      <c r="A31" s="13" t="n">
        <v>26</v>
      </c>
      <c r="B31" s="14" t="str">
        <f aca="false">Calendar!D31</f>
        <v>P6</v>
      </c>
      <c r="C31" s="20" t="n">
        <f aca="false">IF('Media Plan'!D31&lt;&gt;"",'Media Plan'!D31,Assumptions!$F$10*Baseline!T31)</f>
        <v>28449.9212208692</v>
      </c>
      <c r="D31" s="21" t="n">
        <f aca="false">IFERROR(C31/(Baseline!H31*(1+Assumptions!$F$13)*IFERROR(MAX(0,C31)/'History Y-1'!P31,1)^Assumptions!$F$14),0)</f>
        <v>72183.5392051977</v>
      </c>
      <c r="E31" s="20" t="n">
        <f aca="false">IF('Media Plan'!J31&lt;&gt;"",'Media Plan'!J31,Assumptions!$F$11*Baseline!U31)</f>
        <v>13795.7973857893</v>
      </c>
      <c r="F31" s="21" t="n">
        <f aca="false">IFERROR(E31/(Baseline!I31*(1+Assumptions!$F$13)*IFERROR(MAX(0,E31)/'History Y-1'!Q31,1)^Assumptions!$F$15),0)</f>
        <v>44706.778884666</v>
      </c>
      <c r="G31" s="20" t="n">
        <f aca="false">IF('Media Plan'!P31&lt;&gt;"",'Media Plan'!P31,Assumptions!$F$12*Baseline!V31)</f>
        <v>2568.5929725891</v>
      </c>
      <c r="H31" s="21" t="n">
        <f aca="false">IFERROR(G31/(Baseline!J31*(1+Assumptions!$F$13)*IFERROR(MAX(0,G31)/'History Y-1'!R31,1)^Assumptions!$F$16),0)</f>
        <v>11586.2815380731</v>
      </c>
      <c r="I31" s="21" t="n">
        <f aca="false">'History Y-1'!$F$58*(1+Assumptions!$F$6)*Baseline!Q31+'History Y-1'!$G$58*(1+Assumptions!$F$7)*Baseline!R31+J31</f>
        <v>158003.639072397</v>
      </c>
      <c r="J31" s="21" t="n">
        <f aca="false">'History Y-1'!$H$58*(1+Assumptions!$F$8)*Baseline!S31</f>
        <v>17588.4399678303</v>
      </c>
      <c r="K31" s="55" t="n">
        <f aca="false">D31+F31+H31+I31</f>
        <v>286480.238700334</v>
      </c>
      <c r="L31" s="21" t="n">
        <f aca="false">K31*Baseline!B31*(1+Assumptions!$F$18)*(1+Calendar!G31)</f>
        <v>5861.76643093736</v>
      </c>
      <c r="M31" s="20" t="n">
        <f aca="false">L31*Baseline!C31*(1+Assumptions!$F$19)</f>
        <v>428839.464948288</v>
      </c>
      <c r="N31" s="31" t="n">
        <f aca="false">MAX(0,MIN(0.9,Baseline!E31+Assumptions!$F$20))</f>
        <v>0.101713322232572</v>
      </c>
      <c r="O31" s="31" t="n">
        <f aca="false">MAX(0,Baseline!F31+Assumptions!$F$21)</f>
        <v>0.27674463182299</v>
      </c>
      <c r="P31" s="49" t="n">
        <f aca="false">M31*O31</f>
        <v>118679.019838282</v>
      </c>
      <c r="Q31" s="49" t="n">
        <f aca="false">M31-P31</f>
        <v>310160.445110006</v>
      </c>
      <c r="R31" s="21" t="n">
        <f aca="false">L31*Baseline!D31</f>
        <v>11141.2980857419</v>
      </c>
      <c r="S31" s="21" t="n">
        <f aca="false">IFERROR(P31/(Baseline!C31*(1+Assumptions!$F$19)),0)</f>
        <v>1622.21239276212</v>
      </c>
      <c r="T31" s="20" t="n">
        <f aca="false">Q31/(1-N31)*(1-Assumptions!$F$23)</f>
        <v>131206.408888007</v>
      </c>
      <c r="U31" s="20" t="n">
        <f aca="false">P31/(1-N31)*(1-Assumptions!$F$23)*Assumptions!$F$24</f>
        <v>3514.31453435808</v>
      </c>
      <c r="V31" s="49" t="n">
        <f aca="false">Q31-T31-U31</f>
        <v>175439.721687641</v>
      </c>
      <c r="W31" s="20" t="n">
        <f aca="false">T31*Assumptions!$F$25+L31*(Assumptions!$F$27-Assumptions!$F$28+Assumptions!$F$29+Assumptions!$F$36*Assumptions!$F$37)+R31*Assumptions!$F$30+S31*(Assumptions!$F$31+Assumptions!$F$32)+M31*(Assumptions!$F$33+Assumptions!$F$38)+IFERROR(M31*J31/K31,0)*Assumptions!$F$35*Assumptions!$F$34</f>
        <v>57864.4213406825</v>
      </c>
      <c r="X31" s="49" t="n">
        <f aca="false">V31-W31</f>
        <v>117575.300346958</v>
      </c>
      <c r="Y31" s="49" t="n">
        <f aca="false">C31+E31+G31</f>
        <v>44814.3115792476</v>
      </c>
      <c r="Z31" s="49" t="n">
        <f aca="false">X31-Y31</f>
        <v>72760.9887677109</v>
      </c>
      <c r="AA31" s="20" t="n">
        <f aca="false">'Fixed Costs'!$G$31/52</f>
        <v>25332.6923076923</v>
      </c>
      <c r="AB31" s="49" t="n">
        <f aca="false">Z31-AA31</f>
        <v>47428.2964600185</v>
      </c>
      <c r="AC31" s="21" t="n">
        <f aca="false">L31*Baseline!G31</f>
        <v>2062.83797593959</v>
      </c>
    </row>
    <row r="32" customFormat="false" ht="15" hidden="false" customHeight="false" outlineLevel="0" collapsed="false">
      <c r="A32" s="13" t="n">
        <v>27</v>
      </c>
      <c r="B32" s="14" t="str">
        <f aca="false">Calendar!D32</f>
        <v>P7</v>
      </c>
      <c r="C32" s="20" t="n">
        <f aca="false">IF('Media Plan'!D32&lt;&gt;"",'Media Plan'!D32,Assumptions!$F$10*Baseline!T32)</f>
        <v>27263.9544106237</v>
      </c>
      <c r="D32" s="21" t="n">
        <f aca="false">IFERROR(C32/(Baseline!H32*(1+Assumptions!$F$13)*IFERROR(MAX(0,C32)/'History Y-1'!P32,1)^Assumptions!$F$14),0)</f>
        <v>59934.9321339744</v>
      </c>
      <c r="E32" s="20" t="n">
        <f aca="false">IF('Media Plan'!J32&lt;&gt;"",'Media Plan'!J32,Assumptions!$F$11*Baseline!U32)</f>
        <v>14255.0082913096</v>
      </c>
      <c r="F32" s="21" t="n">
        <f aca="false">IFERROR(E32/(Baseline!I32*(1+Assumptions!$F$13)*IFERROR(MAX(0,E32)/'History Y-1'!Q32,1)^Assumptions!$F$15),0)</f>
        <v>38654.6578434379</v>
      </c>
      <c r="G32" s="20" t="n">
        <f aca="false">IF('Media Plan'!P32&lt;&gt;"",'Media Plan'!P32,Assumptions!$F$12*Baseline!V32)</f>
        <v>2454.92313113287</v>
      </c>
      <c r="H32" s="21" t="n">
        <f aca="false">IFERROR(G32/(Baseline!J32*(1+Assumptions!$F$13)*IFERROR(MAX(0,G32)/'History Y-1'!R32,1)^Assumptions!$F$16),0)</f>
        <v>10009.4319382006</v>
      </c>
      <c r="I32" s="21" t="n">
        <f aca="false">'History Y-1'!$F$58*(1+Assumptions!$F$6)*Baseline!Q32+'History Y-1'!$G$58*(1+Assumptions!$F$7)*Baseline!R32+J32</f>
        <v>153795.290621963</v>
      </c>
      <c r="J32" s="21" t="n">
        <f aca="false">'History Y-1'!$H$58*(1+Assumptions!$F$8)*Baseline!S32</f>
        <v>17200.3928558236</v>
      </c>
      <c r="K32" s="55" t="n">
        <f aca="false">D32+F32+H32+I32</f>
        <v>262394.312537576</v>
      </c>
      <c r="L32" s="21" t="n">
        <f aca="false">K32*Baseline!B32*(1+Assumptions!$F$18)*(1+Calendar!G32)</f>
        <v>5259.98545408237</v>
      </c>
      <c r="M32" s="20" t="n">
        <f aca="false">L32*Baseline!C32*(1+Assumptions!$F$19)</f>
        <v>391601.930219528</v>
      </c>
      <c r="N32" s="31" t="n">
        <f aca="false">MAX(0,MIN(0.9,Baseline!E32+Assumptions!$F$20))</f>
        <v>0.0981086219025122</v>
      </c>
      <c r="O32" s="31" t="n">
        <f aca="false">MAX(0,Baseline!F32+Assumptions!$F$21)</f>
        <v>0.285015834022456</v>
      </c>
      <c r="P32" s="49" t="n">
        <f aca="false">M32*O32</f>
        <v>111612.750746323</v>
      </c>
      <c r="Q32" s="49" t="n">
        <f aca="false">M32-P32</f>
        <v>279989.179473206</v>
      </c>
      <c r="R32" s="21" t="n">
        <f aca="false">L32*Baseline!D32</f>
        <v>10163.5005568633</v>
      </c>
      <c r="S32" s="21" t="n">
        <f aca="false">IFERROR(P32/(Baseline!C32*(1+Assumptions!$F$19)),0)</f>
        <v>1499.17914114128</v>
      </c>
      <c r="T32" s="20" t="n">
        <f aca="false">Q32/(1-N32)*(1-Assumptions!$F$23)</f>
        <v>117969.736471211</v>
      </c>
      <c r="U32" s="20" t="n">
        <f aca="false">P32/(1-N32)*(1-Assumptions!$F$23)*Assumptions!$F$24</f>
        <v>3291.85891111963</v>
      </c>
      <c r="V32" s="49" t="n">
        <f aca="false">Q32-T32-U32</f>
        <v>158727.584090875</v>
      </c>
      <c r="W32" s="20" t="n">
        <f aca="false">T32*Assumptions!$F$25+L32*(Assumptions!$F$27-Assumptions!$F$28+Assumptions!$F$29+Assumptions!$F$36*Assumptions!$F$37)+R32*Assumptions!$F$30+S32*(Assumptions!$F$31+Assumptions!$F$32)+M32*(Assumptions!$F$33+Assumptions!$F$38)+IFERROR(M32*J32/K32,0)*Assumptions!$F$35*Assumptions!$F$34</f>
        <v>52586.0470237894</v>
      </c>
      <c r="X32" s="49" t="n">
        <f aca="false">V32-W32</f>
        <v>106141.537067085</v>
      </c>
      <c r="Y32" s="49" t="n">
        <f aca="false">C32+E32+G32</f>
        <v>43973.8858330662</v>
      </c>
      <c r="Z32" s="49" t="n">
        <f aca="false">X32-Y32</f>
        <v>62167.6512340193</v>
      </c>
      <c r="AA32" s="20" t="n">
        <f aca="false">'Fixed Costs'!$G$31/52</f>
        <v>25332.6923076923</v>
      </c>
      <c r="AB32" s="49" t="n">
        <f aca="false">Z32-AA32</f>
        <v>36834.958926327</v>
      </c>
      <c r="AC32" s="21" t="n">
        <f aca="false">L32*Baseline!G32</f>
        <v>1874.71500553273</v>
      </c>
    </row>
    <row r="33" customFormat="false" ht="15" hidden="false" customHeight="false" outlineLevel="0" collapsed="false">
      <c r="A33" s="13" t="n">
        <v>28</v>
      </c>
      <c r="B33" s="14" t="str">
        <f aca="false">Calendar!D33</f>
        <v>P7</v>
      </c>
      <c r="C33" s="20" t="n">
        <f aca="false">IF('Media Plan'!D33&lt;&gt;"",'Media Plan'!D33,Assumptions!$F$10*Baseline!T33)</f>
        <v>29830.3352104316</v>
      </c>
      <c r="D33" s="21" t="n">
        <f aca="false">IFERROR(C33/(Baseline!H33*(1+Assumptions!$F$13)*IFERROR(MAX(0,C33)/'History Y-1'!P33,1)^Assumptions!$F$14),0)</f>
        <v>64341.0097038699</v>
      </c>
      <c r="E33" s="20" t="n">
        <f aca="false">IF('Media Plan'!J33&lt;&gt;"",'Media Plan'!J33,Assumptions!$F$11*Baseline!U33)</f>
        <v>14599.8382975908</v>
      </c>
      <c r="F33" s="21" t="n">
        <f aca="false">IFERROR(E33/(Baseline!I33*(1+Assumptions!$F$13)*IFERROR(MAX(0,E33)/'History Y-1'!Q33,1)^Assumptions!$F$15),0)</f>
        <v>39015.4415284043</v>
      </c>
      <c r="G33" s="20" t="n">
        <f aca="false">IF('Media Plan'!P33&lt;&gt;"",'Media Plan'!P33,Assumptions!$F$12*Baseline!V33)</f>
        <v>2403.32520679716</v>
      </c>
      <c r="H33" s="21" t="n">
        <f aca="false">IFERROR(G33/(Baseline!J33*(1+Assumptions!$F$13)*IFERROR(MAX(0,G33)/'History Y-1'!R33,1)^Assumptions!$F$16),0)</f>
        <v>9711.75574168891</v>
      </c>
      <c r="I33" s="21" t="n">
        <f aca="false">'History Y-1'!$F$58*(1+Assumptions!$F$6)*Baseline!Q33+'History Y-1'!$G$58*(1+Assumptions!$F$7)*Baseline!R33+J33</f>
        <v>157346.730437009</v>
      </c>
      <c r="J33" s="21" t="n">
        <f aca="false">'History Y-1'!$H$58*(1+Assumptions!$F$8)*Baseline!S33</f>
        <v>17743.3824516273</v>
      </c>
      <c r="K33" s="55" t="n">
        <f aca="false">D33+F33+H33+I33</f>
        <v>270414.937410972</v>
      </c>
      <c r="L33" s="21" t="n">
        <f aca="false">K33*Baseline!B33*(1+Assumptions!$F$18)*(1+Calendar!G33)</f>
        <v>5636.06169620403</v>
      </c>
      <c r="M33" s="20" t="n">
        <f aca="false">L33*Baseline!C33*(1+Assumptions!$F$19)</f>
        <v>427887.495051076</v>
      </c>
      <c r="N33" s="31" t="n">
        <f aca="false">MAX(0,MIN(0.9,Baseline!E33+Assumptions!$F$20))</f>
        <v>0.0989088636414021</v>
      </c>
      <c r="O33" s="31" t="n">
        <f aca="false">MAX(0,Baseline!F33+Assumptions!$F$21)</f>
        <v>0.266476425566013</v>
      </c>
      <c r="P33" s="49" t="n">
        <f aca="false">M33*O33</f>
        <v>114021.930225606</v>
      </c>
      <c r="Q33" s="49" t="n">
        <f aca="false">M33-P33</f>
        <v>313865.56482547</v>
      </c>
      <c r="R33" s="21" t="n">
        <f aca="false">L33*Baseline!D33</f>
        <v>10561.6418415511</v>
      </c>
      <c r="S33" s="21" t="n">
        <f aca="false">IFERROR(P33/(Baseline!C33*(1+Assumptions!$F$19)),0)</f>
        <v>1501.87757507397</v>
      </c>
      <c r="T33" s="20" t="n">
        <f aca="false">Q33/(1-N33)*(1-Assumptions!$F$23)</f>
        <v>132360.545810779</v>
      </c>
      <c r="U33" s="20" t="n">
        <f aca="false">P33/(1-N33)*(1-Assumptions!$F$23)*Assumptions!$F$24</f>
        <v>3365.90076366494</v>
      </c>
      <c r="V33" s="49" t="n">
        <f aca="false">Q33-T33-U33</f>
        <v>178139.118251027</v>
      </c>
      <c r="W33" s="20" t="n">
        <f aca="false">T33*Assumptions!$F$25+L33*(Assumptions!$F$27-Assumptions!$F$28+Assumptions!$F$29+Assumptions!$F$36*Assumptions!$F$37)+R33*Assumptions!$F$30+S33*(Assumptions!$F$31+Assumptions!$F$32)+M33*(Assumptions!$F$33+Assumptions!$F$38)+IFERROR(M33*J33/K33,0)*Assumptions!$F$35*Assumptions!$F$34</f>
        <v>55919.9315311534</v>
      </c>
      <c r="X33" s="49" t="n">
        <f aca="false">V33-W33</f>
        <v>122219.186719873</v>
      </c>
      <c r="Y33" s="49" t="n">
        <f aca="false">C33+E33+G33</f>
        <v>46833.4987148195</v>
      </c>
      <c r="Z33" s="49" t="n">
        <f aca="false">X33-Y33</f>
        <v>75385.6880050537</v>
      </c>
      <c r="AA33" s="20" t="n">
        <f aca="false">'Fixed Costs'!$G$31/52</f>
        <v>25332.6923076923</v>
      </c>
      <c r="AB33" s="49" t="n">
        <f aca="false">Z33-AA33</f>
        <v>50052.9956973614</v>
      </c>
      <c r="AC33" s="21" t="n">
        <f aca="false">L33*Baseline!G33</f>
        <v>1917.81843057191</v>
      </c>
    </row>
    <row r="34" customFormat="false" ht="15" hidden="false" customHeight="false" outlineLevel="0" collapsed="false">
      <c r="A34" s="13" t="n">
        <v>29</v>
      </c>
      <c r="B34" s="14" t="str">
        <f aca="false">Calendar!D34</f>
        <v>P7</v>
      </c>
      <c r="C34" s="20" t="n">
        <f aca="false">IF('Media Plan'!D34&lt;&gt;"",'Media Plan'!D34,Assumptions!$F$10*Baseline!T34)</f>
        <v>29146.8433829445</v>
      </c>
      <c r="D34" s="21" t="n">
        <f aca="false">IFERROR(C34/(Baseline!H34*(1+Assumptions!$F$13)*IFERROR(MAX(0,C34)/'History Y-1'!P34,1)^Assumptions!$F$14),0)</f>
        <v>62690.5199592385</v>
      </c>
      <c r="E34" s="20" t="n">
        <f aca="false">IF('Media Plan'!J34&lt;&gt;"",'Media Plan'!J34,Assumptions!$F$11*Baseline!U34)</f>
        <v>13813.3576131108</v>
      </c>
      <c r="F34" s="21" t="n">
        <f aca="false">IFERROR(E34/(Baseline!I34*(1+Assumptions!$F$13)*IFERROR(MAX(0,E34)/'History Y-1'!Q34,1)^Assumptions!$F$15),0)</f>
        <v>37829.1207475173</v>
      </c>
      <c r="G34" s="20" t="n">
        <f aca="false">IF('Media Plan'!P34&lt;&gt;"",'Media Plan'!P34,Assumptions!$F$12*Baseline!V34)</f>
        <v>2376.9601287594</v>
      </c>
      <c r="H34" s="21" t="n">
        <f aca="false">IFERROR(G34/(Baseline!J34*(1+Assumptions!$F$13)*IFERROR(MAX(0,G34)/'History Y-1'!R34,1)^Assumptions!$F$16),0)</f>
        <v>9680.6965561494</v>
      </c>
      <c r="I34" s="21" t="n">
        <f aca="false">'History Y-1'!$F$58*(1+Assumptions!$F$6)*Baseline!Q34+'History Y-1'!$G$58*(1+Assumptions!$F$7)*Baseline!R34+J34</f>
        <v>158327.971436806</v>
      </c>
      <c r="J34" s="21" t="n">
        <f aca="false">'History Y-1'!$H$58*(1+Assumptions!$F$8)*Baseline!S34</f>
        <v>17485.4923701147</v>
      </c>
      <c r="K34" s="55" t="n">
        <f aca="false">D34+F34+H34+I34</f>
        <v>268528.308699711</v>
      </c>
      <c r="L34" s="21" t="n">
        <f aca="false">K34*Baseline!B34*(1+Assumptions!$F$18)*(1+Calendar!G34)</f>
        <v>5541.15799050873</v>
      </c>
      <c r="M34" s="20" t="n">
        <f aca="false">L34*Baseline!C34*(1+Assumptions!$F$19)</f>
        <v>411414.647776796</v>
      </c>
      <c r="N34" s="31" t="n">
        <f aca="false">MAX(0,MIN(0.9,Baseline!E34+Assumptions!$F$20))</f>
        <v>0.102338115742198</v>
      </c>
      <c r="O34" s="31" t="n">
        <f aca="false">MAX(0,Baseline!F34+Assumptions!$F$21)</f>
        <v>0.278445798809196</v>
      </c>
      <c r="P34" s="49" t="n">
        <f aca="false">M34*O34</f>
        <v>114556.680242014</v>
      </c>
      <c r="Q34" s="49" t="n">
        <f aca="false">M34-P34</f>
        <v>296857.967534782</v>
      </c>
      <c r="R34" s="21" t="n">
        <f aca="false">L34*Baseline!D34</f>
        <v>10813.7694061464</v>
      </c>
      <c r="S34" s="21" t="n">
        <f aca="false">IFERROR(P34/(Baseline!C34*(1+Assumptions!$F$19)),0)</f>
        <v>1542.91216299516</v>
      </c>
      <c r="T34" s="20" t="n">
        <f aca="false">Q34/(1-N34)*(1-Assumptions!$F$23)</f>
        <v>125666.500540442</v>
      </c>
      <c r="U34" s="20" t="n">
        <f aca="false">P34/(1-N34)*(1-Assumptions!$F$23)*Assumptions!$F$24</f>
        <v>3394.60519364375</v>
      </c>
      <c r="V34" s="49" t="n">
        <f aca="false">Q34-T34-U34</f>
        <v>167796.861800696</v>
      </c>
      <c r="W34" s="20" t="n">
        <f aca="false">T34*Assumptions!$F$25+L34*(Assumptions!$F$27-Assumptions!$F$28+Assumptions!$F$29+Assumptions!$F$36*Assumptions!$F$37)+R34*Assumptions!$F$30+S34*(Assumptions!$F$31+Assumptions!$F$32)+M34*(Assumptions!$F$33+Assumptions!$F$38)+IFERROR(M34*J34/K34,0)*Assumptions!$F$35*Assumptions!$F$34</f>
        <v>55315.1464852</v>
      </c>
      <c r="X34" s="49" t="n">
        <f aca="false">V34-W34</f>
        <v>112481.715315496</v>
      </c>
      <c r="Y34" s="49" t="n">
        <f aca="false">C34+E34+G34</f>
        <v>45337.1611248147</v>
      </c>
      <c r="Z34" s="49" t="n">
        <f aca="false">X34-Y34</f>
        <v>67144.5541906815</v>
      </c>
      <c r="AA34" s="20" t="n">
        <f aca="false">'Fixed Costs'!$G$31/52</f>
        <v>25332.6923076923</v>
      </c>
      <c r="AB34" s="49" t="n">
        <f aca="false">Z34-AA34</f>
        <v>41811.8618829892</v>
      </c>
      <c r="AC34" s="21" t="n">
        <f aca="false">L34*Baseline!G34</f>
        <v>1959.20437293814</v>
      </c>
    </row>
    <row r="35" customFormat="false" ht="15" hidden="false" customHeight="false" outlineLevel="0" collapsed="false">
      <c r="A35" s="13" t="n">
        <v>30</v>
      </c>
      <c r="B35" s="14" t="str">
        <f aca="false">Calendar!D35</f>
        <v>P7</v>
      </c>
      <c r="C35" s="20" t="n">
        <f aca="false">IF('Media Plan'!D35&lt;&gt;"",'Media Plan'!D35,Assumptions!$F$10*Baseline!T35)</f>
        <v>27016.3668017203</v>
      </c>
      <c r="D35" s="21" t="n">
        <f aca="false">IFERROR(C35/(Baseline!H35*(1+Assumptions!$F$13)*IFERROR(MAX(0,C35)/'History Y-1'!P35,1)^Assumptions!$F$14),0)</f>
        <v>58016.5130777652</v>
      </c>
      <c r="E35" s="20" t="n">
        <f aca="false">IF('Media Plan'!J35&lt;&gt;"",'Media Plan'!J35,Assumptions!$F$11*Baseline!U35)</f>
        <v>14160.6638196381</v>
      </c>
      <c r="F35" s="21" t="n">
        <f aca="false">IFERROR(E35/(Baseline!I35*(1+Assumptions!$F$13)*IFERROR(MAX(0,E35)/'History Y-1'!Q35,1)^Assumptions!$F$15),0)</f>
        <v>37287.9207004859</v>
      </c>
      <c r="G35" s="20" t="n">
        <f aca="false">IF('Media Plan'!P35&lt;&gt;"",'Media Plan'!P35,Assumptions!$F$12*Baseline!V35)</f>
        <v>2384.34418049395</v>
      </c>
      <c r="H35" s="21" t="n">
        <f aca="false">IFERROR(G35/(Baseline!J35*(1+Assumptions!$F$13)*IFERROR(MAX(0,G35)/'History Y-1'!R35,1)^Assumptions!$F$16),0)</f>
        <v>9515.52885269621</v>
      </c>
      <c r="I35" s="21" t="n">
        <f aca="false">'History Y-1'!$F$58*(1+Assumptions!$F$6)*Baseline!Q35+'History Y-1'!$G$58*(1+Assumptions!$F$7)*Baseline!R35+J35</f>
        <v>154015.496406045</v>
      </c>
      <c r="J35" s="21" t="n">
        <f aca="false">'History Y-1'!$H$58*(1+Assumptions!$F$8)*Baseline!S35</f>
        <v>17725.705200917</v>
      </c>
      <c r="K35" s="55" t="n">
        <f aca="false">D35+F35+H35+I35</f>
        <v>258835.459036992</v>
      </c>
      <c r="L35" s="21" t="n">
        <f aca="false">K35*Baseline!B35*(1+Assumptions!$F$18)*(1+Calendar!G35)</f>
        <v>5350.77123680313</v>
      </c>
      <c r="M35" s="20" t="n">
        <f aca="false">L35*Baseline!C35*(1+Assumptions!$F$19)</f>
        <v>398230.378199545</v>
      </c>
      <c r="N35" s="31" t="n">
        <f aca="false">MAX(0,MIN(0.9,Baseline!E35+Assumptions!$F$20))</f>
        <v>0.0954892189355552</v>
      </c>
      <c r="O35" s="31" t="n">
        <f aca="false">MAX(0,Baseline!F35+Assumptions!$F$21)</f>
        <v>0.273790927758975</v>
      </c>
      <c r="P35" s="49" t="n">
        <f aca="false">M35*O35</f>
        <v>109031.864709061</v>
      </c>
      <c r="Q35" s="49" t="n">
        <f aca="false">M35-P35</f>
        <v>289198.513490485</v>
      </c>
      <c r="R35" s="21" t="n">
        <f aca="false">L35*Baseline!D35</f>
        <v>10298.7343700732</v>
      </c>
      <c r="S35" s="21" t="n">
        <f aca="false">IFERROR(P35/(Baseline!C35*(1+Assumptions!$F$19)),0)</f>
        <v>1464.99262115037</v>
      </c>
      <c r="T35" s="20" t="n">
        <f aca="false">Q35/(1-N35)*(1-Assumptions!$F$23)</f>
        <v>121497.098129728</v>
      </c>
      <c r="U35" s="20" t="n">
        <f aca="false">P35/(1-N35)*(1-Assumptions!$F$23)*Assumptions!$F$24</f>
        <v>3206.42679111901</v>
      </c>
      <c r="V35" s="49" t="n">
        <f aca="false">Q35-T35-U35</f>
        <v>164494.988569637</v>
      </c>
      <c r="W35" s="20" t="n">
        <f aca="false">T35*Assumptions!$F$25+L35*(Assumptions!$F$27-Assumptions!$F$28+Assumptions!$F$29+Assumptions!$F$36*Assumptions!$F$37)+R35*Assumptions!$F$30+S35*(Assumptions!$F$31+Assumptions!$F$32)+M35*(Assumptions!$F$33+Assumptions!$F$38)+IFERROR(M35*J35/K35,0)*Assumptions!$F$35*Assumptions!$F$34</f>
        <v>53298.141681949</v>
      </c>
      <c r="X35" s="49" t="n">
        <f aca="false">V35-W35</f>
        <v>111196.846887688</v>
      </c>
      <c r="Y35" s="49" t="n">
        <f aca="false">C35+E35+G35</f>
        <v>43561.3748018524</v>
      </c>
      <c r="Z35" s="49" t="n">
        <f aca="false">X35-Y35</f>
        <v>67635.4720858357</v>
      </c>
      <c r="AA35" s="20" t="n">
        <f aca="false">'Fixed Costs'!$G$31/52</f>
        <v>25332.6923076923</v>
      </c>
      <c r="AB35" s="49" t="n">
        <f aca="false">Z35-AA35</f>
        <v>42302.7797781434</v>
      </c>
      <c r="AC35" s="21" t="n">
        <f aca="false">L35*Baseline!G35</f>
        <v>1869.59861331368</v>
      </c>
    </row>
    <row r="36" customFormat="false" ht="15" hidden="false" customHeight="false" outlineLevel="0" collapsed="false">
      <c r="A36" s="13" t="n">
        <v>31</v>
      </c>
      <c r="B36" s="14" t="str">
        <f aca="false">Calendar!D36</f>
        <v>P8</v>
      </c>
      <c r="C36" s="20" t="n">
        <f aca="false">IF('Media Plan'!D36&lt;&gt;"",'Media Plan'!D36,Assumptions!$F$10*Baseline!T36)</f>
        <v>28120.5257362204</v>
      </c>
      <c r="D36" s="21" t="n">
        <f aca="false">IFERROR(C36/(Baseline!H36*(1+Assumptions!$F$13)*IFERROR(MAX(0,C36)/'History Y-1'!P36,1)^Assumptions!$F$14),0)</f>
        <v>61351.3289728147</v>
      </c>
      <c r="E36" s="20" t="n">
        <f aca="false">IF('Media Plan'!J36&lt;&gt;"",'Media Plan'!J36,Assumptions!$F$11*Baseline!U36)</f>
        <v>14078.9506734946</v>
      </c>
      <c r="F36" s="21" t="n">
        <f aca="false">IFERROR(E36/(Baseline!I36*(1+Assumptions!$F$13)*IFERROR(MAX(0,E36)/'History Y-1'!Q36,1)^Assumptions!$F$15),0)</f>
        <v>38985.8558666474</v>
      </c>
      <c r="G36" s="20" t="n">
        <f aca="false">IF('Media Plan'!P36&lt;&gt;"",'Media Plan'!P36,Assumptions!$F$12*Baseline!V36)</f>
        <v>2625.02892507126</v>
      </c>
      <c r="H36" s="21" t="n">
        <f aca="false">IFERROR(G36/(Baseline!J36*(1+Assumptions!$F$13)*IFERROR(MAX(0,G36)/'History Y-1'!R36,1)^Assumptions!$F$16),0)</f>
        <v>10482.9895121664</v>
      </c>
      <c r="I36" s="21" t="n">
        <f aca="false">'History Y-1'!$F$58*(1+Assumptions!$F$6)*Baseline!Q36+'History Y-1'!$G$58*(1+Assumptions!$F$7)*Baseline!R36+J36</f>
        <v>160693.620247803</v>
      </c>
      <c r="J36" s="21" t="n">
        <f aca="false">'History Y-1'!$H$58*(1+Assumptions!$F$8)*Baseline!S36</f>
        <v>18827.6507675679</v>
      </c>
      <c r="K36" s="55" t="n">
        <f aca="false">D36+F36+H36+I36</f>
        <v>271513.794599432</v>
      </c>
      <c r="L36" s="21" t="n">
        <f aca="false">K36*Baseline!B36*(1+Assumptions!$F$18)*(1+Calendar!G36)</f>
        <v>5641.66143072325</v>
      </c>
      <c r="M36" s="20" t="n">
        <f aca="false">L36*Baseline!C36*(1+Assumptions!$F$19)</f>
        <v>425852.349104547</v>
      </c>
      <c r="N36" s="31" t="n">
        <f aca="false">MAX(0,MIN(0.9,Baseline!E36+Assumptions!$F$20))</f>
        <v>0.100521376282299</v>
      </c>
      <c r="O36" s="31" t="n">
        <f aca="false">MAX(0,Baseline!F36+Assumptions!$F$21)</f>
        <v>0.272414351755172</v>
      </c>
      <c r="P36" s="49" t="n">
        <f aca="false">M36*O36</f>
        <v>116008.291624732</v>
      </c>
      <c r="Q36" s="49" t="n">
        <f aca="false">M36-P36</f>
        <v>309844.057479815</v>
      </c>
      <c r="R36" s="21" t="n">
        <f aca="false">L36*Baseline!D36</f>
        <v>10587.071895174</v>
      </c>
      <c r="S36" s="21" t="n">
        <f aca="false">IFERROR(P36/(Baseline!C36*(1+Assumptions!$F$19)),0)</f>
        <v>1536.86954147263</v>
      </c>
      <c r="T36" s="20" t="n">
        <f aca="false">Q36/(1-N36)*(1-Assumptions!$F$23)</f>
        <v>130898.877124713</v>
      </c>
      <c r="U36" s="20" t="n">
        <f aca="false">P36/(1-N36)*(1-Assumptions!$F$23)*Assumptions!$F$24</f>
        <v>3430.67692310869</v>
      </c>
      <c r="V36" s="49" t="n">
        <f aca="false">Q36-T36-U36</f>
        <v>175514.503431993</v>
      </c>
      <c r="W36" s="20" t="n">
        <f aca="false">T36*Assumptions!$F$25+L36*(Assumptions!$F$27-Assumptions!$F$28+Assumptions!$F$29+Assumptions!$F$36*Assumptions!$F$37)+R36*Assumptions!$F$30+S36*(Assumptions!$F$31+Assumptions!$F$32)+M36*(Assumptions!$F$33+Assumptions!$F$38)+IFERROR(M36*J36/K36,0)*Assumptions!$F$35*Assumptions!$F$34</f>
        <v>56172.6292201002</v>
      </c>
      <c r="X36" s="49" t="n">
        <f aca="false">V36-W36</f>
        <v>119341.874211893</v>
      </c>
      <c r="Y36" s="49" t="n">
        <f aca="false">C36+E36+G36</f>
        <v>44824.5053347862</v>
      </c>
      <c r="Z36" s="49" t="n">
        <f aca="false">X36-Y36</f>
        <v>74517.3688771064</v>
      </c>
      <c r="AA36" s="20" t="n">
        <f aca="false">'Fixed Costs'!$G$31/52</f>
        <v>25332.6923076923</v>
      </c>
      <c r="AB36" s="49" t="n">
        <f aca="false">Z36-AA36</f>
        <v>49184.6765694141</v>
      </c>
      <c r="AC36" s="21" t="n">
        <f aca="false">L36*Baseline!G36</f>
        <v>1960.88169846582</v>
      </c>
    </row>
    <row r="37" customFormat="false" ht="15" hidden="false" customHeight="false" outlineLevel="0" collapsed="false">
      <c r="A37" s="13" t="n">
        <v>32</v>
      </c>
      <c r="B37" s="14" t="str">
        <f aca="false">Calendar!D37</f>
        <v>P8</v>
      </c>
      <c r="C37" s="20" t="n">
        <f aca="false">IF('Media Plan'!D37&lt;&gt;"",'Media Plan'!D37,Assumptions!$F$10*Baseline!T37)</f>
        <v>28409.2178190255</v>
      </c>
      <c r="D37" s="21" t="n">
        <f aca="false">IFERROR(C37/(Baseline!H37*(1+Assumptions!$F$13)*IFERROR(MAX(0,C37)/'History Y-1'!P37,1)^Assumptions!$F$14),0)</f>
        <v>63574.5642265071</v>
      </c>
      <c r="E37" s="20" t="n">
        <f aca="false">IF('Media Plan'!J37&lt;&gt;"",'Media Plan'!J37,Assumptions!$F$11*Baseline!U37)</f>
        <v>14400.573070842</v>
      </c>
      <c r="F37" s="21" t="n">
        <f aca="false">IFERROR(E37/(Baseline!I37*(1+Assumptions!$F$13)*IFERROR(MAX(0,E37)/'History Y-1'!Q37,1)^Assumptions!$F$15),0)</f>
        <v>37605.9346189886</v>
      </c>
      <c r="G37" s="20" t="n">
        <f aca="false">IF('Media Plan'!P37&lt;&gt;"",'Media Plan'!P37,Assumptions!$F$12*Baseline!V37)</f>
        <v>2607.97765737065</v>
      </c>
      <c r="H37" s="21" t="n">
        <f aca="false">IFERROR(G37/(Baseline!J37*(1+Assumptions!$F$13)*IFERROR(MAX(0,G37)/'History Y-1'!R37,1)^Assumptions!$F$16),0)</f>
        <v>10143.2606964663</v>
      </c>
      <c r="I37" s="21" t="n">
        <f aca="false">'History Y-1'!$F$58*(1+Assumptions!$F$6)*Baseline!Q37+'History Y-1'!$G$58*(1+Assumptions!$F$7)*Baseline!R37+J37</f>
        <v>157366.132979305</v>
      </c>
      <c r="J37" s="21" t="n">
        <f aca="false">'History Y-1'!$H$58*(1+Assumptions!$F$8)*Baseline!S37</f>
        <v>17806.2007755309</v>
      </c>
      <c r="K37" s="55" t="n">
        <f aca="false">D37+F37+H37+I37</f>
        <v>268689.892521267</v>
      </c>
      <c r="L37" s="21" t="n">
        <f aca="false">K37*Baseline!B37*(1+Assumptions!$F$18)*(1+Calendar!G37)</f>
        <v>5598.98538584789</v>
      </c>
      <c r="M37" s="20" t="n">
        <f aca="false">L37*Baseline!C37*(1+Assumptions!$F$19)</f>
        <v>415273.209694521</v>
      </c>
      <c r="N37" s="31" t="n">
        <f aca="false">MAX(0,MIN(0.9,Baseline!E37+Assumptions!$F$20))</f>
        <v>0.100986075860196</v>
      </c>
      <c r="O37" s="31" t="n">
        <f aca="false">MAX(0,Baseline!F37+Assumptions!$F$21)</f>
        <v>0.276753859014964</v>
      </c>
      <c r="P37" s="49" t="n">
        <f aca="false">M37*O37</f>
        <v>114928.463328489</v>
      </c>
      <c r="Q37" s="49" t="n">
        <f aca="false">M37-P37</f>
        <v>300344.746366032</v>
      </c>
      <c r="R37" s="21" t="n">
        <f aca="false">L37*Baseline!D37</f>
        <v>10562.5870617979</v>
      </c>
      <c r="S37" s="21" t="n">
        <f aca="false">IFERROR(P37/(Baseline!C37*(1+Assumptions!$F$19)),0)</f>
        <v>1549.54081210179</v>
      </c>
      <c r="T37" s="20" t="n">
        <f aca="false">Q37/(1-N37)*(1-Assumptions!$F$23)</f>
        <v>126951.319167047</v>
      </c>
      <c r="U37" s="20" t="n">
        <f aca="false">P37/(1-N37)*(1-Assumptions!$F$23)*Assumptions!$F$24</f>
        <v>3400.50030644732</v>
      </c>
      <c r="V37" s="49" t="n">
        <f aca="false">Q37-T37-U37</f>
        <v>169992.926892537</v>
      </c>
      <c r="W37" s="20" t="n">
        <f aca="false">T37*Assumptions!$F$25+L37*(Assumptions!$F$27-Assumptions!$F$28+Assumptions!$F$29+Assumptions!$F$36*Assumptions!$F$37)+R37*Assumptions!$F$30+S37*(Assumptions!$F$31+Assumptions!$F$32)+M37*(Assumptions!$F$33+Assumptions!$F$38)+IFERROR(M37*J37/K37,0)*Assumptions!$F$35*Assumptions!$F$34</f>
        <v>55545.3883090626</v>
      </c>
      <c r="X37" s="49" t="n">
        <f aca="false">V37-W37</f>
        <v>114447.538583474</v>
      </c>
      <c r="Y37" s="49" t="n">
        <f aca="false">C37+E37+G37</f>
        <v>45417.7685472381</v>
      </c>
      <c r="Z37" s="49" t="n">
        <f aca="false">X37-Y37</f>
        <v>69029.7700362362</v>
      </c>
      <c r="AA37" s="20" t="n">
        <f aca="false">'Fixed Costs'!$G$31/52</f>
        <v>25332.6923076923</v>
      </c>
      <c r="AB37" s="49" t="n">
        <f aca="false">Z37-AA37</f>
        <v>43697.0777285438</v>
      </c>
      <c r="AC37" s="21" t="n">
        <f aca="false">L37*Baseline!G37</f>
        <v>1898.04451454832</v>
      </c>
    </row>
    <row r="38" customFormat="false" ht="15" hidden="false" customHeight="false" outlineLevel="0" collapsed="false">
      <c r="A38" s="13" t="n">
        <v>33</v>
      </c>
      <c r="B38" s="14" t="str">
        <f aca="false">Calendar!D38</f>
        <v>P8</v>
      </c>
      <c r="C38" s="20" t="n">
        <f aca="false">IF('Media Plan'!D38&lt;&gt;"",'Media Plan'!D38,Assumptions!$F$10*Baseline!T38)</f>
        <v>28151.8243540252</v>
      </c>
      <c r="D38" s="21" t="n">
        <f aca="false">IFERROR(C38/(Baseline!H38*(1+Assumptions!$F$13)*IFERROR(MAX(0,C38)/'History Y-1'!P38,1)^Assumptions!$F$14),0)</f>
        <v>61529.6611481714</v>
      </c>
      <c r="E38" s="20" t="n">
        <f aca="false">IF('Media Plan'!J38&lt;&gt;"",'Media Plan'!J38,Assumptions!$F$11*Baseline!U38)</f>
        <v>13712.6471712371</v>
      </c>
      <c r="F38" s="21" t="n">
        <f aca="false">IFERROR(E38/(Baseline!I38*(1+Assumptions!$F$13)*IFERROR(MAX(0,E38)/'History Y-1'!Q38,1)^Assumptions!$F$15),0)</f>
        <v>37698.0688774179</v>
      </c>
      <c r="G38" s="20" t="n">
        <f aca="false">IF('Media Plan'!P38&lt;&gt;"",'Media Plan'!P38,Assumptions!$F$12*Baseline!V38)</f>
        <v>2445.98052652127</v>
      </c>
      <c r="H38" s="21" t="n">
        <f aca="false">IFERROR(G38/(Baseline!J38*(1+Assumptions!$F$13)*IFERROR(MAX(0,G38)/'History Y-1'!R38,1)^Assumptions!$F$16),0)</f>
        <v>9865.26318914766</v>
      </c>
      <c r="I38" s="21" t="n">
        <f aca="false">'History Y-1'!$F$58*(1+Assumptions!$F$6)*Baseline!Q38+'History Y-1'!$G$58*(1+Assumptions!$F$7)*Baseline!R38+J38</f>
        <v>156280.641606853</v>
      </c>
      <c r="J38" s="21" t="n">
        <f aca="false">'History Y-1'!$H$58*(1+Assumptions!$F$8)*Baseline!S38</f>
        <v>17822.6573489564</v>
      </c>
      <c r="K38" s="55" t="n">
        <f aca="false">D38+F38+H38+I38</f>
        <v>265373.63482159</v>
      </c>
      <c r="L38" s="21" t="n">
        <f aca="false">K38*Baseline!B38*(1+Assumptions!$F$18)*(1+Calendar!G38)</f>
        <v>5572.40227384214</v>
      </c>
      <c r="M38" s="20" t="n">
        <f aca="false">L38*Baseline!C38*(1+Assumptions!$F$19)</f>
        <v>421489.746497183</v>
      </c>
      <c r="N38" s="31" t="n">
        <f aca="false">MAX(0,MIN(0.9,Baseline!E38+Assumptions!$F$20))</f>
        <v>0.103800401938257</v>
      </c>
      <c r="O38" s="31" t="n">
        <f aca="false">MAX(0,Baseline!F38+Assumptions!$F$21)</f>
        <v>0.278412153329654</v>
      </c>
      <c r="P38" s="49" t="n">
        <f aca="false">M38*O38</f>
        <v>117347.867928651</v>
      </c>
      <c r="Q38" s="49" t="n">
        <f aca="false">M38-P38</f>
        <v>304141.878568532</v>
      </c>
      <c r="R38" s="21" t="n">
        <f aca="false">L38*Baseline!D38</f>
        <v>10629.5851345842</v>
      </c>
      <c r="S38" s="21" t="n">
        <f aca="false">IFERROR(P38/(Baseline!C38*(1+Assumptions!$F$19)),0)</f>
        <v>1551.42451627945</v>
      </c>
      <c r="T38" s="20" t="n">
        <f aca="false">Q38/(1-N38)*(1-Assumptions!$F$23)</f>
        <v>128960.015275615</v>
      </c>
      <c r="U38" s="20" t="n">
        <f aca="false">P38/(1-N38)*(1-Assumptions!$F$23)*Assumptions!$F$24</f>
        <v>3482.98893868402</v>
      </c>
      <c r="V38" s="49" t="n">
        <f aca="false">Q38-T38-U38</f>
        <v>171698.874354233</v>
      </c>
      <c r="W38" s="20" t="n">
        <f aca="false">T38*Assumptions!$F$25+L38*(Assumptions!$F$27-Assumptions!$F$28+Assumptions!$F$29+Assumptions!$F$36*Assumptions!$F$37)+R38*Assumptions!$F$30+S38*(Assumptions!$F$31+Assumptions!$F$32)+M38*(Assumptions!$F$33+Assumptions!$F$38)+IFERROR(M38*J38/K38,0)*Assumptions!$F$35*Assumptions!$F$34</f>
        <v>55739.7249138151</v>
      </c>
      <c r="X38" s="49" t="n">
        <f aca="false">V38-W38</f>
        <v>115959.149440418</v>
      </c>
      <c r="Y38" s="49" t="n">
        <f aca="false">C38+E38+G38</f>
        <v>44310.4520517835</v>
      </c>
      <c r="Z38" s="49" t="n">
        <f aca="false">X38-Y38</f>
        <v>71648.6973886349</v>
      </c>
      <c r="AA38" s="20" t="n">
        <f aca="false">'Fixed Costs'!$G$31/52</f>
        <v>25332.6923076923</v>
      </c>
      <c r="AB38" s="49" t="n">
        <f aca="false">Z38-AA38</f>
        <v>46316.0050809426</v>
      </c>
      <c r="AC38" s="21" t="n">
        <f aca="false">L38*Baseline!G38</f>
        <v>2001.40519116823</v>
      </c>
    </row>
    <row r="39" customFormat="false" ht="15" hidden="false" customHeight="false" outlineLevel="0" collapsed="false">
      <c r="A39" s="13" t="n">
        <v>34</v>
      </c>
      <c r="B39" s="14" t="str">
        <f aca="false">Calendar!D39</f>
        <v>P8</v>
      </c>
      <c r="C39" s="20" t="n">
        <f aca="false">IF('Media Plan'!D39&lt;&gt;"",'Media Plan'!D39,Assumptions!$F$10*Baseline!T39)</f>
        <v>28360.5044314394</v>
      </c>
      <c r="D39" s="21" t="n">
        <f aca="false">IFERROR(C39/(Baseline!H39*(1+Assumptions!$F$13)*IFERROR(MAX(0,C39)/'History Y-1'!P39,1)^Assumptions!$F$14),0)</f>
        <v>61671.9996668228</v>
      </c>
      <c r="E39" s="20" t="n">
        <f aca="false">IF('Media Plan'!J39&lt;&gt;"",'Media Plan'!J39,Assumptions!$F$11*Baseline!U39)</f>
        <v>14575.2825065851</v>
      </c>
      <c r="F39" s="21" t="n">
        <f aca="false">IFERROR(E39/(Baseline!I39*(1+Assumptions!$F$13)*IFERROR(MAX(0,E39)/'History Y-1'!Q39,1)^Assumptions!$F$15),0)</f>
        <v>39155.1800872614</v>
      </c>
      <c r="G39" s="20" t="n">
        <f aca="false">IF('Media Plan'!P39&lt;&gt;"",'Media Plan'!P39,Assumptions!$F$12*Baseline!V39)</f>
        <v>2529.46632460606</v>
      </c>
      <c r="H39" s="21" t="n">
        <f aca="false">IFERROR(G39/(Baseline!J39*(1+Assumptions!$F$13)*IFERROR(MAX(0,G39)/'History Y-1'!R39,1)^Assumptions!$F$16),0)</f>
        <v>9835.55925609694</v>
      </c>
      <c r="I39" s="21" t="n">
        <f aca="false">'History Y-1'!$F$58*(1+Assumptions!$F$6)*Baseline!Q39+'History Y-1'!$G$58*(1+Assumptions!$F$7)*Baseline!R39+J39</f>
        <v>154233.858179679</v>
      </c>
      <c r="J39" s="21" t="n">
        <f aca="false">'History Y-1'!$H$58*(1+Assumptions!$F$8)*Baseline!S39</f>
        <v>18431.0488322129</v>
      </c>
      <c r="K39" s="55" t="n">
        <f aca="false">D39+F39+H39+I39</f>
        <v>264896.59718986</v>
      </c>
      <c r="L39" s="21" t="n">
        <f aca="false">K39*Baseline!B39*(1+Assumptions!$F$18)*(1+Calendar!G39)</f>
        <v>5389.66817557184</v>
      </c>
      <c r="M39" s="20" t="n">
        <f aca="false">L39*Baseline!C39*(1+Assumptions!$F$19)</f>
        <v>404952.416394968</v>
      </c>
      <c r="N39" s="31" t="n">
        <f aca="false">MAX(0,MIN(0.9,Baseline!E39+Assumptions!$F$20))</f>
        <v>0.0972506852430277</v>
      </c>
      <c r="O39" s="31" t="n">
        <f aca="false">MAX(0,Baseline!F39+Assumptions!$F$21)</f>
        <v>0.266878705960027</v>
      </c>
      <c r="P39" s="49" t="n">
        <f aca="false">M39*O39</f>
        <v>108073.176862875</v>
      </c>
      <c r="Q39" s="49" t="n">
        <f aca="false">M39-P39</f>
        <v>296879.239532093</v>
      </c>
      <c r="R39" s="21" t="n">
        <f aca="false">L39*Baseline!D39</f>
        <v>10363.3208125118</v>
      </c>
      <c r="S39" s="21" t="n">
        <f aca="false">IFERROR(P39/(Baseline!C39*(1+Assumptions!$F$19)),0)</f>
        <v>1438.38766825055</v>
      </c>
      <c r="T39" s="20" t="n">
        <f aca="false">Q39/(1-N39)*(1-Assumptions!$F$23)</f>
        <v>124967.26297994</v>
      </c>
      <c r="U39" s="20" t="n">
        <f aca="false">P39/(1-N39)*(1-Assumptions!$F$23)*Assumptions!$F$24</f>
        <v>3184.43498938173</v>
      </c>
      <c r="V39" s="49" t="n">
        <f aca="false">Q39-T39-U39</f>
        <v>168727.541562771</v>
      </c>
      <c r="W39" s="20" t="n">
        <f aca="false">T39*Assumptions!$F$25+L39*(Assumptions!$F$27-Assumptions!$F$28+Assumptions!$F$29+Assumptions!$F$36*Assumptions!$F$37)+R39*Assumptions!$F$30+S39*(Assumptions!$F$31+Assumptions!$F$32)+M39*(Assumptions!$F$33+Assumptions!$F$38)+IFERROR(M39*J39/K39,0)*Assumptions!$F$35*Assumptions!$F$34</f>
        <v>53700.5787023054</v>
      </c>
      <c r="X39" s="49" t="n">
        <f aca="false">V39-W39</f>
        <v>115026.962860466</v>
      </c>
      <c r="Y39" s="49" t="n">
        <f aca="false">C39+E39+G39</f>
        <v>45465.2532626306</v>
      </c>
      <c r="Z39" s="49" t="n">
        <f aca="false">X39-Y39</f>
        <v>69561.7095978349</v>
      </c>
      <c r="AA39" s="20" t="n">
        <f aca="false">'Fixed Costs'!$G$31/52</f>
        <v>25332.6923076923</v>
      </c>
      <c r="AB39" s="49" t="n">
        <f aca="false">Z39-AA39</f>
        <v>44229.0172901426</v>
      </c>
      <c r="AC39" s="21" t="n">
        <f aca="false">L39*Baseline!G39</f>
        <v>1864.97514704753</v>
      </c>
    </row>
    <row r="40" customFormat="false" ht="15" hidden="false" customHeight="false" outlineLevel="0" collapsed="false">
      <c r="A40" s="13" t="n">
        <v>35</v>
      </c>
      <c r="B40" s="14" t="str">
        <f aca="false">Calendar!D40</f>
        <v>P9</v>
      </c>
      <c r="C40" s="20" t="n">
        <f aca="false">IF('Media Plan'!D40&lt;&gt;"",'Media Plan'!D40,Assumptions!$F$10*Baseline!T40)</f>
        <v>27230.1682071444</v>
      </c>
      <c r="D40" s="21" t="n">
        <f aca="false">IFERROR(C40/(Baseline!H40*(1+Assumptions!$F$13)*IFERROR(MAX(0,C40)/'History Y-1'!P40,1)^Assumptions!$F$14),0)</f>
        <v>59795.4793513957</v>
      </c>
      <c r="E40" s="20" t="n">
        <f aca="false">IF('Media Plan'!J40&lt;&gt;"",'Media Plan'!J40,Assumptions!$F$11*Baseline!U40)</f>
        <v>13867.9901499359</v>
      </c>
      <c r="F40" s="21" t="n">
        <f aca="false">IFERROR(E40/(Baseline!I40*(1+Assumptions!$F$13)*IFERROR(MAX(0,E40)/'History Y-1'!Q40,1)^Assumptions!$F$15),0)</f>
        <v>37019.1120046478</v>
      </c>
      <c r="G40" s="20" t="n">
        <f aca="false">IF('Media Plan'!P40&lt;&gt;"",'Media Plan'!P40,Assumptions!$F$12*Baseline!V40)</f>
        <v>2461.4740253444</v>
      </c>
      <c r="H40" s="21" t="n">
        <f aca="false">IFERROR(G40/(Baseline!J40*(1+Assumptions!$F$13)*IFERROR(MAX(0,G40)/'History Y-1'!R40,1)^Assumptions!$F$16),0)</f>
        <v>9557.83418527803</v>
      </c>
      <c r="I40" s="21" t="n">
        <f aca="false">'History Y-1'!$F$58*(1+Assumptions!$F$6)*Baseline!Q40+'History Y-1'!$G$58*(1+Assumptions!$F$7)*Baseline!R40+J40</f>
        <v>152744.410004016</v>
      </c>
      <c r="J40" s="21" t="n">
        <f aca="false">'History Y-1'!$H$58*(1+Assumptions!$F$8)*Baseline!S40</f>
        <v>17978.2132616897</v>
      </c>
      <c r="K40" s="55" t="n">
        <f aca="false">D40+F40+H40+I40</f>
        <v>259116.835545338</v>
      </c>
      <c r="L40" s="21" t="n">
        <f aca="false">K40*Baseline!B40*(1+Assumptions!$F$18)*(1+Calendar!G40)</f>
        <v>5451.92952536606</v>
      </c>
      <c r="M40" s="20" t="n">
        <f aca="false">L40*Baseline!C40*(1+Assumptions!$F$19)</f>
        <v>405732.205355814</v>
      </c>
      <c r="N40" s="31" t="n">
        <f aca="false">MAX(0,MIN(0.9,Baseline!E40+Assumptions!$F$20))</f>
        <v>0.10110430085173</v>
      </c>
      <c r="O40" s="31" t="n">
        <f aca="false">MAX(0,Baseline!F40+Assumptions!$F$21)</f>
        <v>0.275004387651849</v>
      </c>
      <c r="P40" s="49" t="n">
        <f aca="false">M40*O40</f>
        <v>111578.13668451</v>
      </c>
      <c r="Q40" s="49" t="n">
        <f aca="false">M40-P40</f>
        <v>294154.068671304</v>
      </c>
      <c r="R40" s="21" t="n">
        <f aca="false">L40*Baseline!D40</f>
        <v>10267.0675784066</v>
      </c>
      <c r="S40" s="21" t="n">
        <f aca="false">IFERROR(P40/(Baseline!C40*(1+Assumptions!$F$19)),0)</f>
        <v>1499.30454064433</v>
      </c>
      <c r="T40" s="20" t="n">
        <f aca="false">Q40/(1-N40)*(1-Assumptions!$F$23)</f>
        <v>124350.963299757</v>
      </c>
      <c r="U40" s="20" t="n">
        <f aca="false">P40/(1-N40)*(1-Assumptions!$F$23)*Assumptions!$F$24</f>
        <v>3301.80513559049</v>
      </c>
      <c r="V40" s="49" t="n">
        <f aca="false">Q40-T40-U40</f>
        <v>166501.300235957</v>
      </c>
      <c r="W40" s="20" t="n">
        <f aca="false">T40*Assumptions!$F$25+L40*(Assumptions!$F$27-Assumptions!$F$28+Assumptions!$F$29+Assumptions!$F$36*Assumptions!$F$37)+R40*Assumptions!$F$30+S40*(Assumptions!$F$31+Assumptions!$F$32)+M40*(Assumptions!$F$33+Assumptions!$F$38)+IFERROR(M40*J40/K40,0)*Assumptions!$F$35*Assumptions!$F$34</f>
        <v>54179.715026655</v>
      </c>
      <c r="X40" s="49" t="n">
        <f aca="false">V40-W40</f>
        <v>112321.585209302</v>
      </c>
      <c r="Y40" s="49" t="n">
        <f aca="false">C40+E40+G40</f>
        <v>43559.6323824247</v>
      </c>
      <c r="Z40" s="49" t="n">
        <f aca="false">X40-Y40</f>
        <v>68761.9528268775</v>
      </c>
      <c r="AA40" s="20" t="n">
        <f aca="false">'Fixed Costs'!$G$31/52</f>
        <v>25332.6923076923</v>
      </c>
      <c r="AB40" s="49" t="n">
        <f aca="false">Z40-AA40</f>
        <v>43429.2605191852</v>
      </c>
      <c r="AC40" s="21" t="n">
        <f aca="false">L40*Baseline!G40</f>
        <v>1942.18065193479</v>
      </c>
    </row>
    <row r="41" customFormat="false" ht="15" hidden="false" customHeight="false" outlineLevel="0" collapsed="false">
      <c r="A41" s="13" t="n">
        <v>36</v>
      </c>
      <c r="B41" s="14" t="str">
        <f aca="false">Calendar!D41</f>
        <v>P9</v>
      </c>
      <c r="C41" s="20" t="n">
        <f aca="false">IF('Media Plan'!D41&lt;&gt;"",'Media Plan'!D41,Assumptions!$F$10*Baseline!T41)</f>
        <v>33699.0279584869</v>
      </c>
      <c r="D41" s="21" t="n">
        <f aca="false">IFERROR(C41/(Baseline!H41*(1+Assumptions!$F$13)*IFERROR(MAX(0,C41)/'History Y-1'!P41,1)^Assumptions!$F$14),0)</f>
        <v>71934.1302824515</v>
      </c>
      <c r="E41" s="20" t="n">
        <f aca="false">IF('Media Plan'!J41&lt;&gt;"",'Media Plan'!J41,Assumptions!$F$11*Baseline!U41)</f>
        <v>17163.3672771349</v>
      </c>
      <c r="F41" s="21" t="n">
        <f aca="false">IFERROR(E41/(Baseline!I41*(1+Assumptions!$F$13)*IFERROR(MAX(0,E41)/'History Y-1'!Q41,1)^Assumptions!$F$15),0)</f>
        <v>46514.1685194518</v>
      </c>
      <c r="G41" s="20" t="n">
        <f aca="false">IF('Media Plan'!P41&lt;&gt;"",'Media Plan'!P41,Assumptions!$F$12*Baseline!V41)</f>
        <v>3145.29446163763</v>
      </c>
      <c r="H41" s="21" t="n">
        <f aca="false">IFERROR(G41/(Baseline!J41*(1+Assumptions!$F$13)*IFERROR(MAX(0,G41)/'History Y-1'!R41,1)^Assumptions!$F$16),0)</f>
        <v>12229.6612492426</v>
      </c>
      <c r="I41" s="21" t="n">
        <f aca="false">'History Y-1'!$F$58*(1+Assumptions!$F$6)*Baseline!Q41+'History Y-1'!$G$58*(1+Assumptions!$F$7)*Baseline!R41+J41</f>
        <v>214241.881056521</v>
      </c>
      <c r="J41" s="21" t="n">
        <f aca="false">'History Y-1'!$H$58*(1+Assumptions!$F$8)*Baseline!S41</f>
        <v>21705.019887978</v>
      </c>
      <c r="K41" s="55" t="n">
        <f aca="false">D41+F41+H41+I41</f>
        <v>344919.841107667</v>
      </c>
      <c r="L41" s="21" t="n">
        <f aca="false">K41*Baseline!B41*(1+Assumptions!$F$18)*(1+Calendar!G41)</f>
        <v>8021.84677321992</v>
      </c>
      <c r="M41" s="20" t="n">
        <f aca="false">L41*Baseline!C41*(1+Assumptions!$F$19)</f>
        <v>558629.111970344</v>
      </c>
      <c r="N41" s="31" t="n">
        <f aca="false">MAX(0,MIN(0.9,Baseline!E41+Assumptions!$F$20))</f>
        <v>0.244314363051865</v>
      </c>
      <c r="O41" s="31" t="n">
        <f aca="false">MAX(0,Baseline!F41+Assumptions!$F$21)</f>
        <v>0.270857706324971</v>
      </c>
      <c r="P41" s="49" t="n">
        <f aca="false">M41*O41</f>
        <v>151308.999954643</v>
      </c>
      <c r="Q41" s="49" t="n">
        <f aca="false">M41-P41</f>
        <v>407320.112015701</v>
      </c>
      <c r="R41" s="21" t="n">
        <f aca="false">L41*Baseline!D41</f>
        <v>15194.5959381894</v>
      </c>
      <c r="S41" s="21" t="n">
        <f aca="false">IFERROR(P41/(Baseline!C41*(1+Assumptions!$F$19)),0)</f>
        <v>2172.77901748472</v>
      </c>
      <c r="T41" s="20" t="n">
        <f aca="false">Q41/(1-N41)*(1-Assumptions!$F$23)</f>
        <v>204822.792703932</v>
      </c>
      <c r="U41" s="20" t="n">
        <f aca="false">P41/(1-N41)*(1-Assumptions!$F$23)*Assumptions!$F$24</f>
        <v>5326.04988371606</v>
      </c>
      <c r="V41" s="49" t="n">
        <f aca="false">Q41-T41-U41</f>
        <v>197171.269428053</v>
      </c>
      <c r="W41" s="20" t="n">
        <f aca="false">T41*Assumptions!$F$25+L41*(Assumptions!$F$27-Assumptions!$F$28+Assumptions!$F$29+Assumptions!$F$36*Assumptions!$F$37)+R41*Assumptions!$F$30+S41*(Assumptions!$F$31+Assumptions!$F$32)+M41*(Assumptions!$F$33+Assumptions!$F$38)+IFERROR(M41*J41/K41,0)*Assumptions!$F$35*Assumptions!$F$34</f>
        <v>79060.4272910053</v>
      </c>
      <c r="X41" s="49" t="n">
        <f aca="false">V41-W41</f>
        <v>118110.842137048</v>
      </c>
      <c r="Y41" s="49" t="n">
        <f aca="false">C41+E41+G41</f>
        <v>54007.6896972594</v>
      </c>
      <c r="Z41" s="49" t="n">
        <f aca="false">X41-Y41</f>
        <v>64103.1524397886</v>
      </c>
      <c r="AA41" s="20" t="n">
        <f aca="false">'Fixed Costs'!$G$31/52</f>
        <v>25332.6923076923</v>
      </c>
      <c r="AB41" s="49" t="n">
        <f aca="false">Z41-AA41</f>
        <v>38770.4601320963</v>
      </c>
      <c r="AC41" s="21" t="n">
        <f aca="false">L41*Baseline!G41</f>
        <v>3668.40159803786</v>
      </c>
    </row>
    <row r="42" customFormat="false" ht="15" hidden="false" customHeight="false" outlineLevel="0" collapsed="false">
      <c r="A42" s="13" t="n">
        <v>37</v>
      </c>
      <c r="B42" s="14" t="str">
        <f aca="false">Calendar!D42</f>
        <v>P9</v>
      </c>
      <c r="C42" s="20" t="n">
        <f aca="false">IF('Media Plan'!D42&lt;&gt;"",'Media Plan'!D42,Assumptions!$F$10*Baseline!T42)</f>
        <v>29042.4349280589</v>
      </c>
      <c r="D42" s="21" t="n">
        <f aca="false">IFERROR(C42/(Baseline!H42*(1+Assumptions!$F$13)*IFERROR(MAX(0,C42)/'History Y-1'!P42,1)^Assumptions!$F$14),0)</f>
        <v>63279.2353314065</v>
      </c>
      <c r="E42" s="20" t="n">
        <f aca="false">IF('Media Plan'!J42&lt;&gt;"",'Media Plan'!J42,Assumptions!$F$11*Baseline!U42)</f>
        <v>15682.3203358226</v>
      </c>
      <c r="F42" s="21" t="n">
        <f aca="false">IFERROR(E42/(Baseline!I42*(1+Assumptions!$F$13)*IFERROR(MAX(0,E42)/'History Y-1'!Q42,1)^Assumptions!$F$15),0)</f>
        <v>42734.1586850912</v>
      </c>
      <c r="G42" s="20" t="n">
        <f aca="false">IF('Media Plan'!P42&lt;&gt;"",'Media Plan'!P42,Assumptions!$F$12*Baseline!V42)</f>
        <v>2633.81520911242</v>
      </c>
      <c r="H42" s="21" t="n">
        <f aca="false">IFERROR(G42/(Baseline!J42*(1+Assumptions!$F$13)*IFERROR(MAX(0,G42)/'History Y-1'!R42,1)^Assumptions!$F$16),0)</f>
        <v>10808.0034648419</v>
      </c>
      <c r="I42" s="21" t="n">
        <f aca="false">'History Y-1'!$F$58*(1+Assumptions!$F$6)*Baseline!Q42+'History Y-1'!$G$58*(1+Assumptions!$F$7)*Baseline!R42+J42</f>
        <v>172305.879905329</v>
      </c>
      <c r="J42" s="21" t="n">
        <f aca="false">'History Y-1'!$H$58*(1+Assumptions!$F$8)*Baseline!S42</f>
        <v>19520.8051017388</v>
      </c>
      <c r="K42" s="55" t="n">
        <f aca="false">D42+F42+H42+I42</f>
        <v>289127.277386669</v>
      </c>
      <c r="L42" s="21" t="n">
        <f aca="false">K42*Baseline!B42*(1+Assumptions!$F$18)*(1+Calendar!G42)</f>
        <v>6113.50551815809</v>
      </c>
      <c r="M42" s="20" t="n">
        <f aca="false">L42*Baseline!C42*(1+Assumptions!$F$19)</f>
        <v>462109.000001204</v>
      </c>
      <c r="N42" s="31" t="n">
        <f aca="false">MAX(0,MIN(0.9,Baseline!E42+Assumptions!$F$20))</f>
        <v>0.100895832897298</v>
      </c>
      <c r="O42" s="31" t="n">
        <f aca="false">MAX(0,Baseline!F42+Assumptions!$F$21)</f>
        <v>0.271566036503427</v>
      </c>
      <c r="P42" s="49" t="n">
        <f aca="false">M42*O42</f>
        <v>125493.109562889</v>
      </c>
      <c r="Q42" s="49" t="n">
        <f aca="false">M42-P42</f>
        <v>336615.890438315</v>
      </c>
      <c r="R42" s="21" t="n">
        <f aca="false">L42*Baseline!D42</f>
        <v>11811.1272896808</v>
      </c>
      <c r="S42" s="21" t="n">
        <f aca="false">IFERROR(P42/(Baseline!C42*(1+Assumptions!$F$19)),0)</f>
        <v>1660.22046270802</v>
      </c>
      <c r="T42" s="20" t="n">
        <f aca="false">Q42/(1-N42)*(1-Assumptions!$F$23)</f>
        <v>142268.318896523</v>
      </c>
      <c r="U42" s="20" t="n">
        <f aca="false">P42/(1-N42)*(1-Assumptions!$F$23)*Assumptions!$F$24</f>
        <v>3712.71409533079</v>
      </c>
      <c r="V42" s="49" t="n">
        <f aca="false">Q42-T42-U42</f>
        <v>190634.857446462</v>
      </c>
      <c r="W42" s="20" t="n">
        <f aca="false">T42*Assumptions!$F$25+L42*(Assumptions!$F$27-Assumptions!$F$28+Assumptions!$F$29+Assumptions!$F$36*Assumptions!$F$37)+R42*Assumptions!$F$30+S42*(Assumptions!$F$31+Assumptions!$F$32)+M42*(Assumptions!$F$33+Assumptions!$F$38)+IFERROR(M42*J42/K42,0)*Assumptions!$F$35*Assumptions!$F$34</f>
        <v>61110.8149177474</v>
      </c>
      <c r="X42" s="49" t="n">
        <f aca="false">V42-W42</f>
        <v>129524.042528714</v>
      </c>
      <c r="Y42" s="49" t="n">
        <f aca="false">C42+E42+G42</f>
        <v>47358.570472994</v>
      </c>
      <c r="Z42" s="49" t="n">
        <f aca="false">X42-Y42</f>
        <v>82165.4720557202</v>
      </c>
      <c r="AA42" s="20" t="n">
        <f aca="false">'Fixed Costs'!$G$31/52</f>
        <v>25332.6923076923</v>
      </c>
      <c r="AB42" s="49" t="n">
        <f aca="false">Z42-AA42</f>
        <v>56832.7797480279</v>
      </c>
      <c r="AC42" s="21" t="n">
        <f aca="false">L42*Baseline!G42</f>
        <v>2099.06274677069</v>
      </c>
    </row>
    <row r="43" customFormat="false" ht="15" hidden="false" customHeight="false" outlineLevel="0" collapsed="false">
      <c r="A43" s="13" t="n">
        <v>38</v>
      </c>
      <c r="B43" s="14" t="str">
        <f aca="false">Calendar!D43</f>
        <v>P9</v>
      </c>
      <c r="C43" s="20" t="n">
        <f aca="false">IF('Media Plan'!D43&lt;&gt;"",'Media Plan'!D43,Assumptions!$F$10*Baseline!T43)</f>
        <v>32613.7200359287</v>
      </c>
      <c r="D43" s="21" t="n">
        <f aca="false">IFERROR(C43/(Baseline!H43*(1+Assumptions!$F$13)*IFERROR(MAX(0,C43)/'History Y-1'!P43,1)^Assumptions!$F$14),0)</f>
        <v>74385.5450806773</v>
      </c>
      <c r="E43" s="20" t="n">
        <f aca="false">IF('Media Plan'!J43&lt;&gt;"",'Media Plan'!J43,Assumptions!$F$11*Baseline!U43)</f>
        <v>16789.7782863289</v>
      </c>
      <c r="F43" s="21" t="n">
        <f aca="false">IFERROR(E43/(Baseline!I43*(1+Assumptions!$F$13)*IFERROR(MAX(0,E43)/'History Y-1'!Q43,1)^Assumptions!$F$15),0)</f>
        <v>46648.3707912129</v>
      </c>
      <c r="G43" s="20" t="n">
        <f aca="false">IF('Media Plan'!P43&lt;&gt;"",'Media Plan'!P43,Assumptions!$F$12*Baseline!V43)</f>
        <v>2811.90016486669</v>
      </c>
      <c r="H43" s="21" t="n">
        <f aca="false">IFERROR(G43/(Baseline!J43*(1+Assumptions!$F$13)*IFERROR(MAX(0,G43)/'History Y-1'!R43,1)^Assumptions!$F$16),0)</f>
        <v>11509.8538157679</v>
      </c>
      <c r="I43" s="21" t="n">
        <f aca="false">'History Y-1'!$F$58*(1+Assumptions!$F$6)*Baseline!Q43+'History Y-1'!$G$58*(1+Assumptions!$F$7)*Baseline!R43+J43</f>
        <v>181895.081745362</v>
      </c>
      <c r="J43" s="21" t="n">
        <f aca="false">'History Y-1'!$H$58*(1+Assumptions!$F$8)*Baseline!S43</f>
        <v>21897.2646708333</v>
      </c>
      <c r="K43" s="55" t="n">
        <f aca="false">D43+F43+H43+I43</f>
        <v>314438.85143302</v>
      </c>
      <c r="L43" s="21" t="n">
        <f aca="false">K43*Baseline!B43*(1+Assumptions!$F$18)*(1+Calendar!G43)</f>
        <v>6857.59635816975</v>
      </c>
      <c r="M43" s="20" t="n">
        <f aca="false">L43*Baseline!C43*(1+Assumptions!$F$19)</f>
        <v>510580.140597446</v>
      </c>
      <c r="N43" s="31" t="n">
        <f aca="false">MAX(0,MIN(0.9,Baseline!E43+Assumptions!$F$20))</f>
        <v>0.0977627051224132</v>
      </c>
      <c r="O43" s="31" t="n">
        <f aca="false">MAX(0,Baseline!F43+Assumptions!$F$21)</f>
        <v>0.278650323188229</v>
      </c>
      <c r="P43" s="49" t="n">
        <f aca="false">M43*O43</f>
        <v>142273.32119097</v>
      </c>
      <c r="Q43" s="49" t="n">
        <f aca="false">M43-P43</f>
        <v>368306.819406476</v>
      </c>
      <c r="R43" s="21" t="n">
        <f aca="false">L43*Baseline!D43</f>
        <v>13292.7594114298</v>
      </c>
      <c r="S43" s="21" t="n">
        <f aca="false">IFERROR(P43/(Baseline!C43*(1+Assumptions!$F$19)),0)</f>
        <v>1910.87144149842</v>
      </c>
      <c r="T43" s="20" t="n">
        <f aca="false">Q43/(1-N43)*(1-Assumptions!$F$23)</f>
        <v>155121.709298716</v>
      </c>
      <c r="U43" s="20" t="n">
        <f aca="false">P43/(1-N43)*(1-Assumptions!$F$23)*Assumptions!$F$24</f>
        <v>4194.53991224477</v>
      </c>
      <c r="V43" s="49" t="n">
        <f aca="false">Q43-T43-U43</f>
        <v>208990.570195515</v>
      </c>
      <c r="W43" s="20" t="n">
        <f aca="false">T43*Assumptions!$F$25+L43*(Assumptions!$F$27-Assumptions!$F$28+Assumptions!$F$29+Assumptions!$F$36*Assumptions!$F$37)+R43*Assumptions!$F$30+S43*(Assumptions!$F$31+Assumptions!$F$32)+M43*(Assumptions!$F$33+Assumptions!$F$38)+IFERROR(M43*J43/K43,0)*Assumptions!$F$35*Assumptions!$F$34</f>
        <v>68589.6406199066</v>
      </c>
      <c r="X43" s="49" t="n">
        <f aca="false">V43-W43</f>
        <v>140400.929575609</v>
      </c>
      <c r="Y43" s="49" t="n">
        <f aca="false">C43+E43+G43</f>
        <v>52215.3984871242</v>
      </c>
      <c r="Z43" s="49" t="n">
        <f aca="false">X43-Y43</f>
        <v>88185.5310884847</v>
      </c>
      <c r="AA43" s="20" t="n">
        <f aca="false">'Fixed Costs'!$G$31/52</f>
        <v>25332.6923076923</v>
      </c>
      <c r="AB43" s="49" t="n">
        <f aca="false">Z43-AA43</f>
        <v>62852.8387807924</v>
      </c>
      <c r="AC43" s="21" t="n">
        <f aca="false">L43*Baseline!G43</f>
        <v>2309.23183034429</v>
      </c>
    </row>
    <row r="44" customFormat="false" ht="15" hidden="false" customHeight="false" outlineLevel="0" collapsed="false">
      <c r="A44" s="13" t="n">
        <v>39</v>
      </c>
      <c r="B44" s="14" t="str">
        <f aca="false">Calendar!D44</f>
        <v>P9</v>
      </c>
      <c r="C44" s="20" t="n">
        <f aca="false">IF('Media Plan'!D44&lt;&gt;"",'Media Plan'!D44,Assumptions!$F$10*Baseline!T44)</f>
        <v>32725.1204251412</v>
      </c>
      <c r="D44" s="21" t="n">
        <f aca="false">IFERROR(C44/(Baseline!H44*(1+Assumptions!$F$13)*IFERROR(MAX(0,C44)/'History Y-1'!P44,1)^Assumptions!$F$14),0)</f>
        <v>69599.3633243397</v>
      </c>
      <c r="E44" s="20" t="n">
        <f aca="false">IF('Media Plan'!J44&lt;&gt;"",'Media Plan'!J44,Assumptions!$F$11*Baseline!U44)</f>
        <v>16585.699340186</v>
      </c>
      <c r="F44" s="21" t="n">
        <f aca="false">IFERROR(E44/(Baseline!I44*(1+Assumptions!$F$13)*IFERROR(MAX(0,E44)/'History Y-1'!Q44,1)^Assumptions!$F$15),0)</f>
        <v>45795.4404517848</v>
      </c>
      <c r="G44" s="20" t="n">
        <f aca="false">IF('Media Plan'!P44&lt;&gt;"",'Media Plan'!P44,Assumptions!$F$12*Baseline!V44)</f>
        <v>2879.05765082107</v>
      </c>
      <c r="H44" s="21" t="n">
        <f aca="false">IFERROR(G44/(Baseline!J44*(1+Assumptions!$F$13)*IFERROR(MAX(0,G44)/'History Y-1'!R44,1)^Assumptions!$F$16),0)</f>
        <v>11627.4138381619</v>
      </c>
      <c r="I44" s="21" t="n">
        <f aca="false">'History Y-1'!$F$58*(1+Assumptions!$F$6)*Baseline!Q44+'History Y-1'!$G$58*(1+Assumptions!$F$7)*Baseline!R44+J44</f>
        <v>177237.753105792</v>
      </c>
      <c r="J44" s="21" t="n">
        <f aca="false">'History Y-1'!$H$58*(1+Assumptions!$F$8)*Baseline!S44</f>
        <v>20995.0983661502</v>
      </c>
      <c r="K44" s="55" t="n">
        <f aca="false">D44+F44+H44+I44</f>
        <v>304259.970720078</v>
      </c>
      <c r="L44" s="21" t="n">
        <f aca="false">K44*Baseline!B44*(1+Assumptions!$F$18)*(1+Calendar!G44)</f>
        <v>6275.36108816099</v>
      </c>
      <c r="M44" s="20" t="n">
        <f aca="false">L44*Baseline!C44*(1+Assumptions!$F$19)</f>
        <v>476466.465773857</v>
      </c>
      <c r="N44" s="31" t="n">
        <f aca="false">MAX(0,MIN(0.9,Baseline!E44+Assumptions!$F$20))</f>
        <v>0.103370378358932</v>
      </c>
      <c r="O44" s="31" t="n">
        <f aca="false">MAX(0,Baseline!F44+Assumptions!$F$21)</f>
        <v>0.283034380017755</v>
      </c>
      <c r="P44" s="49" t="n">
        <f aca="false">M44*O44</f>
        <v>134856.390739555</v>
      </c>
      <c r="Q44" s="49" t="n">
        <f aca="false">M44-P44</f>
        <v>341610.075034303</v>
      </c>
      <c r="R44" s="21" t="n">
        <f aca="false">L44*Baseline!D44</f>
        <v>11737.5570418707</v>
      </c>
      <c r="S44" s="21" t="n">
        <f aca="false">IFERROR(P44/(Baseline!C44*(1+Assumptions!$F$19)),0)</f>
        <v>1776.14293497519</v>
      </c>
      <c r="T44" s="20" t="n">
        <f aca="false">Q44/(1-N44)*(1-Assumptions!$F$23)</f>
        <v>144777.537324102</v>
      </c>
      <c r="U44" s="20" t="n">
        <f aca="false">P44/(1-N44)*(1-Assumptions!$F$23)*Assumptions!$F$24</f>
        <v>4000.73777074939</v>
      </c>
      <c r="V44" s="49" t="n">
        <f aca="false">Q44-T44-U44</f>
        <v>192831.799939451</v>
      </c>
      <c r="W44" s="20" t="n">
        <f aca="false">T44*Assumptions!$F$25+L44*(Assumptions!$F$27-Assumptions!$F$28+Assumptions!$F$29+Assumptions!$F$36*Assumptions!$F$37)+R44*Assumptions!$F$30+S44*(Assumptions!$F$31+Assumptions!$F$32)+M44*(Assumptions!$F$33+Assumptions!$F$38)+IFERROR(M44*J44/K44,0)*Assumptions!$F$35*Assumptions!$F$34</f>
        <v>62804.513961856</v>
      </c>
      <c r="X44" s="49" t="n">
        <f aca="false">V44-W44</f>
        <v>130027.285977595</v>
      </c>
      <c r="Y44" s="49" t="n">
        <f aca="false">C44+E44+G44</f>
        <v>52189.8774161482</v>
      </c>
      <c r="Z44" s="49" t="n">
        <f aca="false">X44-Y44</f>
        <v>77837.4085614472</v>
      </c>
      <c r="AA44" s="20" t="n">
        <f aca="false">'Fixed Costs'!$G$31/52</f>
        <v>25332.6923076923</v>
      </c>
      <c r="AB44" s="49" t="n">
        <f aca="false">Z44-AA44</f>
        <v>52504.7162537549</v>
      </c>
      <c r="AC44" s="21" t="n">
        <f aca="false">L44*Baseline!G44</f>
        <v>2141.17679772575</v>
      </c>
    </row>
    <row r="45" customFormat="false" ht="15" hidden="false" customHeight="false" outlineLevel="0" collapsed="false">
      <c r="A45" s="13" t="n">
        <v>40</v>
      </c>
      <c r="B45" s="14" t="str">
        <f aca="false">Calendar!D45</f>
        <v>P10</v>
      </c>
      <c r="C45" s="20" t="n">
        <f aca="false">IF('Media Plan'!D45&lt;&gt;"",'Media Plan'!D45,Assumptions!$F$10*Baseline!T45)</f>
        <v>31822.8315792798</v>
      </c>
      <c r="D45" s="21" t="n">
        <f aca="false">IFERROR(C45/(Baseline!H45*(1+Assumptions!$F$13)*IFERROR(MAX(0,C45)/'History Y-1'!P45,1)^Assumptions!$F$14),0)</f>
        <v>69604.9352076166</v>
      </c>
      <c r="E45" s="20" t="n">
        <f aca="false">IF('Media Plan'!J45&lt;&gt;"",'Media Plan'!J45,Assumptions!$F$11*Baseline!U45)</f>
        <v>15107.4554058481</v>
      </c>
      <c r="F45" s="21" t="n">
        <f aca="false">IFERROR(E45/(Baseline!I45*(1+Assumptions!$F$13)*IFERROR(MAX(0,E45)/'History Y-1'!Q45,1)^Assumptions!$F$15),0)</f>
        <v>41696.7770464846</v>
      </c>
      <c r="G45" s="20" t="n">
        <f aca="false">IF('Media Plan'!P45&lt;&gt;"",'Media Plan'!P45,Assumptions!$F$12*Baseline!V45)</f>
        <v>2827.05581063479</v>
      </c>
      <c r="H45" s="21" t="n">
        <f aca="false">IFERROR(G45/(Baseline!J45*(1+Assumptions!$F$13)*IFERROR(MAX(0,G45)/'History Y-1'!R45,1)^Assumptions!$F$16),0)</f>
        <v>11389.9895932352</v>
      </c>
      <c r="I45" s="21" t="n">
        <f aca="false">'History Y-1'!$F$58*(1+Assumptions!$F$6)*Baseline!Q45+'History Y-1'!$G$58*(1+Assumptions!$F$7)*Baseline!R45+J45</f>
        <v>177597.170824131</v>
      </c>
      <c r="J45" s="21" t="n">
        <f aca="false">'History Y-1'!$H$58*(1+Assumptions!$F$8)*Baseline!S45</f>
        <v>20197.58549589</v>
      </c>
      <c r="K45" s="55" t="n">
        <f aca="false">D45+F45+H45+I45</f>
        <v>300288.872671467</v>
      </c>
      <c r="L45" s="21" t="n">
        <f aca="false">K45*Baseline!B45*(1+Assumptions!$F$18)*(1+Calendar!G45)</f>
        <v>6237.51234790382</v>
      </c>
      <c r="M45" s="20" t="n">
        <f aca="false">L45*Baseline!C45*(1+Assumptions!$F$19)</f>
        <v>464279.175523713</v>
      </c>
      <c r="N45" s="31" t="n">
        <f aca="false">MAX(0,MIN(0.9,Baseline!E45+Assumptions!$F$20))</f>
        <v>0.104943745016683</v>
      </c>
      <c r="O45" s="31" t="n">
        <f aca="false">MAX(0,Baseline!F45+Assumptions!$F$21)</f>
        <v>0.275198023202177</v>
      </c>
      <c r="P45" s="49" t="n">
        <f aca="false">M45*O45</f>
        <v>127768.711318062</v>
      </c>
      <c r="Q45" s="49" t="n">
        <f aca="false">M45-P45</f>
        <v>336510.46420565</v>
      </c>
      <c r="R45" s="21" t="n">
        <f aca="false">L45*Baseline!D45</f>
        <v>12037.2930622509</v>
      </c>
      <c r="S45" s="21" t="n">
        <f aca="false">IFERROR(P45/(Baseline!C45*(1+Assumptions!$F$19)),0)</f>
        <v>1716.5510678423</v>
      </c>
      <c r="T45" s="20" t="n">
        <f aca="false">Q45/(1-N45)*(1-Assumptions!$F$23)</f>
        <v>142866.971417937</v>
      </c>
      <c r="U45" s="20" t="n">
        <f aca="false">P45/(1-N45)*(1-Assumptions!$F$23)*Assumptions!$F$24</f>
        <v>3797.13308759996</v>
      </c>
      <c r="V45" s="49" t="n">
        <f aca="false">Q45-T45-U45</f>
        <v>189846.359700114</v>
      </c>
      <c r="W45" s="20" t="n">
        <f aca="false">T45*Assumptions!$F$25+L45*(Assumptions!$F$27-Assumptions!$F$28+Assumptions!$F$29+Assumptions!$F$36*Assumptions!$F$37)+R45*Assumptions!$F$30+S45*(Assumptions!$F$31+Assumptions!$F$32)+M45*(Assumptions!$F$33+Assumptions!$F$38)+IFERROR(M45*J45/K45,0)*Assumptions!$F$35*Assumptions!$F$34</f>
        <v>62195.4442723498</v>
      </c>
      <c r="X45" s="49" t="n">
        <f aca="false">V45-W45</f>
        <v>127650.915427764</v>
      </c>
      <c r="Y45" s="49" t="n">
        <f aca="false">C45+E45+G45</f>
        <v>49757.3427957627</v>
      </c>
      <c r="Z45" s="49" t="n">
        <f aca="false">X45-Y45</f>
        <v>77893.572632001</v>
      </c>
      <c r="AA45" s="20" t="n">
        <f aca="false">'Fixed Costs'!$G$31/52</f>
        <v>25332.6923076923</v>
      </c>
      <c r="AB45" s="49" t="n">
        <f aca="false">Z45-AA45</f>
        <v>52560.8803243087</v>
      </c>
      <c r="AC45" s="21" t="n">
        <f aca="false">L45*Baseline!G45</f>
        <v>2110.73152501364</v>
      </c>
    </row>
    <row r="46" customFormat="false" ht="15" hidden="false" customHeight="false" outlineLevel="0" collapsed="false">
      <c r="A46" s="13" t="n">
        <v>41</v>
      </c>
      <c r="B46" s="14" t="str">
        <f aca="false">Calendar!D46</f>
        <v>P10</v>
      </c>
      <c r="C46" s="20" t="n">
        <f aca="false">IF('Media Plan'!D46&lt;&gt;"",'Media Plan'!D46,Assumptions!$F$10*Baseline!T46)</f>
        <v>31989.5648034942</v>
      </c>
      <c r="D46" s="21" t="n">
        <f aca="false">IFERROR(C46/(Baseline!H46*(1+Assumptions!$F$13)*IFERROR(MAX(0,C46)/'History Y-1'!P46,1)^Assumptions!$F$14),0)</f>
        <v>67534.0071821357</v>
      </c>
      <c r="E46" s="20" t="n">
        <f aca="false">IF('Media Plan'!J46&lt;&gt;"",'Media Plan'!J46,Assumptions!$F$11*Baseline!U46)</f>
        <v>16447.1934740461</v>
      </c>
      <c r="F46" s="21" t="n">
        <f aca="false">IFERROR(E46/(Baseline!I46*(1+Assumptions!$F$13)*IFERROR(MAX(0,E46)/'History Y-1'!Q46,1)^Assumptions!$F$15),0)</f>
        <v>44033.1167892284</v>
      </c>
      <c r="G46" s="20" t="n">
        <f aca="false">IF('Media Plan'!P46&lt;&gt;"",'Media Plan'!P46,Assumptions!$F$12*Baseline!V46)</f>
        <v>2778.45320244028</v>
      </c>
      <c r="H46" s="21" t="n">
        <f aca="false">IFERROR(G46/(Baseline!J46*(1+Assumptions!$F$13)*IFERROR(MAX(0,G46)/'History Y-1'!R46,1)^Assumptions!$F$16),0)</f>
        <v>11254.0358303926</v>
      </c>
      <c r="I46" s="21" t="n">
        <f aca="false">'History Y-1'!$F$58*(1+Assumptions!$F$6)*Baseline!Q46+'History Y-1'!$G$58*(1+Assumptions!$F$7)*Baseline!R46+J46</f>
        <v>182645.524693831</v>
      </c>
      <c r="J46" s="21" t="n">
        <f aca="false">'History Y-1'!$H$58*(1+Assumptions!$F$8)*Baseline!S46</f>
        <v>20211.6635987491</v>
      </c>
      <c r="K46" s="55" t="n">
        <f aca="false">D46+F46+H46+I46</f>
        <v>305466.684495588</v>
      </c>
      <c r="L46" s="21" t="n">
        <f aca="false">K46*Baseline!B46*(1+Assumptions!$F$18)*(1+Calendar!G46)</f>
        <v>6379.01797954265</v>
      </c>
      <c r="M46" s="20" t="n">
        <f aca="false">L46*Baseline!C46*(1+Assumptions!$F$19)</f>
        <v>476601.018430708</v>
      </c>
      <c r="N46" s="31" t="n">
        <f aca="false">MAX(0,MIN(0.9,Baseline!E46+Assumptions!$F$20))</f>
        <v>0.0971528480792872</v>
      </c>
      <c r="O46" s="31" t="n">
        <f aca="false">MAX(0,Baseline!F46+Assumptions!$F$21)</f>
        <v>0.271575550397254</v>
      </c>
      <c r="P46" s="49" t="n">
        <f aca="false">M46*O46</f>
        <v>129433.183900212</v>
      </c>
      <c r="Q46" s="49" t="n">
        <f aca="false">M46-P46</f>
        <v>347167.834530497</v>
      </c>
      <c r="R46" s="21" t="n">
        <f aca="false">L46*Baseline!D46</f>
        <v>12288.5500235906</v>
      </c>
      <c r="S46" s="21" t="n">
        <f aca="false">IFERROR(P46/(Baseline!C46*(1+Assumptions!$F$19)),0)</f>
        <v>1732.38531878828</v>
      </c>
      <c r="T46" s="20" t="n">
        <f aca="false">Q46/(1-N46)*(1-Assumptions!$F$23)</f>
        <v>146119.724519189</v>
      </c>
      <c r="U46" s="20" t="n">
        <f aca="false">P46/(1-N46)*(1-Assumptions!$F$23)*Assumptions!$F$24</f>
        <v>3813.40593966672</v>
      </c>
      <c r="V46" s="49" t="n">
        <f aca="false">Q46-T46-U46</f>
        <v>197234.704071641</v>
      </c>
      <c r="W46" s="20" t="n">
        <f aca="false">T46*Assumptions!$F$25+L46*(Assumptions!$F$27-Assumptions!$F$28+Assumptions!$F$29+Assumptions!$F$36*Assumptions!$F$37)+R46*Assumptions!$F$30+S46*(Assumptions!$F$31+Assumptions!$F$32)+M46*(Assumptions!$F$33+Assumptions!$F$38)+IFERROR(M46*J46/K46,0)*Assumptions!$F$35*Assumptions!$F$34</f>
        <v>63475.8109712304</v>
      </c>
      <c r="X46" s="49" t="n">
        <f aca="false">V46-W46</f>
        <v>133758.893100411</v>
      </c>
      <c r="Y46" s="49" t="n">
        <f aca="false">C46+E46+G46</f>
        <v>51215.2114799806</v>
      </c>
      <c r="Z46" s="49" t="n">
        <f aca="false">X46-Y46</f>
        <v>82543.6816204301</v>
      </c>
      <c r="AA46" s="20" t="n">
        <f aca="false">'Fixed Costs'!$G$31/52</f>
        <v>25332.6923076923</v>
      </c>
      <c r="AB46" s="49" t="n">
        <f aca="false">Z46-AA46</f>
        <v>57210.9893127377</v>
      </c>
      <c r="AC46" s="21" t="n">
        <f aca="false">L46*Baseline!G46</f>
        <v>2224.35748536637</v>
      </c>
    </row>
    <row r="47" customFormat="false" ht="15" hidden="false" customHeight="false" outlineLevel="0" collapsed="false">
      <c r="A47" s="13" t="n">
        <v>42</v>
      </c>
      <c r="B47" s="14" t="str">
        <f aca="false">Calendar!D47</f>
        <v>P10</v>
      </c>
      <c r="C47" s="20" t="n">
        <f aca="false">IF('Media Plan'!D47&lt;&gt;"",'Media Plan'!D47,Assumptions!$F$10*Baseline!T47)</f>
        <v>31057.2442061713</v>
      </c>
      <c r="D47" s="21" t="n">
        <f aca="false">IFERROR(C47/(Baseline!H47*(1+Assumptions!$F$13)*IFERROR(MAX(0,C47)/'History Y-1'!P47,1)^Assumptions!$F$14),0)</f>
        <v>66407.4395390541</v>
      </c>
      <c r="E47" s="20" t="n">
        <f aca="false">IF('Media Plan'!J47&lt;&gt;"",'Media Plan'!J47,Assumptions!$F$11*Baseline!U47)</f>
        <v>16628.4933330897</v>
      </c>
      <c r="F47" s="21" t="n">
        <f aca="false">IFERROR(E47/(Baseline!I47*(1+Assumptions!$F$13)*IFERROR(MAX(0,E47)/'History Y-1'!Q47,1)^Assumptions!$F$15),0)</f>
        <v>44732.7183436238</v>
      </c>
      <c r="G47" s="20" t="n">
        <f aca="false">IF('Media Plan'!P47&lt;&gt;"",'Media Plan'!P47,Assumptions!$F$12*Baseline!V47)</f>
        <v>2908.4091501054</v>
      </c>
      <c r="H47" s="21" t="n">
        <f aca="false">IFERROR(G47/(Baseline!J47*(1+Assumptions!$F$13)*IFERROR(MAX(0,G47)/'History Y-1'!R47,1)^Assumptions!$F$16),0)</f>
        <v>11796.2912107542</v>
      </c>
      <c r="I47" s="21" t="n">
        <f aca="false">'History Y-1'!$F$58*(1+Assumptions!$F$6)*Baseline!Q47+'History Y-1'!$G$58*(1+Assumptions!$F$7)*Baseline!R47+J47</f>
        <v>173872.705143344</v>
      </c>
      <c r="J47" s="21" t="n">
        <f aca="false">'History Y-1'!$H$58*(1+Assumptions!$F$8)*Baseline!S47</f>
        <v>20346.3519529657</v>
      </c>
      <c r="K47" s="55" t="n">
        <f aca="false">D47+F47+H47+I47</f>
        <v>296809.154236776</v>
      </c>
      <c r="L47" s="21" t="n">
        <f aca="false">K47*Baseline!B47*(1+Assumptions!$F$18)*(1+Calendar!G47)</f>
        <v>6164.48383118349</v>
      </c>
      <c r="M47" s="20" t="n">
        <f aca="false">L47*Baseline!C47*(1+Assumptions!$F$19)</f>
        <v>467691.850999627</v>
      </c>
      <c r="N47" s="31" t="n">
        <f aca="false">MAX(0,MIN(0.9,Baseline!E47+Assumptions!$F$20))</f>
        <v>0.0994432081424889</v>
      </c>
      <c r="O47" s="31" t="n">
        <f aca="false">MAX(0,Baseline!F47+Assumptions!$F$21)</f>
        <v>0.275198695138602</v>
      </c>
      <c r="P47" s="49" t="n">
        <f aca="false">M47*O47</f>
        <v>128708.187122055</v>
      </c>
      <c r="Q47" s="49" t="n">
        <f aca="false">M47-P47</f>
        <v>338983.663877572</v>
      </c>
      <c r="R47" s="21" t="n">
        <f aca="false">L47*Baseline!D47</f>
        <v>11927.5400246268</v>
      </c>
      <c r="S47" s="21" t="n">
        <f aca="false">IFERROR(P47/(Baseline!C47*(1+Assumptions!$F$19)),0)</f>
        <v>1696.45790654471</v>
      </c>
      <c r="T47" s="20" t="n">
        <f aca="false">Q47/(1-N47)*(1-Assumptions!$F$23)</f>
        <v>143037.944345279</v>
      </c>
      <c r="U47" s="20" t="n">
        <f aca="false">P47/(1-N47)*(1-Assumptions!$F$23)*Assumptions!$F$24</f>
        <v>3801.69003043659</v>
      </c>
      <c r="V47" s="49" t="n">
        <f aca="false">Q47-T47-U47</f>
        <v>192144.029501857</v>
      </c>
      <c r="W47" s="20" t="n">
        <f aca="false">T47*Assumptions!$F$25+L47*(Assumptions!$F$27-Assumptions!$F$28+Assumptions!$F$29+Assumptions!$F$36*Assumptions!$F$37)+R47*Assumptions!$F$30+S47*(Assumptions!$F$31+Assumptions!$F$32)+M47*(Assumptions!$F$33+Assumptions!$F$38)+IFERROR(M47*J47/K47,0)*Assumptions!$F$35*Assumptions!$F$34</f>
        <v>61814.6431335074</v>
      </c>
      <c r="X47" s="49" t="n">
        <f aca="false">V47-W47</f>
        <v>130329.38636835</v>
      </c>
      <c r="Y47" s="49" t="n">
        <f aca="false">C47+E47+G47</f>
        <v>50594.1466893665</v>
      </c>
      <c r="Z47" s="49" t="n">
        <f aca="false">X47-Y47</f>
        <v>79735.2396789832</v>
      </c>
      <c r="AA47" s="20" t="n">
        <f aca="false">'Fixed Costs'!$G$31/52</f>
        <v>25332.6923076923</v>
      </c>
      <c r="AB47" s="49" t="n">
        <f aca="false">Z47-AA47</f>
        <v>54402.5473712909</v>
      </c>
      <c r="AC47" s="21" t="n">
        <f aca="false">L47*Baseline!G47</f>
        <v>2153.89686899518</v>
      </c>
    </row>
    <row r="48" customFormat="false" ht="15" hidden="false" customHeight="false" outlineLevel="0" collapsed="false">
      <c r="A48" s="13" t="n">
        <v>43</v>
      </c>
      <c r="B48" s="14" t="str">
        <f aca="false">Calendar!D48</f>
        <v>P10</v>
      </c>
      <c r="C48" s="20" t="n">
        <f aca="false">IF('Media Plan'!D48&lt;&gt;"",'Media Plan'!D48,Assumptions!$F$10*Baseline!T48)</f>
        <v>62959.9977772251</v>
      </c>
      <c r="D48" s="21" t="n">
        <f aca="false">IFERROR(C48/(Baseline!H48*(1+Assumptions!$F$13)*IFERROR(MAX(0,C48)/'History Y-1'!P48,1)^Assumptions!$F$14),0)</f>
        <v>141451.69698192</v>
      </c>
      <c r="E48" s="20" t="n">
        <f aca="false">IF('Media Plan'!J48&lt;&gt;"",'Media Plan'!J48,Assumptions!$F$11*Baseline!U48)</f>
        <v>31844.9549738211</v>
      </c>
      <c r="F48" s="21" t="n">
        <f aca="false">IFERROR(E48/(Baseline!I48*(1+Assumptions!$F$13)*IFERROR(MAX(0,E48)/'History Y-1'!Q48,1)^Assumptions!$F$15),0)</f>
        <v>85500.8883370305</v>
      </c>
      <c r="G48" s="20" t="n">
        <f aca="false">IF('Media Plan'!P48&lt;&gt;"",'Media Plan'!P48,Assumptions!$F$12*Baseline!V48)</f>
        <v>5272.17071595433</v>
      </c>
      <c r="H48" s="21" t="n">
        <f aca="false">IFERROR(G48/(Baseline!J48*(1+Assumptions!$F$13)*IFERROR(MAX(0,G48)/'History Y-1'!R48,1)^Assumptions!$F$16),0)</f>
        <v>21839.8521357627</v>
      </c>
      <c r="I48" s="21" t="n">
        <f aca="false">'History Y-1'!$F$58*(1+Assumptions!$F$6)*Baseline!Q48+'History Y-1'!$G$58*(1+Assumptions!$F$7)*Baseline!R48+J48</f>
        <v>379731.455174328</v>
      </c>
      <c r="J48" s="21" t="n">
        <f aca="false">'History Y-1'!$H$58*(1+Assumptions!$F$8)*Baseline!S48</f>
        <v>41028.3119356744</v>
      </c>
      <c r="K48" s="55" t="n">
        <f aca="false">D48+F48+H48+I48</f>
        <v>628523.892629041</v>
      </c>
      <c r="L48" s="21" t="n">
        <f aca="false">K48*Baseline!B48*(1+Assumptions!$F$18)*(1+Calendar!G48)</f>
        <v>18256.9346950578</v>
      </c>
      <c r="M48" s="20" t="n">
        <f aca="false">L48*Baseline!C48*(1+Assumptions!$F$19)</f>
        <v>1294923.36125191</v>
      </c>
      <c r="N48" s="31" t="n">
        <f aca="false">MAX(0,MIN(0.9,Baseline!E48+Assumptions!$F$20))</f>
        <v>0.268301186391011</v>
      </c>
      <c r="O48" s="31" t="n">
        <f aca="false">MAX(0,Baseline!F48+Assumptions!$F$21)</f>
        <v>0.290522466840211</v>
      </c>
      <c r="P48" s="49" t="n">
        <f aca="false">M48*O48</f>
        <v>376204.329279922</v>
      </c>
      <c r="Q48" s="49" t="n">
        <f aca="false">M48-P48</f>
        <v>918719.031971985</v>
      </c>
      <c r="R48" s="21" t="n">
        <f aca="false">L48*Baseline!D48</f>
        <v>34280.0343131735</v>
      </c>
      <c r="S48" s="21" t="n">
        <f aca="false">IFERROR(P48/(Baseline!C48*(1+Assumptions!$F$19)),0)</f>
        <v>5304.04970454882</v>
      </c>
      <c r="T48" s="20" t="n">
        <f aca="false">Q48/(1-N48)*(1-Assumptions!$F$23)</f>
        <v>477126.962154563</v>
      </c>
      <c r="U48" s="20" t="n">
        <f aca="false">P48/(1-N48)*(1-Assumptions!$F$23)*Assumptions!$F$24</f>
        <v>13676.440323154</v>
      </c>
      <c r="V48" s="49" t="n">
        <f aca="false">Q48-T48-U48</f>
        <v>427915.629494268</v>
      </c>
      <c r="W48" s="20" t="n">
        <f aca="false">T48*Assumptions!$F$25+L48*(Assumptions!$F$27-Assumptions!$F$28+Assumptions!$F$29+Assumptions!$F$36*Assumptions!$F$37)+R48*Assumptions!$F$30+S48*(Assumptions!$F$31+Assumptions!$F$32)+M48*(Assumptions!$F$33+Assumptions!$F$38)+IFERROR(M48*J48/K48,0)*Assumptions!$F$35*Assumptions!$F$34</f>
        <v>182559.951854062</v>
      </c>
      <c r="X48" s="49" t="n">
        <f aca="false">V48-W48</f>
        <v>245355.677640207</v>
      </c>
      <c r="Y48" s="49" t="n">
        <f aca="false">C48+E48+G48</f>
        <v>100077.123467001</v>
      </c>
      <c r="Z48" s="49" t="n">
        <f aca="false">X48-Y48</f>
        <v>145278.554173206</v>
      </c>
      <c r="AA48" s="20" t="n">
        <f aca="false">'Fixed Costs'!$G$31/52</f>
        <v>25332.6923076923</v>
      </c>
      <c r="AB48" s="49" t="n">
        <f aca="false">Z48-AA48</f>
        <v>119945.861865514</v>
      </c>
      <c r="AC48" s="21" t="n">
        <f aca="false">L48*Baseline!G48</f>
        <v>8138.29340796973</v>
      </c>
    </row>
    <row r="49" customFormat="false" ht="15" hidden="false" customHeight="false" outlineLevel="0" collapsed="false">
      <c r="A49" s="13" t="n">
        <v>44</v>
      </c>
      <c r="B49" s="14" t="str">
        <f aca="false">Calendar!D49</f>
        <v>P11</v>
      </c>
      <c r="C49" s="20" t="n">
        <f aca="false">IF('Media Plan'!D49&lt;&gt;"",'Media Plan'!D49,Assumptions!$F$10*Baseline!T49)</f>
        <v>50103.8135635553</v>
      </c>
      <c r="D49" s="21" t="n">
        <f aca="false">IFERROR(C49/(Baseline!H49*(1+Assumptions!$F$13)*IFERROR(MAX(0,C49)/'History Y-1'!P49,1)^Assumptions!$F$14),0)</f>
        <v>109090.683690802</v>
      </c>
      <c r="E49" s="20" t="n">
        <f aca="false">IF('Media Plan'!J49&lt;&gt;"",'Media Plan'!J49,Assumptions!$F$11*Baseline!U49)</f>
        <v>24619.1904965451</v>
      </c>
      <c r="F49" s="21" t="n">
        <f aca="false">IFERROR(E49/(Baseline!I49*(1+Assumptions!$F$13)*IFERROR(MAX(0,E49)/'History Y-1'!Q49,1)^Assumptions!$F$15),0)</f>
        <v>66734.5836925467</v>
      </c>
      <c r="G49" s="20" t="n">
        <f aca="false">IF('Media Plan'!P49&lt;&gt;"",'Media Plan'!P49,Assumptions!$F$12*Baseline!V49)</f>
        <v>4200.16891315978</v>
      </c>
      <c r="H49" s="21" t="n">
        <f aca="false">IFERROR(G49/(Baseline!J49*(1+Assumptions!$F$13)*IFERROR(MAX(0,G49)/'History Y-1'!R49,1)^Assumptions!$F$16),0)</f>
        <v>17669.0590807379</v>
      </c>
      <c r="I49" s="21" t="n">
        <f aca="false">'History Y-1'!$F$58*(1+Assumptions!$F$6)*Baseline!Q49+'History Y-1'!$G$58*(1+Assumptions!$F$7)*Baseline!R49+J49</f>
        <v>301771.990079151</v>
      </c>
      <c r="J49" s="21" t="n">
        <f aca="false">'History Y-1'!$H$58*(1+Assumptions!$F$8)*Baseline!S49</f>
        <v>31872.6245343611</v>
      </c>
      <c r="K49" s="55" t="n">
        <f aca="false">D49+F49+H49+I49</f>
        <v>495266.316543238</v>
      </c>
      <c r="L49" s="21" t="n">
        <f aca="false">K49*Baseline!B49*(1+Assumptions!$F$18)*(1+Calendar!G49)</f>
        <v>12715.601992686</v>
      </c>
      <c r="M49" s="20" t="n">
        <f aca="false">L49*Baseline!C49*(1+Assumptions!$F$19)</f>
        <v>940434.81135629</v>
      </c>
      <c r="N49" s="31" t="n">
        <f aca="false">MAX(0,MIN(0.9,Baseline!E49+Assumptions!$F$20))</f>
        <v>0.243130144135904</v>
      </c>
      <c r="O49" s="31" t="n">
        <f aca="false">MAX(0,Baseline!F49+Assumptions!$F$21)</f>
        <v>0.301575752943282</v>
      </c>
      <c r="P49" s="49" t="n">
        <f aca="false">M49*O49</f>
        <v>283612.336328847</v>
      </c>
      <c r="Q49" s="49" t="n">
        <f aca="false">M49-P49</f>
        <v>656822.475027443</v>
      </c>
      <c r="R49" s="21" t="n">
        <f aca="false">L49*Baseline!D49</f>
        <v>23657.4111817884</v>
      </c>
      <c r="S49" s="21" t="n">
        <f aca="false">IFERROR(P49/(Baseline!C49*(1+Assumptions!$F$19)),0)</f>
        <v>3834.7172450714</v>
      </c>
      <c r="T49" s="20" t="n">
        <f aca="false">Q49/(1-N49)*(1-Assumptions!$F$23)</f>
        <v>329769.429415941</v>
      </c>
      <c r="U49" s="20" t="n">
        <f aca="false">P49/(1-N49)*(1-Assumptions!$F$23)*Assumptions!$F$24</f>
        <v>9967.48395764086</v>
      </c>
      <c r="V49" s="49" t="n">
        <f aca="false">Q49-T49-U49</f>
        <v>317085.561653862</v>
      </c>
      <c r="W49" s="20" t="n">
        <f aca="false">T49*Assumptions!$F$25+L49*(Assumptions!$F$27-Assumptions!$F$28+Assumptions!$F$29+Assumptions!$F$36*Assumptions!$F$37)+R49*Assumptions!$F$30+S49*(Assumptions!$F$31+Assumptions!$F$32)+M49*(Assumptions!$F$33+Assumptions!$F$38)+IFERROR(M49*J49/K49,0)*Assumptions!$F$35*Assumptions!$F$34</f>
        <v>128430.026234955</v>
      </c>
      <c r="X49" s="49" t="n">
        <f aca="false">V49-W49</f>
        <v>188655.535418907</v>
      </c>
      <c r="Y49" s="49" t="n">
        <f aca="false">C49+E49+G49</f>
        <v>78923.1729732602</v>
      </c>
      <c r="Z49" s="49" t="n">
        <f aca="false">X49-Y49</f>
        <v>109732.362445647</v>
      </c>
      <c r="AA49" s="20" t="n">
        <f aca="false">'Fixed Costs'!$G$31/52</f>
        <v>25332.6923076923</v>
      </c>
      <c r="AB49" s="49" t="n">
        <f aca="false">Z49-AA49</f>
        <v>84399.6701379542</v>
      </c>
      <c r="AC49" s="21" t="n">
        <f aca="false">L49*Baseline!G49</f>
        <v>5636.80107805697</v>
      </c>
    </row>
    <row r="50" customFormat="false" ht="15" hidden="false" customHeight="false" outlineLevel="0" collapsed="false">
      <c r="A50" s="13" t="n">
        <v>45</v>
      </c>
      <c r="B50" s="14" t="str">
        <f aca="false">Calendar!D50</f>
        <v>P11</v>
      </c>
      <c r="C50" s="20" t="n">
        <f aca="false">IF('Media Plan'!D50&lt;&gt;"",'Media Plan'!D50,Assumptions!$F$10*Baseline!T50)</f>
        <v>44863.2943021986</v>
      </c>
      <c r="D50" s="21" t="n">
        <f aca="false">IFERROR(C50/(Baseline!H50*(1+Assumptions!$F$13)*IFERROR(MAX(0,C50)/'History Y-1'!P50,1)^Assumptions!$F$14),0)</f>
        <v>95500.8301567151</v>
      </c>
      <c r="E50" s="20" t="n">
        <f aca="false">IF('Media Plan'!J50&lt;&gt;"",'Media Plan'!J50,Assumptions!$F$11*Baseline!U50)</f>
        <v>22296.1191557821</v>
      </c>
      <c r="F50" s="21" t="n">
        <f aca="false">IFERROR(E50/(Baseline!I50*(1+Assumptions!$F$13)*IFERROR(MAX(0,E50)/'History Y-1'!Q50,1)^Assumptions!$F$15),0)</f>
        <v>59272.6368966391</v>
      </c>
      <c r="G50" s="20" t="n">
        <f aca="false">IF('Media Plan'!P50&lt;&gt;"",'Media Plan'!P50,Assumptions!$F$12*Baseline!V50)</f>
        <v>4015.93424850045</v>
      </c>
      <c r="H50" s="21" t="n">
        <f aca="false">IFERROR(G50/(Baseline!J50*(1+Assumptions!$F$13)*IFERROR(MAX(0,G50)/'History Y-1'!R50,1)^Assumptions!$F$16),0)</f>
        <v>16556.1457523222</v>
      </c>
      <c r="I50" s="21" t="n">
        <f aca="false">'History Y-1'!$F$58*(1+Assumptions!$F$6)*Baseline!Q50+'History Y-1'!$G$58*(1+Assumptions!$F$7)*Baseline!R50+J50</f>
        <v>235934.269774397</v>
      </c>
      <c r="J50" s="21" t="n">
        <f aca="false">'History Y-1'!$H$58*(1+Assumptions!$F$8)*Baseline!S50</f>
        <v>27379.4730936967</v>
      </c>
      <c r="K50" s="55" t="n">
        <f aca="false">D50+F50+H50+I50</f>
        <v>407263.882580073</v>
      </c>
      <c r="L50" s="21" t="n">
        <f aca="false">K50*Baseline!B50*(1+Assumptions!$F$18)*(1+Calendar!G50)</f>
        <v>9394.58936907366</v>
      </c>
      <c r="M50" s="20" t="n">
        <f aca="false">L50*Baseline!C50*(1+Assumptions!$F$19)</f>
        <v>777922.377356448</v>
      </c>
      <c r="N50" s="31" t="n">
        <f aca="false">MAX(0,MIN(0.9,Baseline!E50+Assumptions!$F$20))</f>
        <v>0.0989039231763998</v>
      </c>
      <c r="O50" s="31" t="n">
        <f aca="false">MAX(0,Baseline!F50+Assumptions!$F$21)</f>
        <v>0.287685002220714</v>
      </c>
      <c r="P50" s="49" t="n">
        <f aca="false">M50*O50</f>
        <v>223796.600857333</v>
      </c>
      <c r="Q50" s="49" t="n">
        <f aca="false">M50-P50</f>
        <v>554125.776499115</v>
      </c>
      <c r="R50" s="21" t="n">
        <f aca="false">L50*Baseline!D50</f>
        <v>17643.5633495819</v>
      </c>
      <c r="S50" s="21" t="n">
        <f aca="false">IFERROR(P50/(Baseline!C50*(1+Assumptions!$F$19)),0)</f>
        <v>2702.68246350466</v>
      </c>
      <c r="T50" s="20" t="n">
        <f aca="false">Q50/(1-N50)*(1-Assumptions!$F$23)</f>
        <v>233679.626940474</v>
      </c>
      <c r="U50" s="20" t="n">
        <f aca="false">P50/(1-N50)*(1-Assumptions!$F$23)*Assumptions!$F$24</f>
        <v>6606.38719434846</v>
      </c>
      <c r="V50" s="49" t="n">
        <f aca="false">Q50-T50-U50</f>
        <v>313839.762364293</v>
      </c>
      <c r="W50" s="20" t="n">
        <f aca="false">T50*Assumptions!$F$25+L50*(Assumptions!$F$27-Assumptions!$F$28+Assumptions!$F$29+Assumptions!$F$36*Assumptions!$F$37)+R50*Assumptions!$F$30+S50*(Assumptions!$F$31+Assumptions!$F$32)+M50*(Assumptions!$F$33+Assumptions!$F$38)+IFERROR(M50*J50/K50,0)*Assumptions!$F$35*Assumptions!$F$34</f>
        <v>96282.9884463635</v>
      </c>
      <c r="X50" s="49" t="n">
        <f aca="false">V50-W50</f>
        <v>217556.773917929</v>
      </c>
      <c r="Y50" s="49" t="n">
        <f aca="false">C50+E50+G50</f>
        <v>71175.3477064812</v>
      </c>
      <c r="Z50" s="49" t="n">
        <f aca="false">X50-Y50</f>
        <v>146381.426211448</v>
      </c>
      <c r="AA50" s="20" t="n">
        <f aca="false">'Fixed Costs'!$G$31/52</f>
        <v>25332.6923076923</v>
      </c>
      <c r="AB50" s="49" t="n">
        <f aca="false">Z50-AA50</f>
        <v>121048.733903756</v>
      </c>
      <c r="AC50" s="21" t="n">
        <f aca="false">L50*Baseline!G50</f>
        <v>3358.83809796228</v>
      </c>
    </row>
    <row r="51" customFormat="false" ht="15" hidden="false" customHeight="false" outlineLevel="0" collapsed="false">
      <c r="A51" s="13" t="n">
        <v>46</v>
      </c>
      <c r="B51" s="14" t="str">
        <f aca="false">Calendar!D51</f>
        <v>P11</v>
      </c>
      <c r="C51" s="20" t="n">
        <f aca="false">IF('Media Plan'!D51&lt;&gt;"",'Media Plan'!D51,Assumptions!$F$10*Baseline!T51)</f>
        <v>40926.8770495292</v>
      </c>
      <c r="D51" s="21" t="n">
        <f aca="false">IFERROR(C51/(Baseline!H51*(1+Assumptions!$F$13)*IFERROR(MAX(0,C51)/'History Y-1'!P51,1)^Assumptions!$F$14),0)</f>
        <v>85191.9622606507</v>
      </c>
      <c r="E51" s="20" t="n">
        <f aca="false">IF('Media Plan'!J51&lt;&gt;"",'Media Plan'!J51,Assumptions!$F$11*Baseline!U51)</f>
        <v>19626.0817085205</v>
      </c>
      <c r="F51" s="21" t="n">
        <f aca="false">IFERROR(E51/(Baseline!I51*(1+Assumptions!$F$13)*IFERROR(MAX(0,E51)/'History Y-1'!Q51,1)^Assumptions!$F$15),0)</f>
        <v>52804.3564184744</v>
      </c>
      <c r="G51" s="20" t="n">
        <f aca="false">IF('Media Plan'!P51&lt;&gt;"",'Media Plan'!P51,Assumptions!$F$12*Baseline!V51)</f>
        <v>3689.82314198158</v>
      </c>
      <c r="H51" s="21" t="n">
        <f aca="false">IFERROR(G51/(Baseline!J51*(1+Assumptions!$F$13)*IFERROR(MAX(0,G51)/'History Y-1'!R51,1)^Assumptions!$F$16),0)</f>
        <v>14777.2896438723</v>
      </c>
      <c r="I51" s="21" t="n">
        <f aca="false">'History Y-1'!$F$58*(1+Assumptions!$F$6)*Baseline!Q51+'History Y-1'!$G$58*(1+Assumptions!$F$7)*Baseline!R51+J51</f>
        <v>221453.539622157</v>
      </c>
      <c r="J51" s="21" t="n">
        <f aca="false">'History Y-1'!$H$58*(1+Assumptions!$F$8)*Baseline!S51</f>
        <v>25251.8093469679</v>
      </c>
      <c r="K51" s="55" t="n">
        <f aca="false">D51+F51+H51+I51</f>
        <v>374227.147945154</v>
      </c>
      <c r="L51" s="21" t="n">
        <f aca="false">K51*Baseline!B51*(1+Assumptions!$F$18)*(1+Calendar!G51)</f>
        <v>8412.72920495943</v>
      </c>
      <c r="M51" s="20" t="n">
        <f aca="false">L51*Baseline!C51*(1+Assumptions!$F$19)</f>
        <v>701234.982981019</v>
      </c>
      <c r="N51" s="31" t="n">
        <f aca="false">MAX(0,MIN(0.9,Baseline!E51+Assumptions!$F$20))</f>
        <v>0.0959866593203023</v>
      </c>
      <c r="O51" s="31" t="n">
        <f aca="false">MAX(0,Baseline!F51+Assumptions!$F$21)</f>
        <v>0.294624781033422</v>
      </c>
      <c r="P51" s="49" t="n">
        <f aca="false">M51*O51</f>
        <v>206601.203313758</v>
      </c>
      <c r="Q51" s="49" t="n">
        <f aca="false">M51-P51</f>
        <v>494633.779667261</v>
      </c>
      <c r="R51" s="21" t="n">
        <f aca="false">L51*Baseline!D51</f>
        <v>16196.2623054024</v>
      </c>
      <c r="S51" s="21" t="n">
        <f aca="false">IFERROR(P51/(Baseline!C51*(1+Assumptions!$F$19)),0)</f>
        <v>2478.59849990464</v>
      </c>
      <c r="T51" s="20" t="n">
        <f aca="false">Q51/(1-N51)*(1-Assumptions!$F$23)</f>
        <v>207918.210733746</v>
      </c>
      <c r="U51" s="20" t="n">
        <f aca="false">P51/(1-N51)*(1-Assumptions!$F$23)*Assumptions!$F$24</f>
        <v>6079.10498755915</v>
      </c>
      <c r="V51" s="49" t="n">
        <f aca="false">Q51-T51-U51</f>
        <v>280636.463945956</v>
      </c>
      <c r="W51" s="20" t="n">
        <f aca="false">T51*Assumptions!$F$25+L51*(Assumptions!$F$27-Assumptions!$F$28+Assumptions!$F$29+Assumptions!$F$36*Assumptions!$F$37)+R51*Assumptions!$F$30+S51*(Assumptions!$F$31+Assumptions!$F$32)+M51*(Assumptions!$F$33+Assumptions!$F$38)+IFERROR(M51*J51/K51,0)*Assumptions!$F$35*Assumptions!$F$34</f>
        <v>86949.5757981529</v>
      </c>
      <c r="X51" s="49" t="n">
        <f aca="false">V51-W51</f>
        <v>193686.888147803</v>
      </c>
      <c r="Y51" s="49" t="n">
        <f aca="false">C51+E51+G51</f>
        <v>64242.7819000313</v>
      </c>
      <c r="Z51" s="49" t="n">
        <f aca="false">X51-Y51</f>
        <v>129444.106247772</v>
      </c>
      <c r="AA51" s="20" t="n">
        <f aca="false">'Fixed Costs'!$G$31/52</f>
        <v>25332.6923076923</v>
      </c>
      <c r="AB51" s="49" t="n">
        <f aca="false">Z51-AA51</f>
        <v>104111.413940079</v>
      </c>
      <c r="AC51" s="21" t="n">
        <f aca="false">L51*Baseline!G51</f>
        <v>2973.13975492022</v>
      </c>
    </row>
    <row r="52" customFormat="false" ht="15" hidden="false" customHeight="false" outlineLevel="0" collapsed="false">
      <c r="A52" s="13" t="n">
        <v>47</v>
      </c>
      <c r="B52" s="14" t="str">
        <f aca="false">Calendar!D52</f>
        <v>P11</v>
      </c>
      <c r="C52" s="20" t="n">
        <f aca="false">IF('Media Plan'!D52&lt;&gt;"",'Media Plan'!D52,Assumptions!$F$10*Baseline!T52)</f>
        <v>31447.206730435</v>
      </c>
      <c r="D52" s="21" t="n">
        <f aca="false">IFERROR(C52/(Baseline!H52*(1+Assumptions!$F$13)*IFERROR(MAX(0,C52)/'History Y-1'!P52,1)^Assumptions!$F$14),0)</f>
        <v>64463.2838691655</v>
      </c>
      <c r="E52" s="20" t="n">
        <f aca="false">IF('Media Plan'!J52&lt;&gt;"",'Media Plan'!J52,Assumptions!$F$11*Baseline!U52)</f>
        <v>14552.4117635261</v>
      </c>
      <c r="F52" s="21" t="n">
        <f aca="false">IFERROR(E52/(Baseline!I52*(1+Assumptions!$F$13)*IFERROR(MAX(0,E52)/'History Y-1'!Q52,1)^Assumptions!$F$15),0)</f>
        <v>39656.8231615329</v>
      </c>
      <c r="G52" s="20" t="n">
        <f aca="false">IF('Media Plan'!P52&lt;&gt;"",'Media Plan'!P52,Assumptions!$F$12*Baseline!V52)</f>
        <v>2606.85968862243</v>
      </c>
      <c r="H52" s="21" t="n">
        <f aca="false">IFERROR(G52/(Baseline!J52*(1+Assumptions!$F$13)*IFERROR(MAX(0,G52)/'History Y-1'!R52,1)^Assumptions!$F$16),0)</f>
        <v>10451.6683390913</v>
      </c>
      <c r="I52" s="21" t="n">
        <f aca="false">'History Y-1'!$F$58*(1+Assumptions!$F$6)*Baseline!Q52+'History Y-1'!$G$58*(1+Assumptions!$F$7)*Baseline!R52+J52</f>
        <v>160259.775045139</v>
      </c>
      <c r="J52" s="21" t="n">
        <f aca="false">'History Y-1'!$H$58*(1+Assumptions!$F$8)*Baseline!S52</f>
        <v>18929.4439481665</v>
      </c>
      <c r="K52" s="55" t="n">
        <f aca="false">D52+F52+H52+I52</f>
        <v>274831.550414928</v>
      </c>
      <c r="L52" s="21" t="n">
        <f aca="false">K52*Baseline!B52*(1+Assumptions!$F$18)*(1+Calendar!G52)</f>
        <v>5752.66912771722</v>
      </c>
      <c r="M52" s="20" t="n">
        <f aca="false">L52*Baseline!C52*(1+Assumptions!$F$19)</f>
        <v>438700.298930309</v>
      </c>
      <c r="N52" s="31" t="n">
        <f aca="false">MAX(0,MIN(0.9,Baseline!E52+Assumptions!$F$20))</f>
        <v>0.101108364871388</v>
      </c>
      <c r="O52" s="31" t="n">
        <f aca="false">MAX(0,Baseline!F52+Assumptions!$F$21)</f>
        <v>0.277480139495037</v>
      </c>
      <c r="P52" s="49" t="n">
        <f aca="false">M52*O52</f>
        <v>121730.620143696</v>
      </c>
      <c r="Q52" s="49" t="n">
        <f aca="false">M52-P52</f>
        <v>316969.678786612</v>
      </c>
      <c r="R52" s="21" t="n">
        <f aca="false">L52*Baseline!D52</f>
        <v>11128.0277176277</v>
      </c>
      <c r="S52" s="21" t="n">
        <f aca="false">IFERROR(P52/(Baseline!C52*(1+Assumptions!$F$19)),0)</f>
        <v>1596.25143202777</v>
      </c>
      <c r="T52" s="20" t="n">
        <f aca="false">Q52/(1-N52)*(1-Assumptions!$F$23)</f>
        <v>133996.661256814</v>
      </c>
      <c r="U52" s="20" t="n">
        <f aca="false">P52/(1-N52)*(1-Assumptions!$F$23)*Assumptions!$F$24</f>
        <v>3602.25233974842</v>
      </c>
      <c r="V52" s="49" t="n">
        <f aca="false">Q52-T52-U52</f>
        <v>179370.765190049</v>
      </c>
      <c r="W52" s="20" t="n">
        <f aca="false">T52*Assumptions!$F$25+L52*(Assumptions!$F$27-Assumptions!$F$28+Assumptions!$F$29+Assumptions!$F$36*Assumptions!$F$37)+R52*Assumptions!$F$30+S52*(Assumptions!$F$31+Assumptions!$F$32)+M52*(Assumptions!$F$33+Assumptions!$F$38)+IFERROR(M52*J52/K52,0)*Assumptions!$F$35*Assumptions!$F$34</f>
        <v>57829.0563338863</v>
      </c>
      <c r="X52" s="49" t="n">
        <f aca="false">V52-W52</f>
        <v>121541.708856163</v>
      </c>
      <c r="Y52" s="49" t="n">
        <f aca="false">C52+E52+G52</f>
        <v>48606.4781825835</v>
      </c>
      <c r="Z52" s="49" t="n">
        <f aca="false">X52-Y52</f>
        <v>72935.2306735795</v>
      </c>
      <c r="AA52" s="20" t="n">
        <f aca="false">'Fixed Costs'!$G$31/52</f>
        <v>25332.6923076923</v>
      </c>
      <c r="AB52" s="49" t="n">
        <f aca="false">Z52-AA52</f>
        <v>47602.5383658872</v>
      </c>
      <c r="AC52" s="21" t="n">
        <f aca="false">L52*Baseline!G52</f>
        <v>2002.70365151407</v>
      </c>
    </row>
    <row r="53" customFormat="false" ht="15" hidden="false" customHeight="false" outlineLevel="0" collapsed="false">
      <c r="A53" s="13" t="n">
        <v>48</v>
      </c>
      <c r="B53" s="14" t="str">
        <f aca="false">Calendar!D53</f>
        <v>P12</v>
      </c>
      <c r="C53" s="20" t="n">
        <f aca="false">IF('Media Plan'!D53&lt;&gt;"",'Media Plan'!D53,Assumptions!$F$10*Baseline!T53)</f>
        <v>49735.7570727615</v>
      </c>
      <c r="D53" s="21" t="n">
        <f aca="false">IFERROR(C53/(Baseline!H53*(1+Assumptions!$F$13)*IFERROR(MAX(0,C53)/'History Y-1'!P53,1)^Assumptions!$F$14),0)</f>
        <v>105690.04881095</v>
      </c>
      <c r="E53" s="20" t="n">
        <f aca="false">IF('Media Plan'!J53&lt;&gt;"",'Media Plan'!J53,Assumptions!$F$11*Baseline!U53)</f>
        <v>25291.3661775167</v>
      </c>
      <c r="F53" s="21" t="n">
        <f aca="false">IFERROR(E53/(Baseline!I53*(1+Assumptions!$F$13)*IFERROR(MAX(0,E53)/'History Y-1'!Q53,1)^Assumptions!$F$15),0)</f>
        <v>65486.0929614045</v>
      </c>
      <c r="G53" s="20" t="n">
        <f aca="false">IF('Media Plan'!P53&lt;&gt;"",'Media Plan'!P53,Assumptions!$F$12*Baseline!V53)</f>
        <v>4415.75469434155</v>
      </c>
      <c r="H53" s="21" t="n">
        <f aca="false">IFERROR(G53/(Baseline!J53*(1+Assumptions!$F$13)*IFERROR(MAX(0,G53)/'History Y-1'!R53,1)^Assumptions!$F$16),0)</f>
        <v>18063.0570535295</v>
      </c>
      <c r="I53" s="21" t="n">
        <f aca="false">'History Y-1'!$F$58*(1+Assumptions!$F$6)*Baseline!Q53+'History Y-1'!$G$58*(1+Assumptions!$F$7)*Baseline!R53+J53</f>
        <v>304752.900135348</v>
      </c>
      <c r="J53" s="21" t="n">
        <f aca="false">'History Y-1'!$H$58*(1+Assumptions!$F$8)*Baseline!S53</f>
        <v>31155.1680187748</v>
      </c>
      <c r="K53" s="55" t="n">
        <f aca="false">D53+F53+H53+I53</f>
        <v>493992.098961232</v>
      </c>
      <c r="L53" s="21" t="n">
        <f aca="false">K53*Baseline!B53*(1+Assumptions!$F$18)*(1+Calendar!G53)</f>
        <v>13276.951773578</v>
      </c>
      <c r="M53" s="20" t="n">
        <f aca="false">L53*Baseline!C53*(1+Assumptions!$F$19)</f>
        <v>887182.255678702</v>
      </c>
      <c r="N53" s="31" t="n">
        <f aca="false">MAX(0,MIN(0.9,Baseline!E53+Assumptions!$F$20))</f>
        <v>0.34955226829625</v>
      </c>
      <c r="O53" s="31" t="n">
        <f aca="false">MAX(0,Baseline!F53+Assumptions!$F$21)</f>
        <v>0.257630062021765</v>
      </c>
      <c r="P53" s="49" t="n">
        <f aca="false">M53*O53</f>
        <v>228564.819555113</v>
      </c>
      <c r="Q53" s="49" t="n">
        <f aca="false">M53-P53</f>
        <v>658617.436123589</v>
      </c>
      <c r="R53" s="21" t="n">
        <f aca="false">L53*Baseline!D53</f>
        <v>24815.5339869855</v>
      </c>
      <c r="S53" s="21" t="n">
        <f aca="false">IFERROR(P53/(Baseline!C53*(1+Assumptions!$F$19)),0)</f>
        <v>3420.54190888688</v>
      </c>
      <c r="T53" s="20" t="n">
        <f aca="false">Q53/(1-N53)*(1-Assumptions!$F$23)</f>
        <v>384772.84726846</v>
      </c>
      <c r="U53" s="20" t="n">
        <f aca="false">P53/(1-N53)*(1-Assumptions!$F$23)*Assumptions!$F$24</f>
        <v>9347.13721614622</v>
      </c>
      <c r="V53" s="49" t="n">
        <f aca="false">Q53-T53-U53</f>
        <v>264497.451638982</v>
      </c>
      <c r="W53" s="20" t="n">
        <f aca="false">T53*Assumptions!$F$25+L53*(Assumptions!$F$27-Assumptions!$F$28+Assumptions!$F$29+Assumptions!$F$36*Assumptions!$F$37)+R53*Assumptions!$F$30+S53*(Assumptions!$F$31+Assumptions!$F$32)+M53*(Assumptions!$F$33+Assumptions!$F$38)+IFERROR(M53*J53/K53,0)*Assumptions!$F$35*Assumptions!$F$34</f>
        <v>130176.676311419</v>
      </c>
      <c r="X53" s="49" t="n">
        <f aca="false">V53-W53</f>
        <v>134320.775327563</v>
      </c>
      <c r="Y53" s="49" t="n">
        <f aca="false">C53+E53+G53</f>
        <v>79442.8779446197</v>
      </c>
      <c r="Z53" s="49" t="n">
        <f aca="false">X53-Y53</f>
        <v>54877.8973829432</v>
      </c>
      <c r="AA53" s="20" t="n">
        <f aca="false">'Fixed Costs'!$G$31/52</f>
        <v>25332.6923076923</v>
      </c>
      <c r="AB53" s="49" t="n">
        <f aca="false">Z53-AA53</f>
        <v>29545.2050752509</v>
      </c>
      <c r="AC53" s="21" t="n">
        <f aca="false">L53*Baseline!G53</f>
        <v>5839.7201069331</v>
      </c>
    </row>
    <row r="54" customFormat="false" ht="15" hidden="false" customHeight="false" outlineLevel="0" collapsed="false">
      <c r="A54" s="13" t="n">
        <v>49</v>
      </c>
      <c r="B54" s="14" t="str">
        <f aca="false">Calendar!D54</f>
        <v>P12</v>
      </c>
      <c r="C54" s="20" t="n">
        <f aca="false">IF('Media Plan'!D54&lt;&gt;"",'Media Plan'!D54,Assumptions!$F$10*Baseline!T54)</f>
        <v>40150.9598057142</v>
      </c>
      <c r="D54" s="21" t="n">
        <f aca="false">IFERROR(C54/(Baseline!H54*(1+Assumptions!$F$13)*IFERROR(MAX(0,C54)/'History Y-1'!P54,1)^Assumptions!$F$14),0)</f>
        <v>86666.1863205694</v>
      </c>
      <c r="E54" s="20" t="n">
        <f aca="false">IF('Media Plan'!J54&lt;&gt;"",'Media Plan'!J54,Assumptions!$F$11*Baseline!U54)</f>
        <v>21276.5387756136</v>
      </c>
      <c r="F54" s="21" t="n">
        <f aca="false">IFERROR(E54/(Baseline!I54*(1+Assumptions!$F$13)*IFERROR(MAX(0,E54)/'History Y-1'!Q54,1)^Assumptions!$F$15),0)</f>
        <v>57222.8481614595</v>
      </c>
      <c r="G54" s="20" t="n">
        <f aca="false">IF('Media Plan'!P54&lt;&gt;"",'Media Plan'!P54,Assumptions!$F$12*Baseline!V54)</f>
        <v>3568.55965942357</v>
      </c>
      <c r="H54" s="21" t="n">
        <f aca="false">IFERROR(G54/(Baseline!J54*(1+Assumptions!$F$13)*IFERROR(MAX(0,G54)/'History Y-1'!R54,1)^Assumptions!$F$16),0)</f>
        <v>14256.0836533316</v>
      </c>
      <c r="I54" s="21" t="n">
        <f aca="false">'History Y-1'!$F$58*(1+Assumptions!$F$6)*Baseline!Q54+'History Y-1'!$G$58*(1+Assumptions!$F$7)*Baseline!R54+J54</f>
        <v>258162.544775441</v>
      </c>
      <c r="J54" s="21" t="n">
        <f aca="false">'History Y-1'!$H$58*(1+Assumptions!$F$8)*Baseline!S54</f>
        <v>25755.5347741825</v>
      </c>
      <c r="K54" s="55" t="n">
        <f aca="false">D54+F54+H54+I54</f>
        <v>416307.662910802</v>
      </c>
      <c r="L54" s="21" t="n">
        <f aca="false">K54*Baseline!B54*(1+Assumptions!$F$18)*(1+Calendar!G54)</f>
        <v>10307.7873180012</v>
      </c>
      <c r="M54" s="20" t="n">
        <f aca="false">L54*Baseline!C54*(1+Assumptions!$F$19)</f>
        <v>682589.194321707</v>
      </c>
      <c r="N54" s="31" t="n">
        <f aca="false">MAX(0,MIN(0.9,Baseline!E54+Assumptions!$F$20))</f>
        <v>0.335418319657578</v>
      </c>
      <c r="O54" s="31" t="n">
        <f aca="false">MAX(0,Baseline!F54+Assumptions!$F$21)</f>
        <v>0.250779204030486</v>
      </c>
      <c r="P54" s="49" t="n">
        <f aca="false">M54*O54</f>
        <v>171179.174831808</v>
      </c>
      <c r="Q54" s="49" t="n">
        <f aca="false">M54-P54</f>
        <v>511410.019489898</v>
      </c>
      <c r="R54" s="21" t="n">
        <f aca="false">L54*Baseline!D54</f>
        <v>19592.0466151705</v>
      </c>
      <c r="S54" s="21" t="n">
        <f aca="false">IFERROR(P54/(Baseline!C54*(1+Assumptions!$F$19)),0)</f>
        <v>2584.97869892388</v>
      </c>
      <c r="T54" s="20" t="n">
        <f aca="false">Q54/(1-N54)*(1-Assumptions!$F$23)</f>
        <v>292418.243166184</v>
      </c>
      <c r="U54" s="20" t="n">
        <f aca="false">P54/(1-N54)*(1-Assumptions!$F$23)*Assumptions!$F$24</f>
        <v>6851.47692933697</v>
      </c>
      <c r="V54" s="49" t="n">
        <f aca="false">Q54-T54-U54</f>
        <v>212140.299394378</v>
      </c>
      <c r="W54" s="20" t="n">
        <f aca="false">T54*Assumptions!$F$25+L54*(Assumptions!$F$27-Assumptions!$F$28+Assumptions!$F$29+Assumptions!$F$36*Assumptions!$F$37)+R54*Assumptions!$F$30+S54*(Assumptions!$F$31+Assumptions!$F$32)+M54*(Assumptions!$F$33+Assumptions!$F$38)+IFERROR(M54*J54/K54,0)*Assumptions!$F$35*Assumptions!$F$34</f>
        <v>100608.676338907</v>
      </c>
      <c r="X54" s="49" t="n">
        <f aca="false">V54-W54</f>
        <v>111531.62305547</v>
      </c>
      <c r="Y54" s="49" t="n">
        <f aca="false">C54+E54+G54</f>
        <v>64996.0582407514</v>
      </c>
      <c r="Z54" s="49" t="n">
        <f aca="false">X54-Y54</f>
        <v>46535.5648147188</v>
      </c>
      <c r="AA54" s="20" t="n">
        <f aca="false">'Fixed Costs'!$G$31/52</f>
        <v>25332.6923076923</v>
      </c>
      <c r="AB54" s="49" t="n">
        <f aca="false">Z54-AA54</f>
        <v>21202.8725070265</v>
      </c>
      <c r="AC54" s="21" t="n">
        <f aca="false">L54*Baseline!G54</f>
        <v>4752.5622942952</v>
      </c>
    </row>
    <row r="55" customFormat="false" ht="15" hidden="false" customHeight="false" outlineLevel="0" collapsed="false">
      <c r="A55" s="13" t="n">
        <v>50</v>
      </c>
      <c r="B55" s="14" t="str">
        <f aca="false">Calendar!D55</f>
        <v>P12</v>
      </c>
      <c r="C55" s="20" t="n">
        <f aca="false">IF('Media Plan'!D55&lt;&gt;"",'Media Plan'!D55,Assumptions!$F$10*Baseline!T55)</f>
        <v>34682.4829152188</v>
      </c>
      <c r="D55" s="21" t="n">
        <f aca="false">IFERROR(C55/(Baseline!H55*(1+Assumptions!$F$13)*IFERROR(MAX(0,C55)/'History Y-1'!P55,1)^Assumptions!$F$14),0)</f>
        <v>75009.6665213224</v>
      </c>
      <c r="E55" s="20" t="n">
        <f aca="false">IF('Media Plan'!J55&lt;&gt;"",'Media Plan'!J55,Assumptions!$F$11*Baseline!U55)</f>
        <v>17504.2715789758</v>
      </c>
      <c r="F55" s="21" t="n">
        <f aca="false">IFERROR(E55/(Baseline!I55*(1+Assumptions!$F$13)*IFERROR(MAX(0,E55)/'History Y-1'!Q55,1)^Assumptions!$F$15),0)</f>
        <v>48448.4704664464</v>
      </c>
      <c r="G55" s="20" t="n">
        <f aca="false">IF('Media Plan'!P55&lt;&gt;"",'Media Plan'!P55,Assumptions!$F$12*Baseline!V55)</f>
        <v>3111.03171549913</v>
      </c>
      <c r="H55" s="21" t="n">
        <f aca="false">IFERROR(G55/(Baseline!J55*(1+Assumptions!$F$13)*IFERROR(MAX(0,G55)/'History Y-1'!R55,1)^Assumptions!$F$16),0)</f>
        <v>12307.8324587368</v>
      </c>
      <c r="I55" s="21" t="n">
        <f aca="false">'History Y-1'!$F$58*(1+Assumptions!$F$6)*Baseline!Q55+'History Y-1'!$G$58*(1+Assumptions!$F$7)*Baseline!R55+J55</f>
        <v>194738.479217964</v>
      </c>
      <c r="J55" s="21" t="n">
        <f aca="false">'History Y-1'!$H$58*(1+Assumptions!$F$8)*Baseline!S55</f>
        <v>22880.0048495343</v>
      </c>
      <c r="K55" s="55" t="n">
        <f aca="false">D55+F55+H55+I55</f>
        <v>330504.448664469</v>
      </c>
      <c r="L55" s="21" t="n">
        <f aca="false">K55*Baseline!B55*(1+Assumptions!$F$18)*(1+Calendar!G55)</f>
        <v>7486.93397785605</v>
      </c>
      <c r="M55" s="20" t="n">
        <f aca="false">L55*Baseline!C55*(1+Assumptions!$F$19)</f>
        <v>506132.187912129</v>
      </c>
      <c r="N55" s="31" t="n">
        <f aca="false">MAX(0,MIN(0.9,Baseline!E55+Assumptions!$F$20))</f>
        <v>0.302384646337648</v>
      </c>
      <c r="O55" s="31" t="n">
        <f aca="false">MAX(0,Baseline!F55+Assumptions!$F$21)</f>
        <v>0.260082040930921</v>
      </c>
      <c r="P55" s="49" t="n">
        <f aca="false">M55*O55</f>
        <v>131635.892413019</v>
      </c>
      <c r="Q55" s="49" t="n">
        <f aca="false">M55-P55</f>
        <v>374496.29549911</v>
      </c>
      <c r="R55" s="21" t="n">
        <f aca="false">L55*Baseline!D55</f>
        <v>14106.8551005712</v>
      </c>
      <c r="S55" s="21" t="n">
        <f aca="false">IFERROR(P55/(Baseline!C55*(1+Assumptions!$F$19)),0)</f>
        <v>1947.21706927586</v>
      </c>
      <c r="T55" s="20" t="n">
        <f aca="false">Q55/(1-N55)*(1-Assumptions!$F$23)</f>
        <v>203992.918938162</v>
      </c>
      <c r="U55" s="20" t="n">
        <f aca="false">P55/(1-N55)*(1-Assumptions!$F$23)*Assumptions!$F$24</f>
        <v>5019.26272093067</v>
      </c>
      <c r="V55" s="49" t="n">
        <f aca="false">Q55-T55-U55</f>
        <v>165484.113840017</v>
      </c>
      <c r="W55" s="20" t="n">
        <f aca="false">T55*Assumptions!$F$25+L55*(Assumptions!$F$27-Assumptions!$F$28+Assumptions!$F$29+Assumptions!$F$36*Assumptions!$F$37)+R55*Assumptions!$F$30+S55*(Assumptions!$F$31+Assumptions!$F$32)+M55*(Assumptions!$F$33+Assumptions!$F$38)+IFERROR(M55*J55/K55,0)*Assumptions!$F$35*Assumptions!$F$34</f>
        <v>73599.6132064278</v>
      </c>
      <c r="X55" s="49" t="n">
        <f aca="false">V55-W55</f>
        <v>91884.5006335888</v>
      </c>
      <c r="Y55" s="49" t="n">
        <f aca="false">C55+E55+G55</f>
        <v>55297.7862096937</v>
      </c>
      <c r="Z55" s="49" t="n">
        <f aca="false">X55-Y55</f>
        <v>36586.7144238951</v>
      </c>
      <c r="AA55" s="20" t="n">
        <f aca="false">'Fixed Costs'!$G$31/52</f>
        <v>25332.6923076923</v>
      </c>
      <c r="AB55" s="49" t="n">
        <f aca="false">Z55-AA55</f>
        <v>11254.0221162028</v>
      </c>
      <c r="AC55" s="21" t="n">
        <f aca="false">L55*Baseline!G55</f>
        <v>3294.23004396085</v>
      </c>
    </row>
    <row r="56" customFormat="false" ht="15" hidden="false" customHeight="false" outlineLevel="0" collapsed="false">
      <c r="A56" s="13" t="n">
        <v>51</v>
      </c>
      <c r="B56" s="14" t="str">
        <f aca="false">Calendar!D56</f>
        <v>P12</v>
      </c>
      <c r="C56" s="20" t="n">
        <f aca="false">IF('Media Plan'!D56&lt;&gt;"",'Media Plan'!D56,Assumptions!$F$10*Baseline!T56)</f>
        <v>29110.5914464669</v>
      </c>
      <c r="D56" s="21" t="n">
        <f aca="false">IFERROR(C56/(Baseline!H56*(1+Assumptions!$F$13)*IFERROR(MAX(0,C56)/'History Y-1'!P56,1)^Assumptions!$F$14),0)</f>
        <v>62379.6502097389</v>
      </c>
      <c r="E56" s="20" t="n">
        <f aca="false">IF('Media Plan'!J56&lt;&gt;"",'Media Plan'!J56,Assumptions!$F$11*Baseline!U56)</f>
        <v>13506.7373243868</v>
      </c>
      <c r="F56" s="21" t="n">
        <f aca="false">IFERROR(E56/(Baseline!I56*(1+Assumptions!$F$13)*IFERROR(MAX(0,E56)/'History Y-1'!Q56,1)^Assumptions!$F$15),0)</f>
        <v>37179.6999601314</v>
      </c>
      <c r="G56" s="20" t="n">
        <f aca="false">IF('Media Plan'!P56&lt;&gt;"",'Media Plan'!P56,Assumptions!$F$12*Baseline!V56)</f>
        <v>2484.4235265612</v>
      </c>
      <c r="H56" s="21" t="n">
        <f aca="false">IFERROR(G56/(Baseline!J56*(1+Assumptions!$F$13)*IFERROR(MAX(0,G56)/'History Y-1'!R56,1)^Assumptions!$F$16),0)</f>
        <v>9786.69477517477</v>
      </c>
      <c r="I56" s="21" t="n">
        <f aca="false">'History Y-1'!$F$58*(1+Assumptions!$F$6)*Baseline!Q56+'History Y-1'!$G$58*(1+Assumptions!$F$7)*Baseline!R56+J56</f>
        <v>151565.19449091</v>
      </c>
      <c r="J56" s="21" t="n">
        <f aca="false">'History Y-1'!$H$58*(1+Assumptions!$F$8)*Baseline!S56</f>
        <v>17770.9171447188</v>
      </c>
      <c r="K56" s="55" t="n">
        <f aca="false">D56+F56+H56+I56</f>
        <v>260911.239435955</v>
      </c>
      <c r="L56" s="21" t="n">
        <f aca="false">K56*Baseline!B56*(1+Assumptions!$F$18)*(1+Calendar!G56)</f>
        <v>5524.2529777866</v>
      </c>
      <c r="M56" s="20" t="n">
        <f aca="false">L56*Baseline!C56*(1+Assumptions!$F$19)</f>
        <v>415361.451464578</v>
      </c>
      <c r="N56" s="31" t="n">
        <f aca="false">MAX(0,MIN(0.9,Baseline!E56+Assumptions!$F$20))</f>
        <v>0.146406503925247</v>
      </c>
      <c r="O56" s="31" t="n">
        <f aca="false">MAX(0,Baseline!F56+Assumptions!$F$21)</f>
        <v>0.275301910154981</v>
      </c>
      <c r="P56" s="49" t="n">
        <f aca="false">M56*O56</f>
        <v>114349.800992943</v>
      </c>
      <c r="Q56" s="49" t="n">
        <f aca="false">M56-P56</f>
        <v>301011.650471634</v>
      </c>
      <c r="R56" s="21" t="n">
        <f aca="false">L56*Baseline!D56</f>
        <v>10629.6776426128</v>
      </c>
      <c r="S56" s="21" t="n">
        <f aca="false">IFERROR(P56/(Baseline!C56*(1+Assumptions!$F$19)),0)</f>
        <v>1520.83739696399</v>
      </c>
      <c r="T56" s="20" t="n">
        <f aca="false">Q56/(1-N56)*(1-Assumptions!$F$23)</f>
        <v>134003.39588483</v>
      </c>
      <c r="U56" s="20" t="n">
        <f aca="false">P56/(1-N56)*(1-Assumptions!$F$23)*Assumptions!$F$24</f>
        <v>3563.41129636011</v>
      </c>
      <c r="V56" s="49" t="n">
        <f aca="false">Q56-T56-U56</f>
        <v>163444.843290444</v>
      </c>
      <c r="W56" s="20" t="n">
        <f aca="false">T56*Assumptions!$F$25+L56*(Assumptions!$F$27-Assumptions!$F$28+Assumptions!$F$29+Assumptions!$F$36*Assumptions!$F$37)+R56*Assumptions!$F$30+S56*(Assumptions!$F$31+Assumptions!$F$32)+M56*(Assumptions!$F$33+Assumptions!$F$38)+IFERROR(M56*J56/K56,0)*Assumptions!$F$35*Assumptions!$F$34</f>
        <v>55412.3612830288</v>
      </c>
      <c r="X56" s="49" t="n">
        <f aca="false">V56-W56</f>
        <v>108032.482007415</v>
      </c>
      <c r="Y56" s="49" t="n">
        <f aca="false">C56+E56+G56</f>
        <v>45101.7522974149</v>
      </c>
      <c r="Z56" s="49" t="n">
        <f aca="false">X56-Y56</f>
        <v>62930.7297100005</v>
      </c>
      <c r="AA56" s="20" t="n">
        <f aca="false">'Fixed Costs'!$G$31/52</f>
        <v>25332.6923076923</v>
      </c>
      <c r="AB56" s="49" t="n">
        <f aca="false">Z56-AA56</f>
        <v>37598.0374023082</v>
      </c>
      <c r="AC56" s="21" t="n">
        <f aca="false">L56*Baseline!G56</f>
        <v>1960.79558746833</v>
      </c>
    </row>
    <row r="57" customFormat="false" ht="15" hidden="false" customHeight="false" outlineLevel="0" collapsed="false">
      <c r="A57" s="13" t="n">
        <v>52</v>
      </c>
      <c r="B57" s="14" t="str">
        <f aca="false">Calendar!D57</f>
        <v>P12</v>
      </c>
      <c r="C57" s="20" t="n">
        <f aca="false">IF('Media Plan'!D57&lt;&gt;"",'Media Plan'!D57,Assumptions!$F$10*Baseline!T57)</f>
        <v>25177.0864550214</v>
      </c>
      <c r="D57" s="21" t="n">
        <f aca="false">IFERROR(C57/(Baseline!H57*(1+Assumptions!$F$13)*IFERROR(MAX(0,C57)/'History Y-1'!P57,1)^Assumptions!$F$14),0)</f>
        <v>55298.8035258505</v>
      </c>
      <c r="E57" s="20" t="n">
        <f aca="false">IF('Media Plan'!J57&lt;&gt;"",'Media Plan'!J57,Assumptions!$F$11*Baseline!U57)</f>
        <v>12614.7949635458</v>
      </c>
      <c r="F57" s="21" t="n">
        <f aca="false">IFERROR(E57/(Baseline!I57*(1+Assumptions!$F$13)*IFERROR(MAX(0,E57)/'History Y-1'!Q57,1)^Assumptions!$F$15),0)</f>
        <v>33671.7266171681</v>
      </c>
      <c r="G57" s="20" t="n">
        <f aca="false">IF('Media Plan'!P57&lt;&gt;"",'Media Plan'!P57,Assumptions!$F$12*Baseline!V57)</f>
        <v>2313.31241026666</v>
      </c>
      <c r="H57" s="21" t="n">
        <f aca="false">IFERROR(G57/(Baseline!J57*(1+Assumptions!$F$13)*IFERROR(MAX(0,G57)/'History Y-1'!R57,1)^Assumptions!$F$16),0)</f>
        <v>9704.50620840734</v>
      </c>
      <c r="I57" s="21" t="n">
        <f aca="false">'History Y-1'!$F$58*(1+Assumptions!$F$6)*Baseline!Q57+'History Y-1'!$G$58*(1+Assumptions!$F$7)*Baseline!R57+J57</f>
        <v>140242.673331305</v>
      </c>
      <c r="J57" s="21" t="n">
        <f aca="false">'History Y-1'!$H$58*(1+Assumptions!$F$8)*Baseline!S57</f>
        <v>16569.8452272567</v>
      </c>
      <c r="K57" s="55" t="n">
        <f aca="false">D57+F57+H57+I57</f>
        <v>238917.709682731</v>
      </c>
      <c r="L57" s="21" t="n">
        <f aca="false">K57*Baseline!B57*(1+Assumptions!$F$18)*(1+Calendar!G57)</f>
        <v>5078.63270254251</v>
      </c>
      <c r="M57" s="20" t="n">
        <f aca="false">L57*Baseline!C57*(1+Assumptions!$F$19)</f>
        <v>381251.413442369</v>
      </c>
      <c r="N57" s="31" t="n">
        <f aca="false">MAX(0,MIN(0.9,Baseline!E57+Assumptions!$F$20))</f>
        <v>0.096088875518101</v>
      </c>
      <c r="O57" s="31" t="n">
        <f aca="false">MAX(0,Baseline!F57+Assumptions!$F$21)</f>
        <v>0.273966830327399</v>
      </c>
      <c r="P57" s="49" t="n">
        <f aca="false">M57*O57</f>
        <v>104450.241298646</v>
      </c>
      <c r="Q57" s="49" t="n">
        <f aca="false">M57-P57</f>
        <v>276801.172143722</v>
      </c>
      <c r="R57" s="21" t="n">
        <f aca="false">L57*Baseline!D57</f>
        <v>9767.06941094003</v>
      </c>
      <c r="S57" s="21" t="n">
        <f aca="false">IFERROR(P57/(Baseline!C57*(1+Assumptions!$F$19)),0)</f>
        <v>1391.37690391264</v>
      </c>
      <c r="T57" s="20" t="n">
        <f aca="false">Q57/(1-N57)*(1-Assumptions!$F$23)</f>
        <v>116365.915371275</v>
      </c>
      <c r="U57" s="20" t="n">
        <f aca="false">P57/(1-N57)*(1-Assumptions!$F$23)*Assumptions!$F$24</f>
        <v>3073.72743104195</v>
      </c>
      <c r="V57" s="49" t="n">
        <f aca="false">Q57-T57-U57</f>
        <v>157361.529341406</v>
      </c>
      <c r="W57" s="20" t="n">
        <f aca="false">T57*Assumptions!$F$25+L57*(Assumptions!$F$27-Assumptions!$F$28+Assumptions!$F$29+Assumptions!$F$36*Assumptions!$F$37)+R57*Assumptions!$F$30+S57*(Assumptions!$F$31+Assumptions!$F$32)+M57*(Assumptions!$F$33+Assumptions!$F$38)+IFERROR(M57*J57/K57,0)*Assumptions!$F$35*Assumptions!$F$34</f>
        <v>50722.8873819027</v>
      </c>
      <c r="X57" s="49" t="n">
        <f aca="false">V57-W57</f>
        <v>106638.641959503</v>
      </c>
      <c r="Y57" s="49" t="n">
        <f aca="false">C57+E57+G57</f>
        <v>40105.1938288339</v>
      </c>
      <c r="Z57" s="49" t="n">
        <f aca="false">X57-Y57</f>
        <v>66533.448130669</v>
      </c>
      <c r="AA57" s="20" t="n">
        <f aca="false">'Fixed Costs'!$G$31/52</f>
        <v>25332.6923076923</v>
      </c>
      <c r="AB57" s="49" t="n">
        <f aca="false">Z57-AA57</f>
        <v>41200.7558229767</v>
      </c>
      <c r="AC57" s="21" t="n">
        <f aca="false">L57*Baseline!G57</f>
        <v>1851.17218469835</v>
      </c>
    </row>
    <row r="58" customFormat="false" ht="15" hidden="false" customHeight="false" outlineLevel="0" collapsed="false">
      <c r="A58" s="60" t="s">
        <v>483</v>
      </c>
      <c r="B58" s="61"/>
      <c r="C58" s="63" t="n">
        <f aca="false">SUM(C6:C57)</f>
        <v>1700000</v>
      </c>
      <c r="D58" s="62" t="n">
        <f aca="false">SUM(D6:D57)</f>
        <v>3681136.19221448</v>
      </c>
      <c r="E58" s="63" t="n">
        <f aca="false">SUM(E6:E57)</f>
        <v>850000</v>
      </c>
      <c r="F58" s="62" t="n">
        <f aca="false">SUM(F6:F57)</f>
        <v>2303658.0777531</v>
      </c>
      <c r="G58" s="63" t="n">
        <f aca="false">SUM(G6:G57)</f>
        <v>150000</v>
      </c>
      <c r="H58" s="62" t="n">
        <f aca="false">SUM(H6:H57)</f>
        <v>607172.794374935</v>
      </c>
      <c r="I58" s="62" t="n">
        <f aca="false">SUM(I6:I57)</f>
        <v>9564076.15</v>
      </c>
      <c r="J58" s="62" t="n">
        <f aca="false">SUM(J6:J57)</f>
        <v>1087279.75</v>
      </c>
      <c r="K58" s="62" t="n">
        <f aca="false">SUM(K6:K57)</f>
        <v>16156043.2143425</v>
      </c>
      <c r="L58" s="62" t="n">
        <f aca="false">SUM(L6:L57)</f>
        <v>355697.633554626</v>
      </c>
      <c r="M58" s="63" t="n">
        <f aca="false">SUM(M6:M57)</f>
        <v>26235478.0929244</v>
      </c>
      <c r="N58" s="76"/>
      <c r="O58" s="76"/>
      <c r="P58" s="63" t="n">
        <f aca="false">SUM(P6:P57)</f>
        <v>7191047.91050309</v>
      </c>
      <c r="Q58" s="63" t="n">
        <f aca="false">SUM(Q6:Q57)</f>
        <v>19044430.1824213</v>
      </c>
      <c r="R58" s="62" t="n">
        <f aca="false">SUM(R6:R57)</f>
        <v>676249.30152182</v>
      </c>
      <c r="S58" s="62" t="n">
        <f aca="false">SUM(S6:S57)</f>
        <v>97350.8306484818</v>
      </c>
      <c r="T58" s="63" t="n">
        <f aca="false">SUM(T6:T57)</f>
        <v>8655002.71959656</v>
      </c>
      <c r="U58" s="63" t="n">
        <f aca="false">SUM(U6:U57)</f>
        <v>227947.924142082</v>
      </c>
      <c r="V58" s="63" t="n">
        <f aca="false">SUM(V6:V57)</f>
        <v>10161479.5386827</v>
      </c>
      <c r="W58" s="63" t="n">
        <f aca="false">SUM(W6:W57)</f>
        <v>3544257.07712369</v>
      </c>
      <c r="X58" s="63" t="n">
        <f aca="false">SUM(X6:X57)</f>
        <v>6617222.46155901</v>
      </c>
      <c r="Y58" s="63" t="n">
        <f aca="false">SUM(Y6:Y57)</f>
        <v>2700000</v>
      </c>
      <c r="Z58" s="63" t="n">
        <f aca="false">SUM(Z6:Z57)</f>
        <v>3917222.46155901</v>
      </c>
      <c r="AA58" s="63" t="n">
        <f aca="false">SUM(AA6:AA57)</f>
        <v>1317300</v>
      </c>
      <c r="AB58" s="63" t="n">
        <f aca="false">SUM(AB6:AB57)</f>
        <v>2599922.461559</v>
      </c>
      <c r="AC58" s="62" t="n">
        <f aca="false">SUM(AC6:AC57)</f>
        <v>134809.908687411</v>
      </c>
    </row>
  </sheetData>
  <sheetProtection sheet="true" formatColumns="false" formatRows="false"/>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C5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7.35" hidden="false" customHeight="false" outlineLevel="0" collapsed="false">
      <c r="A1" s="1" t="s">
        <v>811</v>
      </c>
    </row>
    <row r="2" customFormat="false" ht="15" hidden="false" customHeight="false" outlineLevel="0" collapsed="false">
      <c r="A2" s="2" t="s">
        <v>802</v>
      </c>
    </row>
    <row r="5" customFormat="false" ht="42" hidden="false" customHeight="true" outlineLevel="0" collapsed="false">
      <c r="A5" s="19" t="s">
        <v>410</v>
      </c>
      <c r="B5" s="19" t="s">
        <v>413</v>
      </c>
      <c r="C5" s="19" t="s">
        <v>803</v>
      </c>
      <c r="D5" s="19" t="s">
        <v>551</v>
      </c>
      <c r="E5" s="19" t="s">
        <v>804</v>
      </c>
      <c r="F5" s="19" t="s">
        <v>557</v>
      </c>
      <c r="G5" s="19" t="s">
        <v>805</v>
      </c>
      <c r="H5" s="19" t="s">
        <v>563</v>
      </c>
      <c r="I5" s="19" t="s">
        <v>806</v>
      </c>
      <c r="J5" s="19" t="s">
        <v>807</v>
      </c>
      <c r="K5" s="19" t="s">
        <v>663</v>
      </c>
      <c r="L5" s="19" t="s">
        <v>454</v>
      </c>
      <c r="M5" s="19" t="s">
        <v>601</v>
      </c>
      <c r="N5" s="19" t="s">
        <v>467</v>
      </c>
      <c r="O5" s="19" t="s">
        <v>468</v>
      </c>
      <c r="P5" s="19" t="s">
        <v>603</v>
      </c>
      <c r="Q5" s="19" t="s">
        <v>87</v>
      </c>
      <c r="R5" s="19" t="s">
        <v>456</v>
      </c>
      <c r="S5" s="19" t="s">
        <v>576</v>
      </c>
      <c r="T5" s="19" t="s">
        <v>604</v>
      </c>
      <c r="U5" s="19" t="s">
        <v>605</v>
      </c>
      <c r="V5" s="19" t="s">
        <v>606</v>
      </c>
      <c r="W5" s="19" t="s">
        <v>608</v>
      </c>
      <c r="X5" s="19" t="s">
        <v>596</v>
      </c>
      <c r="Y5" s="19" t="s">
        <v>808</v>
      </c>
      <c r="Z5" s="19" t="s">
        <v>89</v>
      </c>
      <c r="AA5" s="19" t="s">
        <v>490</v>
      </c>
      <c r="AB5" s="19" t="s">
        <v>90</v>
      </c>
      <c r="AC5" s="19" t="s">
        <v>91</v>
      </c>
    </row>
    <row r="6" customFormat="false" ht="15" hidden="false" customHeight="false" outlineLevel="0" collapsed="false">
      <c r="A6" s="13" t="n">
        <v>1</v>
      </c>
      <c r="B6" s="14" t="str">
        <f aca="false">Calendar!D6</f>
        <v>P1</v>
      </c>
      <c r="C6" s="20" t="n">
        <f aca="false">IF('Media Plan'!D6&lt;&gt;"",'Media Plan'!D6,Assumptions!$D$10*Baseline!T6)</f>
        <v>29843.9706136967</v>
      </c>
      <c r="D6" s="21" t="n">
        <f aca="false">IFERROR(C6/(Baseline!H6*(1+Assumptions!$E$13)*IFERROR(MAX(0,C6)/'History Y-1'!P6,1)^Assumptions!$E$14),0)</f>
        <v>63693.7248850362</v>
      </c>
      <c r="E6" s="20" t="n">
        <f aca="false">IF('Media Plan'!J6&lt;&gt;"",'Media Plan'!J6,Assumptions!$D$11*Baseline!U6)</f>
        <v>14158.9060511355</v>
      </c>
      <c r="F6" s="21" t="n">
        <f aca="false">IFERROR(E6/(Baseline!I6*(1+Assumptions!$E$13)*IFERROR(MAX(0,E6)/'History Y-1'!Q6,1)^Assumptions!$E$15),0)</f>
        <v>39624.6514860523</v>
      </c>
      <c r="G6" s="20" t="n">
        <f aca="false">IF('Media Plan'!P6&lt;&gt;"",'Media Plan'!P6,Assumptions!$D$12*Baseline!V6)</f>
        <v>3261.09273756347</v>
      </c>
      <c r="H6" s="21" t="n">
        <f aca="false">IFERROR(G6/(Baseline!J6*(1+Assumptions!$E$13)*IFERROR(MAX(0,G6)/'History Y-1'!R6,1)^Assumptions!$E$16),0)</f>
        <v>13679.7724974399</v>
      </c>
      <c r="I6" s="21" t="n">
        <f aca="false">'History Y-1'!$F$58*(1+Assumptions!$E$6)*Baseline!Q6+'History Y-1'!$G$58*(1+Assumptions!$E$7)*Baseline!R6+J6</f>
        <v>160981.577631561</v>
      </c>
      <c r="J6" s="21" t="n">
        <f aca="false">'History Y-1'!$H$58*(1+Assumptions!$E$8)*Baseline!S6</f>
        <v>17891.9593365736</v>
      </c>
      <c r="K6" s="55" t="n">
        <f aca="false">D6+F6+H6+I6</f>
        <v>277979.726500089</v>
      </c>
      <c r="L6" s="21" t="n">
        <f aca="false">K6*Baseline!B6*(1+Assumptions!$E$18)*(1+Calendar!G6)</f>
        <v>6088.80870956151</v>
      </c>
      <c r="M6" s="20" t="n">
        <f aca="false">L6*Baseline!C6*(1+Assumptions!$E$19)</f>
        <v>477213.476770142</v>
      </c>
      <c r="N6" s="31" t="n">
        <f aca="false">MAX(0,MIN(0.9,Baseline!E6+Assumptions!$E$20))</f>
        <v>0.067110324454184</v>
      </c>
      <c r="O6" s="31" t="n">
        <f aca="false">MAX(0,Baseline!F6+Assumptions!$E$21)</f>
        <v>0.244153851431718</v>
      </c>
      <c r="P6" s="49" t="n">
        <f aca="false">M6*O6</f>
        <v>116513.508308551</v>
      </c>
      <c r="Q6" s="49" t="n">
        <f aca="false">M6-P6</f>
        <v>360699.968461592</v>
      </c>
      <c r="R6" s="21" t="n">
        <f aca="false">L6*Baseline!D6</f>
        <v>11640.1519996703</v>
      </c>
      <c r="S6" s="21" t="n">
        <f aca="false">IFERROR(P6/(Baseline!C6*(1+Assumptions!$E$19)),0)</f>
        <v>1486.60609707043</v>
      </c>
      <c r="T6" s="20" t="n">
        <f aca="false">Q6/(1-N6)*(1-Assumptions!$E$23)</f>
        <v>146926.256778659</v>
      </c>
      <c r="U6" s="20" t="n">
        <f aca="false">P6/(1-N6)*(1-Assumptions!$E$23)*Assumptions!$E$24</f>
        <v>1898.40811053439</v>
      </c>
      <c r="V6" s="49" t="n">
        <f aca="false">Q6-T6-U6</f>
        <v>211875.303572398</v>
      </c>
      <c r="W6" s="20" t="n">
        <f aca="false">T6*Assumptions!$E$25+L6*(Assumptions!$E$27-Assumptions!$E$28+Assumptions!$E$29+Assumptions!$E$36*Assumptions!$E$37)+R6*Assumptions!$E$30+S6*(Assumptions!$E$31+Assumptions!$E$32)+M6*(Assumptions!$E$33+Assumptions!$E$38)+IFERROR(M6*J6/K6,0)*Assumptions!$E$35*Assumptions!$E$34</f>
        <v>52978.1873754537</v>
      </c>
      <c r="X6" s="49" t="n">
        <f aca="false">V6-W6</f>
        <v>158897.116196944</v>
      </c>
      <c r="Y6" s="49" t="n">
        <f aca="false">C6+E6+G6</f>
        <v>47263.9694023958</v>
      </c>
      <c r="Z6" s="49" t="n">
        <f aca="false">X6-Y6</f>
        <v>111633.146794548</v>
      </c>
      <c r="AA6" s="20" t="n">
        <f aca="false">'Fixed Costs'!$G$31/52</f>
        <v>25332.6923076923</v>
      </c>
      <c r="AB6" s="49" t="n">
        <f aca="false">Z6-AA6</f>
        <v>86300.454486856</v>
      </c>
      <c r="AC6" s="21" t="n">
        <f aca="false">L6*Baseline!G6</f>
        <v>2173.54320555808</v>
      </c>
    </row>
    <row r="7" customFormat="false" ht="15" hidden="false" customHeight="false" outlineLevel="0" collapsed="false">
      <c r="A7" s="13" t="n">
        <v>2</v>
      </c>
      <c r="B7" s="14" t="str">
        <f aca="false">Calendar!D7</f>
        <v>P1</v>
      </c>
      <c r="C7" s="20" t="n">
        <f aca="false">IF('Media Plan'!D7&lt;&gt;"",'Media Plan'!D7,Assumptions!$D$10*Baseline!T7)</f>
        <v>31667.3056326564</v>
      </c>
      <c r="D7" s="21" t="n">
        <f aca="false">IFERROR(C7/(Baseline!H7*(1+Assumptions!$E$13)*IFERROR(MAX(0,C7)/'History Y-1'!P7,1)^Assumptions!$E$14),0)</f>
        <v>68593.3389208275</v>
      </c>
      <c r="E7" s="20" t="n">
        <f aca="false">IF('Media Plan'!J7&lt;&gt;"",'Media Plan'!J7,Assumptions!$D$11*Baseline!U7)</f>
        <v>15621.4411940626</v>
      </c>
      <c r="F7" s="21" t="n">
        <f aca="false">IFERROR(E7/(Baseline!I7*(1+Assumptions!$E$13)*IFERROR(MAX(0,E7)/'History Y-1'!Q7,1)^Assumptions!$E$15),0)</f>
        <v>43336.5051881681</v>
      </c>
      <c r="G7" s="20" t="n">
        <f aca="false">IF('Media Plan'!P7&lt;&gt;"",'Media Plan'!P7,Assumptions!$D$12*Baseline!V7)</f>
        <v>3290.79568627744</v>
      </c>
      <c r="H7" s="21" t="n">
        <f aca="false">IFERROR(G7/(Baseline!J7*(1+Assumptions!$E$13)*IFERROR(MAX(0,G7)/'History Y-1'!R7,1)^Assumptions!$E$16),0)</f>
        <v>14027.4014961168</v>
      </c>
      <c r="I7" s="21" t="n">
        <f aca="false">'History Y-1'!$F$58*(1+Assumptions!$E$6)*Baseline!Q7+'History Y-1'!$G$58*(1+Assumptions!$E$7)*Baseline!R7+J7</f>
        <v>166361.223959215</v>
      </c>
      <c r="J7" s="21" t="n">
        <f aca="false">'History Y-1'!$H$58*(1+Assumptions!$E$8)*Baseline!S7</f>
        <v>19563.851071451</v>
      </c>
      <c r="K7" s="55" t="n">
        <f aca="false">D7+F7+H7+I7</f>
        <v>292318.469564327</v>
      </c>
      <c r="L7" s="21" t="n">
        <f aca="false">K7*Baseline!B7*(1+Assumptions!$E$18)*(1+Calendar!G7)</f>
        <v>6503.83745210439</v>
      </c>
      <c r="M7" s="20" t="n">
        <f aca="false">L7*Baseline!C7*(1+Assumptions!$E$19)</f>
        <v>508839.64506413</v>
      </c>
      <c r="N7" s="31" t="n">
        <f aca="false">MAX(0,MIN(0.9,Baseline!E7+Assumptions!$E$20))</f>
        <v>0.0663282292155085</v>
      </c>
      <c r="O7" s="31" t="n">
        <f aca="false">MAX(0,Baseline!F7+Assumptions!$E$21)</f>
        <v>0.250498513514979</v>
      </c>
      <c r="P7" s="49" t="n">
        <f aca="false">M7*O7</f>
        <v>127463.574706054</v>
      </c>
      <c r="Q7" s="49" t="n">
        <f aca="false">M7-P7</f>
        <v>381376.070358077</v>
      </c>
      <c r="R7" s="21" t="n">
        <f aca="false">L7*Baseline!D7</f>
        <v>12568.9718595994</v>
      </c>
      <c r="S7" s="21" t="n">
        <f aca="false">IFERROR(P7/(Baseline!C7*(1+Assumptions!$E$19)),0)</f>
        <v>1629.2016138952</v>
      </c>
      <c r="T7" s="20" t="n">
        <f aca="false">Q7/(1-N7)*(1-Assumptions!$E$23)</f>
        <v>155218.258997272</v>
      </c>
      <c r="U7" s="20" t="n">
        <f aca="false">P7/(1-N7)*(1-Assumptions!$E$23)*Assumptions!$E$24</f>
        <v>2075.08291045807</v>
      </c>
      <c r="V7" s="49" t="n">
        <f aca="false">Q7-T7-U7</f>
        <v>224082.728450346</v>
      </c>
      <c r="W7" s="20" t="n">
        <f aca="false">T7*Assumptions!$E$25+L7*(Assumptions!$E$27-Assumptions!$E$28+Assumptions!$E$29+Assumptions!$E$36*Assumptions!$E$37)+R7*Assumptions!$E$30+S7*(Assumptions!$E$31+Assumptions!$E$32)+M7*(Assumptions!$E$33+Assumptions!$E$38)+IFERROR(M7*J7/K7,0)*Assumptions!$E$35*Assumptions!$E$34</f>
        <v>56907.3638702598</v>
      </c>
      <c r="X7" s="49" t="n">
        <f aca="false">V7-W7</f>
        <v>167175.364580086</v>
      </c>
      <c r="Y7" s="49" t="n">
        <f aca="false">C7+E7+G7</f>
        <v>50579.5425129965</v>
      </c>
      <c r="Z7" s="49" t="n">
        <f aca="false">X7-Y7</f>
        <v>116595.82206709</v>
      </c>
      <c r="AA7" s="20" t="n">
        <f aca="false">'Fixed Costs'!$G$31/52</f>
        <v>25332.6923076923</v>
      </c>
      <c r="AB7" s="49" t="n">
        <f aca="false">Z7-AA7</f>
        <v>91263.1297593976</v>
      </c>
      <c r="AC7" s="21" t="n">
        <f aca="false">L7*Baseline!G7</f>
        <v>2343.53278714467</v>
      </c>
    </row>
    <row r="8" customFormat="false" ht="15" hidden="false" customHeight="false" outlineLevel="0" collapsed="false">
      <c r="A8" s="13" t="n">
        <v>3</v>
      </c>
      <c r="B8" s="14" t="str">
        <f aca="false">Calendar!D8</f>
        <v>P1</v>
      </c>
      <c r="C8" s="20" t="n">
        <f aca="false">IF('Media Plan'!D8&lt;&gt;"",'Media Plan'!D8,Assumptions!$D$10*Baseline!T8)</f>
        <v>32378.0219160128</v>
      </c>
      <c r="D8" s="21" t="n">
        <f aca="false">IFERROR(C8/(Baseline!H8*(1+Assumptions!$E$13)*IFERROR(MAX(0,C8)/'History Y-1'!P8,1)^Assumptions!$E$14),0)</f>
        <v>69615.6447744385</v>
      </c>
      <c r="E8" s="20" t="n">
        <f aca="false">IF('Media Plan'!J8&lt;&gt;"",'Media Plan'!J8,Assumptions!$D$11*Baseline!U8)</f>
        <v>15731.2873382783</v>
      </c>
      <c r="F8" s="21" t="n">
        <f aca="false">IFERROR(E8/(Baseline!I8*(1+Assumptions!$E$13)*IFERROR(MAX(0,E8)/'History Y-1'!Q8,1)^Assumptions!$E$15),0)</f>
        <v>42878.9648970958</v>
      </c>
      <c r="G8" s="20" t="n">
        <f aca="false">IF('Media Plan'!P8&lt;&gt;"",'Media Plan'!P8,Assumptions!$D$12*Baseline!V8)</f>
        <v>3358.8378536477</v>
      </c>
      <c r="H8" s="21" t="n">
        <f aca="false">IFERROR(G8/(Baseline!J8*(1+Assumptions!$E$13)*IFERROR(MAX(0,G8)/'History Y-1'!R8,1)^Assumptions!$E$16),0)</f>
        <v>14379.1450267141</v>
      </c>
      <c r="I8" s="21" t="n">
        <f aca="false">'History Y-1'!$F$58*(1+Assumptions!$E$6)*Baseline!Q8+'History Y-1'!$G$58*(1+Assumptions!$E$7)*Baseline!R8+J8</f>
        <v>168678.164143802</v>
      </c>
      <c r="J8" s="21" t="n">
        <f aca="false">'History Y-1'!$H$58*(1+Assumptions!$E$8)*Baseline!S8</f>
        <v>20254.4508917782</v>
      </c>
      <c r="K8" s="55" t="n">
        <f aca="false">D8+F8+H8+I8</f>
        <v>295551.918842051</v>
      </c>
      <c r="L8" s="21" t="n">
        <f aca="false">K8*Baseline!B8*(1+Assumptions!$E$18)*(1+Calendar!G8)</f>
        <v>6646.81174913707</v>
      </c>
      <c r="M8" s="20" t="n">
        <f aca="false">L8*Baseline!C8*(1+Assumptions!$E$19)</f>
        <v>527801.846534809</v>
      </c>
      <c r="N8" s="31" t="n">
        <f aca="false">MAX(0,MIN(0.9,Baseline!E8+Assumptions!$E$20))</f>
        <v>0.0725000239061912</v>
      </c>
      <c r="O8" s="31" t="n">
        <f aca="false">MAX(0,Baseline!F8+Assumptions!$E$21)</f>
        <v>0.243393127812901</v>
      </c>
      <c r="P8" s="49" t="n">
        <f aca="false">M8*O8</f>
        <v>128463.342293532</v>
      </c>
      <c r="Q8" s="49" t="n">
        <f aca="false">M8-P8</f>
        <v>399338.504241277</v>
      </c>
      <c r="R8" s="21" t="n">
        <f aca="false">L8*Baseline!D8</f>
        <v>12572.4897720857</v>
      </c>
      <c r="S8" s="21" t="n">
        <f aca="false">IFERROR(P8/(Baseline!C8*(1+Assumptions!$E$19)),0)</f>
        <v>1617.78830160601</v>
      </c>
      <c r="T8" s="20" t="n">
        <f aca="false">Q8/(1-N8)*(1-Assumptions!$E$23)</f>
        <v>163610.388704029</v>
      </c>
      <c r="U8" s="20" t="n">
        <f aca="false">P8/(1-N8)*(1-Assumptions!$E$23)*Assumptions!$E$24</f>
        <v>2105.27531341326</v>
      </c>
      <c r="V8" s="49" t="n">
        <f aca="false">Q8-T8-U8</f>
        <v>233622.840223835</v>
      </c>
      <c r="W8" s="20" t="n">
        <f aca="false">T8*Assumptions!$E$25+L8*(Assumptions!$E$27-Assumptions!$E$28+Assumptions!$E$29+Assumptions!$E$36*Assumptions!$E$37)+R8*Assumptions!$E$30+S8*(Assumptions!$E$31+Assumptions!$E$32)+M8*(Assumptions!$E$33+Assumptions!$E$38)+IFERROR(M8*J8/K8,0)*Assumptions!$E$35*Assumptions!$E$34</f>
        <v>58098.3309748932</v>
      </c>
      <c r="X8" s="49" t="n">
        <f aca="false">V8-W8</f>
        <v>175524.509248942</v>
      </c>
      <c r="Y8" s="49" t="n">
        <f aca="false">C8+E8+G8</f>
        <v>51468.1471079387</v>
      </c>
      <c r="Z8" s="49" t="n">
        <f aca="false">X8-Y8</f>
        <v>124056.362141003</v>
      </c>
      <c r="AA8" s="20" t="n">
        <f aca="false">'Fixed Costs'!$G$31/52</f>
        <v>25332.6923076923</v>
      </c>
      <c r="AB8" s="49" t="n">
        <f aca="false">Z8-AA8</f>
        <v>98723.6698333111</v>
      </c>
      <c r="AC8" s="21" t="n">
        <f aca="false">L8*Baseline!G8</f>
        <v>2392.13895988945</v>
      </c>
    </row>
    <row r="9" customFormat="false" ht="15" hidden="false" customHeight="false" outlineLevel="0" collapsed="false">
      <c r="A9" s="13" t="n">
        <v>4</v>
      </c>
      <c r="B9" s="14" t="str">
        <f aca="false">Calendar!D9</f>
        <v>P1</v>
      </c>
      <c r="C9" s="20" t="n">
        <f aca="false">IF('Media Plan'!D9&lt;&gt;"",'Media Plan'!D9,Assumptions!$D$10*Baseline!T9)</f>
        <v>29692.201959479</v>
      </c>
      <c r="D9" s="21" t="n">
        <f aca="false">IFERROR(C9/(Baseline!H9*(1+Assumptions!$E$13)*IFERROR(MAX(0,C9)/'History Y-1'!P9,1)^Assumptions!$E$14),0)</f>
        <v>61339.5705244758</v>
      </c>
      <c r="E9" s="20" t="n">
        <f aca="false">IF('Media Plan'!J9&lt;&gt;"",'Media Plan'!J9,Assumptions!$D$11*Baseline!U9)</f>
        <v>14429.7250475181</v>
      </c>
      <c r="F9" s="21" t="n">
        <f aca="false">IFERROR(E9/(Baseline!I9*(1+Assumptions!$E$13)*IFERROR(MAX(0,E9)/'History Y-1'!Q9,1)^Assumptions!$E$15),0)</f>
        <v>39783.7332901183</v>
      </c>
      <c r="G9" s="20" t="n">
        <f aca="false">IF('Media Plan'!P9&lt;&gt;"",'Media Plan'!P9,Assumptions!$D$12*Baseline!V9)</f>
        <v>3161.0594073568</v>
      </c>
      <c r="H9" s="21" t="n">
        <f aca="false">IFERROR(G9/(Baseline!J9*(1+Assumptions!$E$13)*IFERROR(MAX(0,G9)/'History Y-1'!R9,1)^Assumptions!$E$16),0)</f>
        <v>13234.978456122</v>
      </c>
      <c r="I9" s="21" t="n">
        <f aca="false">'History Y-1'!$F$58*(1+Assumptions!$E$6)*Baseline!Q9+'History Y-1'!$G$58*(1+Assumptions!$E$7)*Baseline!R9+J9</f>
        <v>157560.696719934</v>
      </c>
      <c r="J9" s="21" t="n">
        <f aca="false">'History Y-1'!$H$58*(1+Assumptions!$E$8)*Baseline!S9</f>
        <v>18217.7120400799</v>
      </c>
      <c r="K9" s="55" t="n">
        <f aca="false">D9+F9+H9+I9</f>
        <v>271918.978990651</v>
      </c>
      <c r="L9" s="21" t="n">
        <f aca="false">K9*Baseline!B9*(1+Assumptions!$E$18)*(1+Calendar!G9)</f>
        <v>5956.34497178892</v>
      </c>
      <c r="M9" s="20" t="n">
        <f aca="false">L9*Baseline!C9*(1+Assumptions!$E$19)</f>
        <v>473848.438713754</v>
      </c>
      <c r="N9" s="31" t="n">
        <f aca="false">MAX(0,MIN(0.9,Baseline!E9+Assumptions!$E$20))</f>
        <v>0.0733619544337161</v>
      </c>
      <c r="O9" s="31" t="n">
        <f aca="false">MAX(0,Baseline!F9+Assumptions!$E$21)</f>
        <v>0.241372841126127</v>
      </c>
      <c r="P9" s="49" t="n">
        <f aca="false">M9*O9</f>
        <v>114374.143915519</v>
      </c>
      <c r="Q9" s="49" t="n">
        <f aca="false">M9-P9</f>
        <v>359474.294798236</v>
      </c>
      <c r="R9" s="21" t="n">
        <f aca="false">L9*Baseline!D9</f>
        <v>11458.8779322753</v>
      </c>
      <c r="S9" s="21" t="n">
        <f aca="false">IFERROR(P9/(Baseline!C9*(1+Assumptions!$E$19)),0)</f>
        <v>1437.69990856802</v>
      </c>
      <c r="T9" s="20" t="n">
        <f aca="false">Q9/(1-N9)*(1-Assumptions!$E$23)</f>
        <v>147414.875394902</v>
      </c>
      <c r="U9" s="20" t="n">
        <f aca="false">P9/(1-N9)*(1-Assumptions!$E$23)*Assumptions!$E$24</f>
        <v>1876.12304052707</v>
      </c>
      <c r="V9" s="49" t="n">
        <f aca="false">Q9-T9-U9</f>
        <v>210183.296362806</v>
      </c>
      <c r="W9" s="20" t="n">
        <f aca="false">T9*Assumptions!$E$25+L9*(Assumptions!$E$27-Assumptions!$E$28+Assumptions!$E$29+Assumptions!$E$36*Assumptions!$E$37)+R9*Assumptions!$E$30+S9*(Assumptions!$E$31+Assumptions!$E$32)+M9*(Assumptions!$E$33+Assumptions!$E$38)+IFERROR(M9*J9/K9,0)*Assumptions!$E$35*Assumptions!$E$34</f>
        <v>52157.4854346879</v>
      </c>
      <c r="X9" s="49" t="n">
        <f aca="false">V9-W9</f>
        <v>158025.810928119</v>
      </c>
      <c r="Y9" s="49" t="n">
        <f aca="false">C9+E9+G9</f>
        <v>47282.9864143538</v>
      </c>
      <c r="Z9" s="49" t="n">
        <f aca="false">X9-Y9</f>
        <v>110742.824513765</v>
      </c>
      <c r="AA9" s="20" t="n">
        <f aca="false">'Fixed Costs'!$G$31/52</f>
        <v>25332.6923076923</v>
      </c>
      <c r="AB9" s="49" t="n">
        <f aca="false">Z9-AA9</f>
        <v>85410.1322060724</v>
      </c>
      <c r="AC9" s="21" t="n">
        <f aca="false">L9*Baseline!G9</f>
        <v>2030.93277944671</v>
      </c>
    </row>
    <row r="10" customFormat="false" ht="15" hidden="false" customHeight="false" outlineLevel="0" collapsed="false">
      <c r="A10" s="13" t="n">
        <v>5</v>
      </c>
      <c r="B10" s="14" t="str">
        <f aca="false">Calendar!D10</f>
        <v>P2</v>
      </c>
      <c r="C10" s="20" t="n">
        <f aca="false">IF('Media Plan'!D10&lt;&gt;"",'Media Plan'!D10,Assumptions!$D$10*Baseline!T10)</f>
        <v>30559.1759165065</v>
      </c>
      <c r="D10" s="21" t="n">
        <f aca="false">IFERROR(C10/(Baseline!H10*(1+Assumptions!$E$13)*IFERROR(MAX(0,C10)/'History Y-1'!P10,1)^Assumptions!$E$14),0)</f>
        <v>67577.7745605079</v>
      </c>
      <c r="E10" s="20" t="n">
        <f aca="false">IF('Media Plan'!J10&lt;&gt;"",'Media Plan'!J10,Assumptions!$D$11*Baseline!U10)</f>
        <v>15326.2258797078</v>
      </c>
      <c r="F10" s="21" t="n">
        <f aca="false">IFERROR(E10/(Baseline!I10*(1+Assumptions!$E$13)*IFERROR(MAX(0,E10)/'History Y-1'!Q10,1)^Assumptions!$E$15),0)</f>
        <v>42073.7893115262</v>
      </c>
      <c r="G10" s="20" t="n">
        <f aca="false">IF('Media Plan'!P10&lt;&gt;"",'Media Plan'!P10,Assumptions!$D$12*Baseline!V10)</f>
        <v>3351.2699990457</v>
      </c>
      <c r="H10" s="21" t="n">
        <f aca="false">IFERROR(G10/(Baseline!J10*(1+Assumptions!$E$13)*IFERROR(MAX(0,G10)/'History Y-1'!R10,1)^Assumptions!$E$16),0)</f>
        <v>14088.5154126942</v>
      </c>
      <c r="I10" s="21" t="n">
        <f aca="false">'History Y-1'!$F$58*(1+Assumptions!$E$6)*Baseline!Q10+'History Y-1'!$G$58*(1+Assumptions!$E$7)*Baseline!R10+J10</f>
        <v>159914.140014762</v>
      </c>
      <c r="J10" s="21" t="n">
        <f aca="false">'History Y-1'!$H$58*(1+Assumptions!$E$8)*Baseline!S10</f>
        <v>18979.6432239422</v>
      </c>
      <c r="K10" s="55" t="n">
        <f aca="false">D10+F10+H10+I10</f>
        <v>283654.219299491</v>
      </c>
      <c r="L10" s="21" t="n">
        <f aca="false">K10*Baseline!B10*(1+Assumptions!$E$18)*(1+Calendar!G10)</f>
        <v>6225.57566270442</v>
      </c>
      <c r="M10" s="20" t="n">
        <f aca="false">L10*Baseline!C10*(1+Assumptions!$E$19)</f>
        <v>478729.664143462</v>
      </c>
      <c r="N10" s="31" t="n">
        <f aca="false">MAX(0,MIN(0.9,Baseline!E10+Assumptions!$E$20))</f>
        <v>0.0729063407147102</v>
      </c>
      <c r="O10" s="31" t="n">
        <f aca="false">MAX(0,Baseline!F10+Assumptions!$E$21)</f>
        <v>0.252005503131197</v>
      </c>
      <c r="P10" s="49" t="n">
        <f aca="false">M10*O10</f>
        <v>120642.509876302</v>
      </c>
      <c r="Q10" s="49" t="n">
        <f aca="false">M10-P10</f>
        <v>358087.15426716</v>
      </c>
      <c r="R10" s="21" t="n">
        <f aca="false">L10*Baseline!D10</f>
        <v>11718.5791971566</v>
      </c>
      <c r="S10" s="21" t="n">
        <f aca="false">IFERROR(P10/(Baseline!C10*(1+Assumptions!$E$19)),0)</f>
        <v>1568.87932716116</v>
      </c>
      <c r="T10" s="20" t="n">
        <f aca="false">Q10/(1-N10)*(1-Assumptions!$E$23)</f>
        <v>146773.863955042</v>
      </c>
      <c r="U10" s="20" t="n">
        <f aca="false">P10/(1-N10)*(1-Assumptions!$E$23)*Assumptions!$E$24</f>
        <v>1977.97291757282</v>
      </c>
      <c r="V10" s="49" t="n">
        <f aca="false">Q10-T10-U10</f>
        <v>209335.317394546</v>
      </c>
      <c r="W10" s="20" t="n">
        <f aca="false">T10*Assumptions!$E$25+L10*(Assumptions!$E$27-Assumptions!$E$28+Assumptions!$E$29+Assumptions!$E$36*Assumptions!$E$37)+R10*Assumptions!$E$30+S10*(Assumptions!$E$31+Assumptions!$E$32)+M10*(Assumptions!$E$33+Assumptions!$E$38)+IFERROR(M10*J10/K10,0)*Assumptions!$E$35*Assumptions!$E$34</f>
        <v>54028.0895961264</v>
      </c>
      <c r="X10" s="49" t="n">
        <f aca="false">V10-W10</f>
        <v>155307.227798419</v>
      </c>
      <c r="Y10" s="49" t="n">
        <f aca="false">C10+E10+G10</f>
        <v>49236.6717952601</v>
      </c>
      <c r="Z10" s="49" t="n">
        <f aca="false">X10-Y10</f>
        <v>106070.556003159</v>
      </c>
      <c r="AA10" s="20" t="n">
        <f aca="false">'Fixed Costs'!$G$31/52</f>
        <v>25332.6923076923</v>
      </c>
      <c r="AB10" s="49" t="n">
        <f aca="false">Z10-AA10</f>
        <v>80737.863695467</v>
      </c>
      <c r="AC10" s="21" t="n">
        <f aca="false">L10*Baseline!G10</f>
        <v>2220.39467980519</v>
      </c>
    </row>
    <row r="11" customFormat="false" ht="15" hidden="false" customHeight="false" outlineLevel="0" collapsed="false">
      <c r="A11" s="13" t="n">
        <v>6</v>
      </c>
      <c r="B11" s="14" t="str">
        <f aca="false">Calendar!D11</f>
        <v>P2</v>
      </c>
      <c r="C11" s="20" t="n">
        <f aca="false">IF('Media Plan'!D11&lt;&gt;"",'Media Plan'!D11,Assumptions!$D$10*Baseline!T11)</f>
        <v>31124.0544495008</v>
      </c>
      <c r="D11" s="21" t="n">
        <f aca="false">IFERROR(C11/(Baseline!H11*(1+Assumptions!$E$13)*IFERROR(MAX(0,C11)/'History Y-1'!P11,1)^Assumptions!$E$14),0)</f>
        <v>66299.7660271584</v>
      </c>
      <c r="E11" s="20" t="n">
        <f aca="false">IF('Media Plan'!J11&lt;&gt;"",'Media Plan'!J11,Assumptions!$D$11*Baseline!U11)</f>
        <v>15099.6506677947</v>
      </c>
      <c r="F11" s="21" t="n">
        <f aca="false">IFERROR(E11/(Baseline!I11*(1+Assumptions!$E$13)*IFERROR(MAX(0,E11)/'History Y-1'!Q11,1)^Assumptions!$E$15),0)</f>
        <v>41795.3715575163</v>
      </c>
      <c r="G11" s="20" t="n">
        <f aca="false">IF('Media Plan'!P11&lt;&gt;"",'Media Plan'!P11,Assumptions!$D$12*Baseline!V11)</f>
        <v>3185.85643170693</v>
      </c>
      <c r="H11" s="21" t="n">
        <f aca="false">IFERROR(G11/(Baseline!J11*(1+Assumptions!$E$13)*IFERROR(MAX(0,G11)/'History Y-1'!R11,1)^Assumptions!$E$16),0)</f>
        <v>13643.4891264299</v>
      </c>
      <c r="I11" s="21" t="n">
        <f aca="false">'History Y-1'!$F$58*(1+Assumptions!$E$6)*Baseline!Q11+'History Y-1'!$G$58*(1+Assumptions!$E$7)*Baseline!R11+J11</f>
        <v>163351.15739341</v>
      </c>
      <c r="J11" s="21" t="n">
        <f aca="false">'History Y-1'!$H$58*(1+Assumptions!$E$8)*Baseline!S11</f>
        <v>19431.5888706275</v>
      </c>
      <c r="K11" s="55" t="n">
        <f aca="false">D11+F11+H11+I11</f>
        <v>285089.784104514</v>
      </c>
      <c r="L11" s="21" t="n">
        <f aca="false">K11*Baseline!B11*(1+Assumptions!$E$18)*(1+Calendar!G11)</f>
        <v>6516.8259999759</v>
      </c>
      <c r="M11" s="20" t="n">
        <f aca="false">L11*Baseline!C11*(1+Assumptions!$E$19)</f>
        <v>514840.122724427</v>
      </c>
      <c r="N11" s="31" t="n">
        <f aca="false">MAX(0,MIN(0.9,Baseline!E11+Assumptions!$E$20))</f>
        <v>0.0682325313472703</v>
      </c>
      <c r="O11" s="31" t="n">
        <f aca="false">MAX(0,Baseline!F11+Assumptions!$E$21)</f>
        <v>0.247710082310918</v>
      </c>
      <c r="P11" s="49" t="n">
        <f aca="false">M11*O11</f>
        <v>127531.089177031</v>
      </c>
      <c r="Q11" s="49" t="n">
        <f aca="false">M11-P11</f>
        <v>387309.033547396</v>
      </c>
      <c r="R11" s="21" t="n">
        <f aca="false">L11*Baseline!D11</f>
        <v>12633.5038323354</v>
      </c>
      <c r="S11" s="21" t="n">
        <f aca="false">IFERROR(P11/(Baseline!C11*(1+Assumptions!$E$19)),0)</f>
        <v>1614.28350485996</v>
      </c>
      <c r="T11" s="20" t="n">
        <f aca="false">Q11/(1-N11)*(1-Assumptions!$E$23)</f>
        <v>157955.109723694</v>
      </c>
      <c r="U11" s="20" t="n">
        <f aca="false">P11/(1-N11)*(1-Assumptions!$E$23)*Assumptions!$E$24</f>
        <v>2080.42523559421</v>
      </c>
      <c r="V11" s="49" t="n">
        <f aca="false">Q11-T11-U11</f>
        <v>227273.498588108</v>
      </c>
      <c r="W11" s="20" t="n">
        <f aca="false">T11*Assumptions!$E$25+L11*(Assumptions!$E$27-Assumptions!$E$28+Assumptions!$E$29+Assumptions!$E$36*Assumptions!$E$37)+R11*Assumptions!$E$30+S11*(Assumptions!$E$31+Assumptions!$E$32)+M11*(Assumptions!$E$33+Assumptions!$E$38)+IFERROR(M11*J11/K11,0)*Assumptions!$E$35*Assumptions!$E$34</f>
        <v>57195.7571490324</v>
      </c>
      <c r="X11" s="49" t="n">
        <f aca="false">V11-W11</f>
        <v>170077.741439076</v>
      </c>
      <c r="Y11" s="49" t="n">
        <f aca="false">C11+E11+G11</f>
        <v>49409.5615490024</v>
      </c>
      <c r="Z11" s="49" t="n">
        <f aca="false">X11-Y11</f>
        <v>120668.179890073</v>
      </c>
      <c r="AA11" s="20" t="n">
        <f aca="false">'Fixed Costs'!$G$31/52</f>
        <v>25332.6923076923</v>
      </c>
      <c r="AB11" s="49" t="n">
        <f aca="false">Z11-AA11</f>
        <v>95335.4875823808</v>
      </c>
      <c r="AC11" s="21" t="n">
        <f aca="false">L11*Baseline!G11</f>
        <v>2258.11530175737</v>
      </c>
    </row>
    <row r="12" customFormat="false" ht="15" hidden="false" customHeight="false" outlineLevel="0" collapsed="false">
      <c r="A12" s="13" t="n">
        <v>7</v>
      </c>
      <c r="B12" s="14" t="str">
        <f aca="false">Calendar!D12</f>
        <v>P2</v>
      </c>
      <c r="C12" s="20" t="n">
        <f aca="false">IF('Media Plan'!D12&lt;&gt;"",'Media Plan'!D12,Assumptions!$D$10*Baseline!T12)</f>
        <v>29790.698918644</v>
      </c>
      <c r="D12" s="21" t="n">
        <f aca="false">IFERROR(C12/(Baseline!H12*(1+Assumptions!$E$13)*IFERROR(MAX(0,C12)/'History Y-1'!P12,1)^Assumptions!$E$14),0)</f>
        <v>65243.1963158902</v>
      </c>
      <c r="E12" s="20" t="n">
        <f aca="false">IF('Media Plan'!J12&lt;&gt;"",'Media Plan'!J12,Assumptions!$D$11*Baseline!U12)</f>
        <v>15753.121148499</v>
      </c>
      <c r="F12" s="21" t="n">
        <f aca="false">IFERROR(E12/(Baseline!I12*(1+Assumptions!$E$13)*IFERROR(MAX(0,E12)/'History Y-1'!Q12,1)^Assumptions!$E$15),0)</f>
        <v>42955.2525435371</v>
      </c>
      <c r="G12" s="20" t="n">
        <f aca="false">IF('Media Plan'!P12&lt;&gt;"",'Media Plan'!P12,Assumptions!$D$12*Baseline!V12)</f>
        <v>3189.21514235856</v>
      </c>
      <c r="H12" s="21" t="n">
        <f aca="false">IFERROR(G12/(Baseline!J12*(1+Assumptions!$E$13)*IFERROR(MAX(0,G12)/'History Y-1'!R12,1)^Assumptions!$E$16),0)</f>
        <v>14275.9950030245</v>
      </c>
      <c r="I12" s="21" t="n">
        <f aca="false">'History Y-1'!$F$58*(1+Assumptions!$E$6)*Baseline!Q12+'History Y-1'!$G$58*(1+Assumptions!$E$7)*Baseline!R12+J12</f>
        <v>166589.942937646</v>
      </c>
      <c r="J12" s="21" t="n">
        <f aca="false">'History Y-1'!$H$58*(1+Assumptions!$E$8)*Baseline!S12</f>
        <v>19375.3938657809</v>
      </c>
      <c r="K12" s="55" t="n">
        <f aca="false">D12+F12+H12+I12</f>
        <v>289064.386800098</v>
      </c>
      <c r="L12" s="21" t="n">
        <f aca="false">K12*Baseline!B12*(1+Assumptions!$E$18)*(1+Calendar!G12)</f>
        <v>6380.87771893662</v>
      </c>
      <c r="M12" s="20" t="n">
        <f aca="false">L12*Baseline!C12*(1+Assumptions!$E$19)</f>
        <v>494831.510984291</v>
      </c>
      <c r="N12" s="31" t="n">
        <f aca="false">MAX(0,MIN(0.9,Baseline!E12+Assumptions!$E$20))</f>
        <v>0.0696188438534107</v>
      </c>
      <c r="O12" s="31" t="n">
        <f aca="false">MAX(0,Baseline!F12+Assumptions!$E$21)</f>
        <v>0.249534122550686</v>
      </c>
      <c r="P12" s="49" t="n">
        <f aca="false">M12*O12</f>
        <v>123477.346903895</v>
      </c>
      <c r="Q12" s="49" t="n">
        <f aca="false">M12-P12</f>
        <v>371354.164080396</v>
      </c>
      <c r="R12" s="21" t="n">
        <f aca="false">L12*Baseline!D12</f>
        <v>12174.0390752647</v>
      </c>
      <c r="S12" s="21" t="n">
        <f aca="false">IFERROR(P12/(Baseline!C12*(1+Assumptions!$E$19)),0)</f>
        <v>1592.24672269807</v>
      </c>
      <c r="T12" s="20" t="n">
        <f aca="false">Q12/(1-N12)*(1-Assumptions!$E$23)</f>
        <v>151673.947197096</v>
      </c>
      <c r="U12" s="20" t="n">
        <f aca="false">P12/(1-N12)*(1-Assumptions!$E$23)*Assumptions!$E$24</f>
        <v>2017.2975995265</v>
      </c>
      <c r="V12" s="49" t="n">
        <f aca="false">Q12-T12-U12</f>
        <v>217662.919283774</v>
      </c>
      <c r="W12" s="20" t="n">
        <f aca="false">T12*Assumptions!$E$25+L12*(Assumptions!$E$27-Assumptions!$E$28+Assumptions!$E$29+Assumptions!$E$36*Assumptions!$E$37)+R12*Assumptions!$E$30+S12*(Assumptions!$E$31+Assumptions!$E$32)+M12*(Assumptions!$E$33+Assumptions!$E$38)+IFERROR(M12*J12/K12,0)*Assumptions!$E$35*Assumptions!$E$34</f>
        <v>55568.2007163998</v>
      </c>
      <c r="X12" s="49" t="n">
        <f aca="false">V12-W12</f>
        <v>162094.718567374</v>
      </c>
      <c r="Y12" s="49" t="n">
        <f aca="false">C12+E12+G12</f>
        <v>48733.0352095015</v>
      </c>
      <c r="Z12" s="49" t="n">
        <f aca="false">X12-Y12</f>
        <v>113361.683357873</v>
      </c>
      <c r="AA12" s="20" t="n">
        <f aca="false">'Fixed Costs'!$G$31/52</f>
        <v>25332.6923076923</v>
      </c>
      <c r="AB12" s="49" t="n">
        <f aca="false">Z12-AA12</f>
        <v>88028.9910501804</v>
      </c>
      <c r="AC12" s="21" t="n">
        <f aca="false">L12*Baseline!G12</f>
        <v>2199.05605669719</v>
      </c>
    </row>
    <row r="13" customFormat="false" ht="15" hidden="false" customHeight="false" outlineLevel="0" collapsed="false">
      <c r="A13" s="13" t="n">
        <v>8</v>
      </c>
      <c r="B13" s="14" t="str">
        <f aca="false">Calendar!D13</f>
        <v>P2</v>
      </c>
      <c r="C13" s="20" t="n">
        <f aca="false">IF('Media Plan'!D13&lt;&gt;"",'Media Plan'!D13,Assumptions!$D$10*Baseline!T13)</f>
        <v>29139.3401526713</v>
      </c>
      <c r="D13" s="21" t="n">
        <f aca="false">IFERROR(C13/(Baseline!H13*(1+Assumptions!$E$13)*IFERROR(MAX(0,C13)/'History Y-1'!P13,1)^Assumptions!$E$14),0)</f>
        <v>62745.7262426001</v>
      </c>
      <c r="E13" s="20" t="n">
        <f aca="false">IF('Media Plan'!J13&lt;&gt;"",'Media Plan'!J13,Assumptions!$D$11*Baseline!U13)</f>
        <v>15069.5675376726</v>
      </c>
      <c r="F13" s="21" t="n">
        <f aca="false">IFERROR(E13/(Baseline!I13*(1+Assumptions!$E$13)*IFERROR(MAX(0,E13)/'History Y-1'!Q13,1)^Assumptions!$E$15),0)</f>
        <v>41943.233799716</v>
      </c>
      <c r="G13" s="20" t="n">
        <f aca="false">IF('Media Plan'!P13&lt;&gt;"",'Media Plan'!P13,Assumptions!$D$12*Baseline!V13)</f>
        <v>3285.21753493564</v>
      </c>
      <c r="H13" s="21" t="n">
        <f aca="false">IFERROR(G13/(Baseline!J13*(1+Assumptions!$E$13)*IFERROR(MAX(0,G13)/'History Y-1'!R13,1)^Assumptions!$E$16),0)</f>
        <v>13875.9329637473</v>
      </c>
      <c r="I13" s="21" t="n">
        <f aca="false">'History Y-1'!$F$58*(1+Assumptions!$E$6)*Baseline!Q13+'History Y-1'!$G$58*(1+Assumptions!$E$7)*Baseline!R13+J13</f>
        <v>158740.925733531</v>
      </c>
      <c r="J13" s="21" t="n">
        <f aca="false">'History Y-1'!$H$58*(1+Assumptions!$E$8)*Baseline!S13</f>
        <v>19173.5649961095</v>
      </c>
      <c r="K13" s="55" t="n">
        <f aca="false">D13+F13+H13+I13</f>
        <v>277305.818739595</v>
      </c>
      <c r="L13" s="21" t="n">
        <f aca="false">K13*Baseline!B13*(1+Assumptions!$E$18)*(1+Calendar!G13)</f>
        <v>6155.15909931194</v>
      </c>
      <c r="M13" s="20" t="n">
        <f aca="false">L13*Baseline!C13*(1+Assumptions!$E$19)</f>
        <v>484136.84949103</v>
      </c>
      <c r="N13" s="31" t="n">
        <f aca="false">MAX(0,MIN(0.9,Baseline!E13+Assumptions!$E$20))</f>
        <v>0.0694971979963994</v>
      </c>
      <c r="O13" s="31" t="n">
        <f aca="false">MAX(0,Baseline!F13+Assumptions!$E$21)</f>
        <v>0.244978271906444</v>
      </c>
      <c r="P13" s="49" t="n">
        <f aca="false">M13*O13</f>
        <v>118603.008754543</v>
      </c>
      <c r="Q13" s="49" t="n">
        <f aca="false">M13-P13</f>
        <v>365533.840736488</v>
      </c>
      <c r="R13" s="21" t="n">
        <f aca="false">L13*Baseline!D13</f>
        <v>11459.0146574533</v>
      </c>
      <c r="S13" s="21" t="n">
        <f aca="false">IFERROR(P13/(Baseline!C13*(1+Assumptions!$E$19)),0)</f>
        <v>1507.88023945867</v>
      </c>
      <c r="T13" s="20" t="n">
        <f aca="false">Q13/(1-N13)*(1-Assumptions!$E$23)</f>
        <v>149277.207097897</v>
      </c>
      <c r="U13" s="20" t="n">
        <f aca="false">P13/(1-N13)*(1-Assumptions!$E$23)*Assumptions!$E$24</f>
        <v>1937.41032180371</v>
      </c>
      <c r="V13" s="49" t="n">
        <f aca="false">Q13-T13-U13</f>
        <v>214319.223316786</v>
      </c>
      <c r="W13" s="20" t="n">
        <f aca="false">T13*Assumptions!$E$25+L13*(Assumptions!$E$27-Assumptions!$E$28+Assumptions!$E$29+Assumptions!$E$36*Assumptions!$E$37)+R13*Assumptions!$E$30+S13*(Assumptions!$E$31+Assumptions!$E$32)+M13*(Assumptions!$E$33+Assumptions!$E$38)+IFERROR(M13*J13/K13,0)*Assumptions!$E$35*Assumptions!$E$34</f>
        <v>53550.4818392907</v>
      </c>
      <c r="X13" s="49" t="n">
        <f aca="false">V13-W13</f>
        <v>160768.741477496</v>
      </c>
      <c r="Y13" s="49" t="n">
        <f aca="false">C13+E13+G13</f>
        <v>47494.1252252796</v>
      </c>
      <c r="Z13" s="49" t="n">
        <f aca="false">X13-Y13</f>
        <v>113274.616252216</v>
      </c>
      <c r="AA13" s="20" t="n">
        <f aca="false">'Fixed Costs'!$G$31/52</f>
        <v>25332.6923076923</v>
      </c>
      <c r="AB13" s="49" t="n">
        <f aca="false">Z13-AA13</f>
        <v>87941.9239445239</v>
      </c>
      <c r="AC13" s="21" t="n">
        <f aca="false">L13*Baseline!G13</f>
        <v>2231.97786195875</v>
      </c>
    </row>
    <row r="14" customFormat="false" ht="15" hidden="false" customHeight="false" outlineLevel="0" collapsed="false">
      <c r="A14" s="13" t="n">
        <v>9</v>
      </c>
      <c r="B14" s="14" t="str">
        <f aca="false">Calendar!D14</f>
        <v>P3</v>
      </c>
      <c r="C14" s="20" t="n">
        <f aca="false">IF('Media Plan'!D14&lt;&gt;"",'Media Plan'!D14,Assumptions!$D$10*Baseline!T14)</f>
        <v>35373.2913586265</v>
      </c>
      <c r="D14" s="21" t="n">
        <f aca="false">IFERROR(C14/(Baseline!H14*(1+Assumptions!$E$13)*IFERROR(MAX(0,C14)/'History Y-1'!P14,1)^Assumptions!$E$14),0)</f>
        <v>74681.1634362683</v>
      </c>
      <c r="E14" s="20" t="n">
        <f aca="false">IF('Media Plan'!J14&lt;&gt;"",'Media Plan'!J14,Assumptions!$D$11*Baseline!U14)</f>
        <v>17349.9960567643</v>
      </c>
      <c r="F14" s="21" t="n">
        <f aca="false">IFERROR(E14/(Baseline!I14*(1+Assumptions!$E$13)*IFERROR(MAX(0,E14)/'History Y-1'!Q14,1)^Assumptions!$E$15),0)</f>
        <v>48392.3795100959</v>
      </c>
      <c r="G14" s="20" t="n">
        <f aca="false">IF('Media Plan'!P14&lt;&gt;"",'Media Plan'!P14,Assumptions!$D$12*Baseline!V14)</f>
        <v>3597.61209854914</v>
      </c>
      <c r="H14" s="21" t="n">
        <f aca="false">IFERROR(G14/(Baseline!J14*(1+Assumptions!$E$13)*IFERROR(MAX(0,G14)/'History Y-1'!R14,1)^Assumptions!$E$16),0)</f>
        <v>15292.3997946915</v>
      </c>
      <c r="I14" s="21" t="n">
        <f aca="false">'History Y-1'!$F$58*(1+Assumptions!$E$6)*Baseline!Q14+'History Y-1'!$G$58*(1+Assumptions!$E$7)*Baseline!R14+J14</f>
        <v>188931.469714332</v>
      </c>
      <c r="J14" s="21" t="n">
        <f aca="false">'History Y-1'!$H$58*(1+Assumptions!$E$8)*Baseline!S14</f>
        <v>22179.5307750806</v>
      </c>
      <c r="K14" s="55" t="n">
        <f aca="false">D14+F14+H14+I14</f>
        <v>327297.412455387</v>
      </c>
      <c r="L14" s="21" t="n">
        <f aca="false">K14*Baseline!B14*(1+Assumptions!$E$18)*(1+Calendar!G14)</f>
        <v>7298.26144421723</v>
      </c>
      <c r="M14" s="20" t="n">
        <f aca="false">L14*Baseline!C14*(1+Assumptions!$E$19)</f>
        <v>567742.16098508</v>
      </c>
      <c r="N14" s="31" t="n">
        <f aca="false">MAX(0,MIN(0.9,Baseline!E14+Assumptions!$E$20))</f>
        <v>0.072405820674153</v>
      </c>
      <c r="O14" s="31" t="n">
        <f aca="false">MAX(0,Baseline!F14+Assumptions!$E$21)</f>
        <v>0.243287307330355</v>
      </c>
      <c r="P14" s="49" t="n">
        <f aca="false">M14*O14</f>
        <v>138124.461603977</v>
      </c>
      <c r="Q14" s="49" t="n">
        <f aca="false">M14-P14</f>
        <v>429617.699381103</v>
      </c>
      <c r="R14" s="21" t="n">
        <f aca="false">L14*Baseline!D14</f>
        <v>13960.7181038739</v>
      </c>
      <c r="S14" s="21" t="n">
        <f aca="false">IFERROR(P14/(Baseline!C14*(1+Assumptions!$E$19)),0)</f>
        <v>1775.57437495655</v>
      </c>
      <c r="T14" s="20" t="n">
        <f aca="false">Q14/(1-N14)*(1-Assumptions!$E$23)</f>
        <v>175998.005812702</v>
      </c>
      <c r="U14" s="20" t="n">
        <f aca="false">P14/(1-N14)*(1-Assumptions!$E$23)*Assumptions!$E$24</f>
        <v>2263.37321123156</v>
      </c>
      <c r="V14" s="49" t="n">
        <f aca="false">Q14-T14-U14</f>
        <v>251356.320357169</v>
      </c>
      <c r="W14" s="20" t="n">
        <f aca="false">T14*Assumptions!$E$25+L14*(Assumptions!$E$27-Assumptions!$E$28+Assumptions!$E$29+Assumptions!$E$36*Assumptions!$E$37)+R14*Assumptions!$E$30+S14*(Assumptions!$E$31+Assumptions!$E$32)+M14*(Assumptions!$E$33+Assumptions!$E$38)+IFERROR(M14*J14/K14,0)*Assumptions!$E$35*Assumptions!$E$34</f>
        <v>63527.1298270346</v>
      </c>
      <c r="X14" s="49" t="n">
        <f aca="false">V14-W14</f>
        <v>187829.190530135</v>
      </c>
      <c r="Y14" s="49" t="n">
        <f aca="false">C14+E14+G14</f>
        <v>56320.8995139399</v>
      </c>
      <c r="Z14" s="49" t="n">
        <f aca="false">X14-Y14</f>
        <v>131508.291016195</v>
      </c>
      <c r="AA14" s="20" t="n">
        <f aca="false">'Fixed Costs'!$G$31/52</f>
        <v>25332.6923076923</v>
      </c>
      <c r="AB14" s="49" t="n">
        <f aca="false">Z14-AA14</f>
        <v>106175.598708503</v>
      </c>
      <c r="AC14" s="21" t="n">
        <f aca="false">L14*Baseline!G14</f>
        <v>2514.30932516089</v>
      </c>
    </row>
    <row r="15" customFormat="false" ht="15" hidden="false" customHeight="false" outlineLevel="0" collapsed="false">
      <c r="A15" s="13" t="n">
        <v>10</v>
      </c>
      <c r="B15" s="14" t="str">
        <f aca="false">Calendar!D15</f>
        <v>P3</v>
      </c>
      <c r="C15" s="20" t="n">
        <f aca="false">IF('Media Plan'!D15&lt;&gt;"",'Media Plan'!D15,Assumptions!$D$10*Baseline!T15)</f>
        <v>33783.5581494527</v>
      </c>
      <c r="D15" s="21" t="n">
        <f aca="false">IFERROR(C15/(Baseline!H15*(1+Assumptions!$E$13)*IFERROR(MAX(0,C15)/'History Y-1'!P15,1)^Assumptions!$E$14),0)</f>
        <v>72313.5778783097</v>
      </c>
      <c r="E15" s="20" t="n">
        <f aca="false">IF('Media Plan'!J15&lt;&gt;"",'Media Plan'!J15,Assumptions!$D$11*Baseline!U15)</f>
        <v>17395.15141007</v>
      </c>
      <c r="F15" s="21" t="n">
        <f aca="false">IFERROR(E15/(Baseline!I15*(1+Assumptions!$E$13)*IFERROR(MAX(0,E15)/'History Y-1'!Q15,1)^Assumptions!$E$15),0)</f>
        <v>47833.8268846519</v>
      </c>
      <c r="G15" s="20" t="n">
        <f aca="false">IF('Media Plan'!P15&lt;&gt;"",'Media Plan'!P15,Assumptions!$D$12*Baseline!V15)</f>
        <v>3661.9743122712</v>
      </c>
      <c r="H15" s="21" t="n">
        <f aca="false">IFERROR(G15/(Baseline!J15*(1+Assumptions!$E$13)*IFERROR(MAX(0,G15)/'History Y-1'!R15,1)^Assumptions!$E$16),0)</f>
        <v>16123.4079279996</v>
      </c>
      <c r="I15" s="21" t="n">
        <f aca="false">'History Y-1'!$F$58*(1+Assumptions!$E$6)*Baseline!Q15+'History Y-1'!$G$58*(1+Assumptions!$E$7)*Baseline!R15+J15</f>
        <v>178370.369613908</v>
      </c>
      <c r="J15" s="21" t="n">
        <f aca="false">'History Y-1'!$H$58*(1+Assumptions!$E$8)*Baseline!S15</f>
        <v>20748.391014906</v>
      </c>
      <c r="K15" s="55" t="n">
        <f aca="false">D15+F15+H15+I15</f>
        <v>314641.182304869</v>
      </c>
      <c r="L15" s="21" t="n">
        <f aca="false">K15*Baseline!B15*(1+Assumptions!$E$18)*(1+Calendar!G15)</f>
        <v>7074.60465139727</v>
      </c>
      <c r="M15" s="20" t="n">
        <f aca="false">L15*Baseline!C15*(1+Assumptions!$E$19)</f>
        <v>556346.833828306</v>
      </c>
      <c r="N15" s="31" t="n">
        <f aca="false">MAX(0,MIN(0.9,Baseline!E15+Assumptions!$E$20))</f>
        <v>0.0689715642970281</v>
      </c>
      <c r="O15" s="31" t="n">
        <f aca="false">MAX(0,Baseline!F15+Assumptions!$E$21)</f>
        <v>0.249779330718454</v>
      </c>
      <c r="P15" s="49" t="n">
        <f aca="false">M15*O15</f>
        <v>138963.939800965</v>
      </c>
      <c r="Q15" s="49" t="n">
        <f aca="false">M15-P15</f>
        <v>417382.894027341</v>
      </c>
      <c r="R15" s="21" t="n">
        <f aca="false">L15*Baseline!D15</f>
        <v>13657.6200074683</v>
      </c>
      <c r="S15" s="21" t="n">
        <f aca="false">IFERROR(P15/(Baseline!C15*(1+Assumptions!$E$19)),0)</f>
        <v>1767.09001492367</v>
      </c>
      <c r="T15" s="20" t="n">
        <f aca="false">Q15/(1-N15)*(1-Assumptions!$E$23)</f>
        <v>170355.161720313</v>
      </c>
      <c r="U15" s="20" t="n">
        <f aca="false">P15/(1-N15)*(1-Assumptions!$E$23)*Assumptions!$E$24</f>
        <v>2268.72972293249</v>
      </c>
      <c r="V15" s="49" t="n">
        <f aca="false">Q15-T15-U15</f>
        <v>244759.002584096</v>
      </c>
      <c r="W15" s="20" t="n">
        <f aca="false">T15*Assumptions!$E$25+L15*(Assumptions!$E$27-Assumptions!$E$28+Assumptions!$E$29+Assumptions!$E$36*Assumptions!$E$37)+R15*Assumptions!$E$30+S15*(Assumptions!$E$31+Assumptions!$E$32)+M15*(Assumptions!$E$33+Assumptions!$E$38)+IFERROR(M15*J15/K15,0)*Assumptions!$E$35*Assumptions!$E$34</f>
        <v>61933.0415614311</v>
      </c>
      <c r="X15" s="49" t="n">
        <f aca="false">V15-W15</f>
        <v>182825.961022665</v>
      </c>
      <c r="Y15" s="49" t="n">
        <f aca="false">C15+E15+G15</f>
        <v>54840.6838717939</v>
      </c>
      <c r="Z15" s="49" t="n">
        <f aca="false">X15-Y15</f>
        <v>127985.277150871</v>
      </c>
      <c r="AA15" s="20" t="n">
        <f aca="false">'Fixed Costs'!$G$31/52</f>
        <v>25332.6923076923</v>
      </c>
      <c r="AB15" s="49" t="n">
        <f aca="false">Z15-AA15</f>
        <v>102652.584843179</v>
      </c>
      <c r="AC15" s="21" t="n">
        <f aca="false">L15*Baseline!G15</f>
        <v>3261.67245425214</v>
      </c>
    </row>
    <row r="16" customFormat="false" ht="15" hidden="false" customHeight="false" outlineLevel="0" collapsed="false">
      <c r="A16" s="13" t="n">
        <v>11</v>
      </c>
      <c r="B16" s="14" t="str">
        <f aca="false">Calendar!D16</f>
        <v>P3</v>
      </c>
      <c r="C16" s="20" t="n">
        <f aca="false">IF('Media Plan'!D16&lt;&gt;"",'Media Plan'!D16,Assumptions!$D$10*Baseline!T16)</f>
        <v>35511.5735769819</v>
      </c>
      <c r="D16" s="21" t="n">
        <f aca="false">IFERROR(C16/(Baseline!H16*(1+Assumptions!$E$13)*IFERROR(MAX(0,C16)/'History Y-1'!P16,1)^Assumptions!$E$14),0)</f>
        <v>77183.18025104</v>
      </c>
      <c r="E16" s="20" t="n">
        <f aca="false">IF('Media Plan'!J16&lt;&gt;"",'Media Plan'!J16,Assumptions!$D$11*Baseline!U16)</f>
        <v>16870.3018746646</v>
      </c>
      <c r="F16" s="21" t="n">
        <f aca="false">IFERROR(E16/(Baseline!I16*(1+Assumptions!$E$13)*IFERROR(MAX(0,E16)/'History Y-1'!Q16,1)^Assumptions!$E$15),0)</f>
        <v>47835.0231210236</v>
      </c>
      <c r="G16" s="20" t="n">
        <f aca="false">IF('Media Plan'!P16&lt;&gt;"",'Media Plan'!P16,Assumptions!$D$12*Baseline!V16)</f>
        <v>3733.38962982644</v>
      </c>
      <c r="H16" s="21" t="n">
        <f aca="false">IFERROR(G16/(Baseline!J16*(1+Assumptions!$E$13)*IFERROR(MAX(0,G16)/'History Y-1'!R16,1)^Assumptions!$E$16),0)</f>
        <v>15959.6663523416</v>
      </c>
      <c r="I16" s="21" t="n">
        <f aca="false">'History Y-1'!$F$58*(1+Assumptions!$E$6)*Baseline!Q16+'History Y-1'!$G$58*(1+Assumptions!$E$7)*Baseline!R16+J16</f>
        <v>185636.072091237</v>
      </c>
      <c r="J16" s="21" t="n">
        <f aca="false">'History Y-1'!$H$58*(1+Assumptions!$E$8)*Baseline!S16</f>
        <v>22023.9303243656</v>
      </c>
      <c r="K16" s="55" t="n">
        <f aca="false">D16+F16+H16+I16</f>
        <v>326613.941815643</v>
      </c>
      <c r="L16" s="21" t="n">
        <f aca="false">K16*Baseline!B16*(1+Assumptions!$E$18)*(1+Calendar!G16)</f>
        <v>7416.11145431317</v>
      </c>
      <c r="M16" s="20" t="n">
        <f aca="false">L16*Baseline!C16*(1+Assumptions!$E$19)</f>
        <v>573710.564633785</v>
      </c>
      <c r="N16" s="31" t="n">
        <f aca="false">MAX(0,MIN(0.9,Baseline!E16+Assumptions!$E$20))</f>
        <v>0.0697780632675516</v>
      </c>
      <c r="O16" s="31" t="n">
        <f aca="false">MAX(0,Baseline!F16+Assumptions!$E$21)</f>
        <v>0.257338092206024</v>
      </c>
      <c r="P16" s="49" t="n">
        <f aca="false">M16*O16</f>
        <v>147637.582181299</v>
      </c>
      <c r="Q16" s="49" t="n">
        <f aca="false">M16-P16</f>
        <v>426072.982452486</v>
      </c>
      <c r="R16" s="21" t="n">
        <f aca="false">L16*Baseline!D16</f>
        <v>13823.1665760922</v>
      </c>
      <c r="S16" s="21" t="n">
        <f aca="false">IFERROR(P16/(Baseline!C16*(1+Assumptions!$E$19)),0)</f>
        <v>1908.44797324019</v>
      </c>
      <c r="T16" s="20" t="n">
        <f aca="false">Q16/(1-N16)*(1-Assumptions!$E$23)</f>
        <v>174052.800668915</v>
      </c>
      <c r="U16" s="20" t="n">
        <f aca="false">P16/(1-N16)*(1-Assumptions!$E$23)*Assumptions!$E$24</f>
        <v>2412.4256379488</v>
      </c>
      <c r="V16" s="49" t="n">
        <f aca="false">Q16-T16-U16</f>
        <v>249607.756145622</v>
      </c>
      <c r="W16" s="20" t="n">
        <f aca="false">T16*Assumptions!$E$25+L16*(Assumptions!$E$27-Assumptions!$E$28+Assumptions!$E$29+Assumptions!$E$36*Assumptions!$E$37)+R16*Assumptions!$E$30+S16*(Assumptions!$E$31+Assumptions!$E$32)+M16*(Assumptions!$E$33+Assumptions!$E$38)+IFERROR(M16*J16/K16,0)*Assumptions!$E$35*Assumptions!$E$34</f>
        <v>64494.1228962997</v>
      </c>
      <c r="X16" s="49" t="n">
        <f aca="false">V16-W16</f>
        <v>185113.633249323</v>
      </c>
      <c r="Y16" s="49" t="n">
        <f aca="false">C16+E16+G16</f>
        <v>56115.2650814729</v>
      </c>
      <c r="Z16" s="49" t="n">
        <f aca="false">X16-Y16</f>
        <v>128998.36816785</v>
      </c>
      <c r="AA16" s="20" t="n">
        <f aca="false">'Fixed Costs'!$G$31/52</f>
        <v>25332.6923076923</v>
      </c>
      <c r="AB16" s="49" t="n">
        <f aca="false">Z16-AA16</f>
        <v>103665.675860158</v>
      </c>
      <c r="AC16" s="21" t="n">
        <f aca="false">L16*Baseline!G16</f>
        <v>2597.02268243152</v>
      </c>
    </row>
    <row r="17" customFormat="false" ht="15" hidden="false" customHeight="false" outlineLevel="0" collapsed="false">
      <c r="A17" s="13" t="n">
        <v>12</v>
      </c>
      <c r="B17" s="14" t="str">
        <f aca="false">Calendar!D17</f>
        <v>P3</v>
      </c>
      <c r="C17" s="20" t="n">
        <f aca="false">IF('Media Plan'!D17&lt;&gt;"",'Media Plan'!D17,Assumptions!$D$10*Baseline!T17)</f>
        <v>31340.8478779938</v>
      </c>
      <c r="D17" s="21" t="n">
        <f aca="false">IFERROR(C17/(Baseline!H17*(1+Assumptions!$E$13)*IFERROR(MAX(0,C17)/'History Y-1'!P17,1)^Assumptions!$E$14),0)</f>
        <v>76120.9009189074</v>
      </c>
      <c r="E17" s="20" t="n">
        <f aca="false">IF('Media Plan'!J17&lt;&gt;"",'Media Plan'!J17,Assumptions!$D$11*Baseline!U17)</f>
        <v>17774.0249623235</v>
      </c>
      <c r="F17" s="21" t="n">
        <f aca="false">IFERROR(E17/(Baseline!I17*(1+Assumptions!$E$13)*IFERROR(MAX(0,E17)/'History Y-1'!Q17,1)^Assumptions!$E$15),0)</f>
        <v>52464.983993322</v>
      </c>
      <c r="G17" s="20" t="n">
        <f aca="false">IF('Media Plan'!P17&lt;&gt;"",'Media Plan'!P17,Assumptions!$D$12*Baseline!V17)</f>
        <v>3600.97822408256</v>
      </c>
      <c r="H17" s="21" t="n">
        <f aca="false">IFERROR(G17/(Baseline!J17*(1+Assumptions!$E$13)*IFERROR(MAX(0,G17)/'History Y-1'!R17,1)^Assumptions!$E$16),0)</f>
        <v>16319.9527288788</v>
      </c>
      <c r="I17" s="21" t="n">
        <f aca="false">'History Y-1'!$F$58*(1+Assumptions!$E$6)*Baseline!Q17+'History Y-1'!$G$58*(1+Assumptions!$E$7)*Baseline!R17+J17</f>
        <v>180551.788548796</v>
      </c>
      <c r="J17" s="21" t="n">
        <f aca="false">'History Y-1'!$H$58*(1+Assumptions!$E$8)*Baseline!S17</f>
        <v>20869.651761345</v>
      </c>
      <c r="K17" s="55" t="n">
        <f aca="false">D17+F17+H17+I17</f>
        <v>325457.626189905</v>
      </c>
      <c r="L17" s="21" t="n">
        <f aca="false">K17*Baseline!B17*(1+Assumptions!$E$18)*(1+Calendar!G17)</f>
        <v>7225.18172917203</v>
      </c>
      <c r="M17" s="20" t="n">
        <f aca="false">L17*Baseline!C17*(1+Assumptions!$E$19)</f>
        <v>546513.291308571</v>
      </c>
      <c r="N17" s="31" t="n">
        <f aca="false">MAX(0,MIN(0.9,Baseline!E17+Assumptions!$E$20))</f>
        <v>0.0720858914901117</v>
      </c>
      <c r="O17" s="31" t="n">
        <f aca="false">MAX(0,Baseline!F17+Assumptions!$E$21)</f>
        <v>0.257646799119499</v>
      </c>
      <c r="P17" s="49" t="n">
        <f aca="false">M17*O17</f>
        <v>140807.400181916</v>
      </c>
      <c r="Q17" s="49" t="n">
        <f aca="false">M17-P17</f>
        <v>405705.891126655</v>
      </c>
      <c r="R17" s="21" t="n">
        <f aca="false">L17*Baseline!D17</f>
        <v>13563.05233365</v>
      </c>
      <c r="S17" s="21" t="n">
        <f aca="false">IFERROR(P17/(Baseline!C17*(1+Assumptions!$E$19)),0)</f>
        <v>1861.54494557786</v>
      </c>
      <c r="T17" s="20" t="n">
        <f aca="false">Q17/(1-N17)*(1-Assumptions!$E$23)</f>
        <v>166144.945113189</v>
      </c>
      <c r="U17" s="20" t="n">
        <f aca="false">P17/(1-N17)*(1-Assumptions!$E$23)*Assumptions!$E$24</f>
        <v>2306.5415895035</v>
      </c>
      <c r="V17" s="49" t="n">
        <f aca="false">Q17-T17-U17</f>
        <v>237254.404423963</v>
      </c>
      <c r="W17" s="20" t="n">
        <f aca="false">T17*Assumptions!$E$25+L17*(Assumptions!$E$27-Assumptions!$E$28+Assumptions!$E$29+Assumptions!$E$36*Assumptions!$E$37)+R17*Assumptions!$E$30+S17*(Assumptions!$E$31+Assumptions!$E$32)+M17*(Assumptions!$E$33+Assumptions!$E$38)+IFERROR(M17*J17/K17,0)*Assumptions!$E$35*Assumptions!$E$34</f>
        <v>62427.5755306834</v>
      </c>
      <c r="X17" s="49" t="n">
        <f aca="false">V17-W17</f>
        <v>174826.828893279</v>
      </c>
      <c r="Y17" s="49" t="n">
        <f aca="false">C17+E17+G17</f>
        <v>52715.8510643999</v>
      </c>
      <c r="Z17" s="49" t="n">
        <f aca="false">X17-Y17</f>
        <v>122110.97782888</v>
      </c>
      <c r="AA17" s="20" t="n">
        <f aca="false">'Fixed Costs'!$G$31/52</f>
        <v>25332.6923076923</v>
      </c>
      <c r="AB17" s="49" t="n">
        <f aca="false">Z17-AA17</f>
        <v>96778.2855211873</v>
      </c>
      <c r="AC17" s="21" t="n">
        <f aca="false">L17*Baseline!G17</f>
        <v>2445.13678039867</v>
      </c>
    </row>
    <row r="18" customFormat="false" ht="15" hidden="false" customHeight="false" outlineLevel="0" collapsed="false">
      <c r="A18" s="13" t="n">
        <v>13</v>
      </c>
      <c r="B18" s="14" t="str">
        <f aca="false">Calendar!D18</f>
        <v>P3</v>
      </c>
      <c r="C18" s="20" t="n">
        <f aca="false">IF('Media Plan'!D18&lt;&gt;"",'Media Plan'!D18,Assumptions!$D$10*Baseline!T18)</f>
        <v>34773.3477515073</v>
      </c>
      <c r="D18" s="21" t="n">
        <f aca="false">IFERROR(C18/(Baseline!H18*(1+Assumptions!$E$13)*IFERROR(MAX(0,C18)/'History Y-1'!P18,1)^Assumptions!$E$14),0)</f>
        <v>71487.1369568063</v>
      </c>
      <c r="E18" s="20" t="n">
        <f aca="false">IF('Media Plan'!J18&lt;&gt;"",'Media Plan'!J18,Assumptions!$D$11*Baseline!U18)</f>
        <v>17448.7378308273</v>
      </c>
      <c r="F18" s="21" t="n">
        <f aca="false">IFERROR(E18/(Baseline!I18*(1+Assumptions!$E$13)*IFERROR(MAX(0,E18)/'History Y-1'!Q18,1)^Assumptions!$E$15),0)</f>
        <v>49146.5429422348</v>
      </c>
      <c r="G18" s="20" t="n">
        <f aca="false">IF('Media Plan'!P18&lt;&gt;"",'Media Plan'!P18,Assumptions!$D$12*Baseline!V18)</f>
        <v>3523.00338888481</v>
      </c>
      <c r="H18" s="21" t="n">
        <f aca="false">IFERROR(G18/(Baseline!J18*(1+Assumptions!$E$13)*IFERROR(MAX(0,G18)/'History Y-1'!R18,1)^Assumptions!$E$16),0)</f>
        <v>15286.4957348668</v>
      </c>
      <c r="I18" s="21" t="n">
        <f aca="false">'History Y-1'!$F$58*(1+Assumptions!$E$6)*Baseline!Q18+'History Y-1'!$G$58*(1+Assumptions!$E$7)*Baseline!R18+J18</f>
        <v>182977.245330067</v>
      </c>
      <c r="J18" s="21" t="n">
        <f aca="false">'History Y-1'!$H$58*(1+Assumptions!$E$8)*Baseline!S18</f>
        <v>21925.6447562752</v>
      </c>
      <c r="K18" s="55" t="n">
        <f aca="false">D18+F18+H18+I18</f>
        <v>318897.420963975</v>
      </c>
      <c r="L18" s="21" t="n">
        <f aca="false">K18*Baseline!B18*(1+Assumptions!$E$18)*(1+Calendar!G18)</f>
        <v>7054.87145545357</v>
      </c>
      <c r="M18" s="20" t="n">
        <f aca="false">L18*Baseline!C18*(1+Assumptions!$E$19)</f>
        <v>552141.556256241</v>
      </c>
      <c r="N18" s="31" t="n">
        <f aca="false">MAX(0,MIN(0.9,Baseline!E18+Assumptions!$E$20))</f>
        <v>0.0726368635711652</v>
      </c>
      <c r="O18" s="31" t="n">
        <f aca="false">MAX(0,Baseline!F18+Assumptions!$E$21)</f>
        <v>0.246998513757347</v>
      </c>
      <c r="P18" s="49" t="n">
        <f aca="false">M18*O18</f>
        <v>136378.14377896</v>
      </c>
      <c r="Q18" s="49" t="n">
        <f aca="false">M18-P18</f>
        <v>415763.412477281</v>
      </c>
      <c r="R18" s="21" t="n">
        <f aca="false">L18*Baseline!D18</f>
        <v>13278.8869629529</v>
      </c>
      <c r="S18" s="21" t="n">
        <f aca="false">IFERROR(P18/(Baseline!C18*(1+Assumptions!$E$19)),0)</f>
        <v>1742.54276424616</v>
      </c>
      <c r="T18" s="20" t="n">
        <f aca="false">Q18/(1-N18)*(1-Assumptions!$E$23)</f>
        <v>170364.866291502</v>
      </c>
      <c r="U18" s="20" t="n">
        <f aca="false">P18/(1-N18)*(1-Assumptions!$E$23)*Assumptions!$E$24</f>
        <v>2235.31398220428</v>
      </c>
      <c r="V18" s="49" t="n">
        <f aca="false">Q18-T18-U18</f>
        <v>243163.232203574</v>
      </c>
      <c r="W18" s="20" t="n">
        <f aca="false">T18*Assumptions!$E$25+L18*(Assumptions!$E$27-Assumptions!$E$28+Assumptions!$E$29+Assumptions!$E$36*Assumptions!$E$37)+R18*Assumptions!$E$30+S18*(Assumptions!$E$31+Assumptions!$E$32)+M18*(Assumptions!$E$33+Assumptions!$E$38)+IFERROR(M18*J18/K18,0)*Assumptions!$E$35*Assumptions!$E$34</f>
        <v>61464.3985778228</v>
      </c>
      <c r="X18" s="49" t="n">
        <f aca="false">V18-W18</f>
        <v>181698.833625752</v>
      </c>
      <c r="Y18" s="49" t="n">
        <f aca="false">C18+E18+G18</f>
        <v>55745.0889712194</v>
      </c>
      <c r="Z18" s="49" t="n">
        <f aca="false">X18-Y18</f>
        <v>125953.744654532</v>
      </c>
      <c r="AA18" s="20" t="n">
        <f aca="false">'Fixed Costs'!$G$31/52</f>
        <v>25332.6923076923</v>
      </c>
      <c r="AB18" s="49" t="n">
        <f aca="false">Z18-AA18</f>
        <v>100621.05234684</v>
      </c>
      <c r="AC18" s="21" t="n">
        <f aca="false">L18*Baseline!G18</f>
        <v>2456.93953421804</v>
      </c>
    </row>
    <row r="19" customFormat="false" ht="15" hidden="false" customHeight="false" outlineLevel="0" collapsed="false">
      <c r="A19" s="13" t="n">
        <v>14</v>
      </c>
      <c r="B19" s="14" t="str">
        <f aca="false">Calendar!D19</f>
        <v>P4</v>
      </c>
      <c r="C19" s="20" t="n">
        <f aca="false">IF('Media Plan'!D19&lt;&gt;"",'Media Plan'!D19,Assumptions!$D$10*Baseline!T19)</f>
        <v>36839.1504478545</v>
      </c>
      <c r="D19" s="21" t="n">
        <f aca="false">IFERROR(C19/(Baseline!H19*(1+Assumptions!$E$13)*IFERROR(MAX(0,C19)/'History Y-1'!P19,1)^Assumptions!$E$14),0)</f>
        <v>79474.0156995142</v>
      </c>
      <c r="E19" s="20" t="n">
        <f aca="false">IF('Media Plan'!J19&lt;&gt;"",'Media Plan'!J19,Assumptions!$D$11*Baseline!U19)</f>
        <v>18327.7336585697</v>
      </c>
      <c r="F19" s="21" t="n">
        <f aca="false">IFERROR(E19/(Baseline!I19*(1+Assumptions!$E$13)*IFERROR(MAX(0,E19)/'History Y-1'!Q19,1)^Assumptions!$E$15),0)</f>
        <v>49797.4136378068</v>
      </c>
      <c r="G19" s="20" t="n">
        <f aca="false">IF('Media Plan'!P19&lt;&gt;"",'Media Plan'!P19,Assumptions!$D$12*Baseline!V19)</f>
        <v>3854.86851213136</v>
      </c>
      <c r="H19" s="21" t="n">
        <f aca="false">IFERROR(G19/(Baseline!J19*(1+Assumptions!$E$13)*IFERROR(MAX(0,G19)/'History Y-1'!R19,1)^Assumptions!$E$16),0)</f>
        <v>16272.1229420397</v>
      </c>
      <c r="I19" s="21" t="n">
        <f aca="false">'History Y-1'!$F$58*(1+Assumptions!$E$6)*Baseline!Q19+'History Y-1'!$G$58*(1+Assumptions!$E$7)*Baseline!R19+J19</f>
        <v>194135.085700166</v>
      </c>
      <c r="J19" s="21" t="n">
        <f aca="false">'History Y-1'!$H$58*(1+Assumptions!$E$8)*Baseline!S19</f>
        <v>23029.920283134</v>
      </c>
      <c r="K19" s="55" t="n">
        <f aca="false">D19+F19+H19+I19</f>
        <v>339678.637979527</v>
      </c>
      <c r="L19" s="21" t="n">
        <f aca="false">K19*Baseline!B19*(1+Assumptions!$E$18)*(1+Calendar!G19)</f>
        <v>7682.06301316368</v>
      </c>
      <c r="M19" s="20" t="n">
        <f aca="false">L19*Baseline!C19*(1+Assumptions!$E$19)</f>
        <v>602604.672115764</v>
      </c>
      <c r="N19" s="31" t="n">
        <f aca="false">MAX(0,MIN(0.9,Baseline!E19+Assumptions!$E$20))</f>
        <v>0.0682264682320803</v>
      </c>
      <c r="O19" s="31" t="n">
        <f aca="false">MAX(0,Baseline!F19+Assumptions!$E$21)</f>
        <v>0.248401284826854</v>
      </c>
      <c r="P19" s="49" t="n">
        <f aca="false">M19*O19</f>
        <v>149687.774796221</v>
      </c>
      <c r="Q19" s="49" t="n">
        <f aca="false">M19-P19</f>
        <v>452916.897319543</v>
      </c>
      <c r="R19" s="21" t="n">
        <f aca="false">L19*Baseline!D19</f>
        <v>14330.5262544332</v>
      </c>
      <c r="S19" s="21" t="n">
        <f aca="false">IFERROR(P19/(Baseline!C19*(1+Assumptions!$E$19)),0)</f>
        <v>1908.23432259071</v>
      </c>
      <c r="T19" s="20" t="n">
        <f aca="false">Q19/(1-N19)*(1-Assumptions!$E$23)</f>
        <v>184710.570877532</v>
      </c>
      <c r="U19" s="20" t="n">
        <f aca="false">P19/(1-N19)*(1-Assumptions!$E$23)*Assumptions!$E$24</f>
        <v>2441.85319643665</v>
      </c>
      <c r="V19" s="49" t="n">
        <f aca="false">Q19-T19-U19</f>
        <v>265764.473245575</v>
      </c>
      <c r="W19" s="20" t="n">
        <f aca="false">T19*Assumptions!$E$25+L19*(Assumptions!$E$27-Assumptions!$E$28+Assumptions!$E$29+Assumptions!$E$36*Assumptions!$E$37)+R19*Assumptions!$E$30+S19*(Assumptions!$E$31+Assumptions!$E$32)+M19*(Assumptions!$E$33+Assumptions!$E$38)+IFERROR(M19*J19/K19,0)*Assumptions!$E$35*Assumptions!$E$34</f>
        <v>66834.6373474802</v>
      </c>
      <c r="X19" s="49" t="n">
        <f aca="false">V19-W19</f>
        <v>198929.835898095</v>
      </c>
      <c r="Y19" s="49" t="n">
        <f aca="false">C19+E19+G19</f>
        <v>59021.7526185556</v>
      </c>
      <c r="Z19" s="49" t="n">
        <f aca="false">X19-Y19</f>
        <v>139908.083279539</v>
      </c>
      <c r="AA19" s="20" t="n">
        <f aca="false">'Fixed Costs'!$G$31/52</f>
        <v>25332.6923076923</v>
      </c>
      <c r="AB19" s="49" t="n">
        <f aca="false">Z19-AA19</f>
        <v>114575.390971847</v>
      </c>
      <c r="AC19" s="21" t="n">
        <f aca="false">L19*Baseline!G19</f>
        <v>2680.56323385419</v>
      </c>
    </row>
    <row r="20" customFormat="false" ht="15" hidden="false" customHeight="false" outlineLevel="0" collapsed="false">
      <c r="A20" s="13" t="n">
        <v>15</v>
      </c>
      <c r="B20" s="14" t="str">
        <f aca="false">Calendar!D20</f>
        <v>P4</v>
      </c>
      <c r="C20" s="20" t="n">
        <f aca="false">IF('Media Plan'!D20&lt;&gt;"",'Media Plan'!D20,Assumptions!$D$10*Baseline!T20)</f>
        <v>37396.5265824609</v>
      </c>
      <c r="D20" s="21" t="n">
        <f aca="false">IFERROR(C20/(Baseline!H20*(1+Assumptions!$E$13)*IFERROR(MAX(0,C20)/'History Y-1'!P20,1)^Assumptions!$E$14),0)</f>
        <v>79578.4372459469</v>
      </c>
      <c r="E20" s="20" t="n">
        <f aca="false">IF('Media Plan'!J20&lt;&gt;"",'Media Plan'!J20,Assumptions!$D$11*Baseline!U20)</f>
        <v>17031.9175038038</v>
      </c>
      <c r="F20" s="21" t="n">
        <f aca="false">IFERROR(E20/(Baseline!I20*(1+Assumptions!$E$13)*IFERROR(MAX(0,E20)/'History Y-1'!Q20,1)^Assumptions!$E$15),0)</f>
        <v>48805.603180365</v>
      </c>
      <c r="G20" s="20" t="n">
        <f aca="false">IF('Media Plan'!P20&lt;&gt;"",'Media Plan'!P20,Assumptions!$D$12*Baseline!V20)</f>
        <v>3796.08339136316</v>
      </c>
      <c r="H20" s="21" t="n">
        <f aca="false">IFERROR(G20/(Baseline!J20*(1+Assumptions!$E$13)*IFERROR(MAX(0,G20)/'History Y-1'!R20,1)^Assumptions!$E$16),0)</f>
        <v>16263.5551542924</v>
      </c>
      <c r="I20" s="21" t="n">
        <f aca="false">'History Y-1'!$F$58*(1+Assumptions!$E$6)*Baseline!Q20+'History Y-1'!$G$58*(1+Assumptions!$E$7)*Baseline!R20+J20</f>
        <v>189116.417650557</v>
      </c>
      <c r="J20" s="21" t="n">
        <f aca="false">'History Y-1'!$H$58*(1+Assumptions!$E$8)*Baseline!S20</f>
        <v>22098.88939794</v>
      </c>
      <c r="K20" s="55" t="n">
        <f aca="false">D20+F20+H20+I20</f>
        <v>333764.013231162</v>
      </c>
      <c r="L20" s="21" t="n">
        <f aca="false">K20*Baseline!B20*(1+Assumptions!$E$18)*(1+Calendar!G20)</f>
        <v>7431.14390485945</v>
      </c>
      <c r="M20" s="20" t="n">
        <f aca="false">L20*Baseline!C20*(1+Assumptions!$E$19)</f>
        <v>588845.067539352</v>
      </c>
      <c r="N20" s="31" t="n">
        <f aca="false">MAX(0,MIN(0.9,Baseline!E20+Assumptions!$E$20))</f>
        <v>0.0675871775762531</v>
      </c>
      <c r="O20" s="31" t="n">
        <f aca="false">MAX(0,Baseline!F20+Assumptions!$E$21)</f>
        <v>0.247247648462997</v>
      </c>
      <c r="P20" s="49" t="n">
        <f aca="false">M20*O20</f>
        <v>145590.558258139</v>
      </c>
      <c r="Q20" s="49" t="n">
        <f aca="false">M20-P20</f>
        <v>443254.509281212</v>
      </c>
      <c r="R20" s="21" t="n">
        <f aca="false">L20*Baseline!D20</f>
        <v>14157.8245201078</v>
      </c>
      <c r="S20" s="21" t="n">
        <f aca="false">IFERROR(P20/(Baseline!C20*(1+Assumptions!$E$19)),0)</f>
        <v>1837.33285586663</v>
      </c>
      <c r="T20" s="20" t="n">
        <f aca="false">Q20/(1-N20)*(1-Assumptions!$E$23)</f>
        <v>180646.071649916</v>
      </c>
      <c r="U20" s="20" t="n">
        <f aca="false">P20/(1-N20)*(1-Assumptions!$E$23)*Assumptions!$E$24</f>
        <v>2373.38701517556</v>
      </c>
      <c r="V20" s="49" t="n">
        <f aca="false">Q20-T20-U20</f>
        <v>260235.050616121</v>
      </c>
      <c r="W20" s="20" t="n">
        <f aca="false">T20*Assumptions!$E$25+L20*(Assumptions!$E$27-Assumptions!$E$28+Assumptions!$E$29+Assumptions!$E$36*Assumptions!$E$37)+R20*Assumptions!$E$30+S20*(Assumptions!$E$31+Assumptions!$E$32)+M20*(Assumptions!$E$33+Assumptions!$E$38)+IFERROR(M20*J20/K20,0)*Assumptions!$E$35*Assumptions!$E$34</f>
        <v>64972.2831843114</v>
      </c>
      <c r="X20" s="49" t="n">
        <f aca="false">V20-W20</f>
        <v>195262.767431809</v>
      </c>
      <c r="Y20" s="49" t="n">
        <f aca="false">C20+E20+G20</f>
        <v>58224.5274776279</v>
      </c>
      <c r="Z20" s="49" t="n">
        <f aca="false">X20-Y20</f>
        <v>137038.239954181</v>
      </c>
      <c r="AA20" s="20" t="n">
        <f aca="false">'Fixed Costs'!$G$31/52</f>
        <v>25332.6923076923</v>
      </c>
      <c r="AB20" s="49" t="n">
        <f aca="false">Z20-AA20</f>
        <v>111705.547646489</v>
      </c>
      <c r="AC20" s="21" t="n">
        <f aca="false">L20*Baseline!G20</f>
        <v>2572.37706418417</v>
      </c>
    </row>
    <row r="21" customFormat="false" ht="15" hidden="false" customHeight="false" outlineLevel="0" collapsed="false">
      <c r="A21" s="13" t="n">
        <v>16</v>
      </c>
      <c r="B21" s="14" t="str">
        <f aca="false">Calendar!D21</f>
        <v>P4</v>
      </c>
      <c r="C21" s="20" t="n">
        <f aca="false">IF('Media Plan'!D21&lt;&gt;"",'Media Plan'!D21,Assumptions!$D$10*Baseline!T21)</f>
        <v>36175.2427582191</v>
      </c>
      <c r="D21" s="21" t="n">
        <f aca="false">IFERROR(C21/(Baseline!H21*(1+Assumptions!$E$13)*IFERROR(MAX(0,C21)/'History Y-1'!P21,1)^Assumptions!$E$14),0)</f>
        <v>77114.8662912051</v>
      </c>
      <c r="E21" s="20" t="n">
        <f aca="false">IF('Media Plan'!J21&lt;&gt;"",'Media Plan'!J21,Assumptions!$D$11*Baseline!U21)</f>
        <v>17641.3661056998</v>
      </c>
      <c r="F21" s="21" t="n">
        <f aca="false">IFERROR(E21/(Baseline!I21*(1+Assumptions!$E$13)*IFERROR(MAX(0,E21)/'History Y-1'!Q21,1)^Assumptions!$E$15),0)</f>
        <v>50141.4178612057</v>
      </c>
      <c r="G21" s="20" t="n">
        <f aca="false">IF('Media Plan'!P21&lt;&gt;"",'Media Plan'!P21,Assumptions!$D$12*Baseline!V21)</f>
        <v>3985.89591871715</v>
      </c>
      <c r="H21" s="21" t="n">
        <f aca="false">IFERROR(G21/(Baseline!J21*(1+Assumptions!$E$13)*IFERROR(MAX(0,G21)/'History Y-1'!R21,1)^Assumptions!$E$16),0)</f>
        <v>17217.8149105673</v>
      </c>
      <c r="I21" s="21" t="n">
        <f aca="false">'History Y-1'!$F$58*(1+Assumptions!$E$6)*Baseline!Q21+'History Y-1'!$G$58*(1+Assumptions!$E$7)*Baseline!R21+J21</f>
        <v>196360.513568783</v>
      </c>
      <c r="J21" s="21" t="n">
        <f aca="false">'History Y-1'!$H$58*(1+Assumptions!$E$8)*Baseline!S21</f>
        <v>23540.5018306336</v>
      </c>
      <c r="K21" s="55" t="n">
        <f aca="false">D21+F21+H21+I21</f>
        <v>340834.612631761</v>
      </c>
      <c r="L21" s="21" t="n">
        <f aca="false">K21*Baseline!B21*(1+Assumptions!$E$18)*(1+Calendar!G21)</f>
        <v>7637.85583512997</v>
      </c>
      <c r="M21" s="20" t="n">
        <f aca="false">L21*Baseline!C21*(1+Assumptions!$E$19)</f>
        <v>605558.392563997</v>
      </c>
      <c r="N21" s="31" t="n">
        <f aca="false">MAX(0,MIN(0.9,Baseline!E21+Assumptions!$E$20))</f>
        <v>0.0724666775659074</v>
      </c>
      <c r="O21" s="31" t="n">
        <f aca="false">MAX(0,Baseline!F21+Assumptions!$E$21)</f>
        <v>0.247869977537873</v>
      </c>
      <c r="P21" s="49" t="n">
        <f aca="false">M21*O21</f>
        <v>150099.745162708</v>
      </c>
      <c r="Q21" s="49" t="n">
        <f aca="false">M21-P21</f>
        <v>455458.647401289</v>
      </c>
      <c r="R21" s="21" t="n">
        <f aca="false">L21*Baseline!D21</f>
        <v>14637.5822858229</v>
      </c>
      <c r="S21" s="21" t="n">
        <f aca="false">IFERROR(P21/(Baseline!C21*(1+Assumptions!$E$19)),0)</f>
        <v>1893.19515429117</v>
      </c>
      <c r="T21" s="20" t="n">
        <f aca="false">Q21/(1-N21)*(1-Assumptions!$E$23)</f>
        <v>186596.299913298</v>
      </c>
      <c r="U21" s="20" t="n">
        <f aca="false">P21/(1-N21)*(1-Assumptions!$E$23)*Assumptions!$E$24</f>
        <v>2459.76728953075</v>
      </c>
      <c r="V21" s="49" t="n">
        <f aca="false">Q21-T21-U21</f>
        <v>266402.58019846</v>
      </c>
      <c r="W21" s="20" t="n">
        <f aca="false">T21*Assumptions!$E$25+L21*(Assumptions!$E$27-Assumptions!$E$28+Assumptions!$E$29+Assumptions!$E$36*Assumptions!$E$37)+R21*Assumptions!$E$30+S21*(Assumptions!$E$31+Assumptions!$E$32)+M21*(Assumptions!$E$33+Assumptions!$E$38)+IFERROR(M21*J21/K21,0)*Assumptions!$E$35*Assumptions!$E$34</f>
        <v>67030.5041393336</v>
      </c>
      <c r="X21" s="49" t="n">
        <f aca="false">V21-W21</f>
        <v>199372.076059126</v>
      </c>
      <c r="Y21" s="49" t="n">
        <f aca="false">C21+E21+G21</f>
        <v>57802.5047826361</v>
      </c>
      <c r="Z21" s="49" t="n">
        <f aca="false">X21-Y21</f>
        <v>141569.57127649</v>
      </c>
      <c r="AA21" s="20" t="n">
        <f aca="false">'Fixed Costs'!$G$31/52</f>
        <v>25332.6923076923</v>
      </c>
      <c r="AB21" s="49" t="n">
        <f aca="false">Z21-AA21</f>
        <v>116236.878968798</v>
      </c>
      <c r="AC21" s="21" t="n">
        <f aca="false">L21*Baseline!G21</f>
        <v>2635.43956153461</v>
      </c>
    </row>
    <row r="22" customFormat="false" ht="15" hidden="false" customHeight="false" outlineLevel="0" collapsed="false">
      <c r="A22" s="13" t="n">
        <v>17</v>
      </c>
      <c r="B22" s="14" t="str">
        <f aca="false">Calendar!D22</f>
        <v>P4</v>
      </c>
      <c r="C22" s="20" t="n">
        <f aca="false">IF('Media Plan'!D22&lt;&gt;"",'Media Plan'!D22,Assumptions!$D$10*Baseline!T22)</f>
        <v>36458.8665688794</v>
      </c>
      <c r="D22" s="21" t="n">
        <f aca="false">IFERROR(C22/(Baseline!H22*(1+Assumptions!$E$13)*IFERROR(MAX(0,C22)/'History Y-1'!P22,1)^Assumptions!$E$14),0)</f>
        <v>80428.8215441185</v>
      </c>
      <c r="E22" s="20" t="n">
        <f aca="false">IF('Media Plan'!J22&lt;&gt;"",'Media Plan'!J22,Assumptions!$D$11*Baseline!U22)</f>
        <v>18917.4757844456</v>
      </c>
      <c r="F22" s="21" t="n">
        <f aca="false">IFERROR(E22/(Baseline!I22*(1+Assumptions!$E$13)*IFERROR(MAX(0,E22)/'History Y-1'!Q22,1)^Assumptions!$E$15),0)</f>
        <v>52853.0649466782</v>
      </c>
      <c r="G22" s="20" t="n">
        <f aca="false">IF('Media Plan'!P22&lt;&gt;"",'Media Plan'!P22,Assumptions!$D$12*Baseline!V22)</f>
        <v>3722.98701959104</v>
      </c>
      <c r="H22" s="21" t="n">
        <f aca="false">IFERROR(G22/(Baseline!J22*(1+Assumptions!$E$13)*IFERROR(MAX(0,G22)/'History Y-1'!R22,1)^Assumptions!$E$16),0)</f>
        <v>16209.0753985828</v>
      </c>
      <c r="I22" s="21" t="n">
        <f aca="false">'History Y-1'!$F$58*(1+Assumptions!$E$6)*Baseline!Q22+'History Y-1'!$G$58*(1+Assumptions!$E$7)*Baseline!R22+J22</f>
        <v>193364.342898454</v>
      </c>
      <c r="J22" s="21" t="n">
        <f aca="false">'History Y-1'!$H$58*(1+Assumptions!$E$8)*Baseline!S22</f>
        <v>23055.1772700665</v>
      </c>
      <c r="K22" s="55" t="n">
        <f aca="false">D22+F22+H22+I22</f>
        <v>342855.304787834</v>
      </c>
      <c r="L22" s="21" t="n">
        <f aca="false">K22*Baseline!B22*(1+Assumptions!$E$18)*(1+Calendar!G22)</f>
        <v>7446.94203177753</v>
      </c>
      <c r="M22" s="20" t="n">
        <f aca="false">L22*Baseline!C22*(1+Assumptions!$E$19)</f>
        <v>576504.303963318</v>
      </c>
      <c r="N22" s="31" t="n">
        <f aca="false">MAX(0,MIN(0.9,Baseline!E22+Assumptions!$E$20))</f>
        <v>0.0691205885732181</v>
      </c>
      <c r="O22" s="31" t="n">
        <f aca="false">MAX(0,Baseline!F22+Assumptions!$E$21)</f>
        <v>0.25626757724974</v>
      </c>
      <c r="P22" s="49" t="n">
        <f aca="false">M22*O22</f>
        <v>147739.361250727</v>
      </c>
      <c r="Q22" s="49" t="n">
        <f aca="false">M22-P22</f>
        <v>428764.942712591</v>
      </c>
      <c r="R22" s="21" t="n">
        <f aca="false">L22*Baseline!D22</f>
        <v>14332.4828001942</v>
      </c>
      <c r="S22" s="21" t="n">
        <f aca="false">IFERROR(P22/(Baseline!C22*(1+Assumptions!$E$19)),0)</f>
        <v>1908.40979240289</v>
      </c>
      <c r="T22" s="20" t="n">
        <f aca="false">Q22/(1-N22)*(1-Assumptions!$E$23)</f>
        <v>175028.76981784</v>
      </c>
      <c r="U22" s="20" t="n">
        <f aca="false">P22/(1-N22)*(1-Assumptions!$E$23)*Assumptions!$E$24</f>
        <v>2412.38367015671</v>
      </c>
      <c r="V22" s="49" t="n">
        <f aca="false">Q22-T22-U22</f>
        <v>251323.789224594</v>
      </c>
      <c r="W22" s="20" t="n">
        <f aca="false">T22*Assumptions!$E$25+L22*(Assumptions!$E$27-Assumptions!$E$28+Assumptions!$E$29+Assumptions!$E$36*Assumptions!$E$37)+R22*Assumptions!$E$30+S22*(Assumptions!$E$31+Assumptions!$E$32)+M22*(Assumptions!$E$33+Assumptions!$E$38)+IFERROR(M22*J22/K22,0)*Assumptions!$E$35*Assumptions!$E$34</f>
        <v>65105.7192263469</v>
      </c>
      <c r="X22" s="49" t="n">
        <f aca="false">V22-W22</f>
        <v>186218.069998247</v>
      </c>
      <c r="Y22" s="49" t="n">
        <f aca="false">C22+E22+G22</f>
        <v>59099.3293729161</v>
      </c>
      <c r="Z22" s="49" t="n">
        <f aca="false">X22-Y22</f>
        <v>127118.740625331</v>
      </c>
      <c r="AA22" s="20" t="n">
        <f aca="false">'Fixed Costs'!$G$31/52</f>
        <v>25332.6923076923</v>
      </c>
      <c r="AB22" s="49" t="n">
        <f aca="false">Z22-AA22</f>
        <v>101786.048317639</v>
      </c>
      <c r="AC22" s="21" t="n">
        <f aca="false">L22*Baseline!G22</f>
        <v>2673.16773797383</v>
      </c>
    </row>
    <row r="23" customFormat="false" ht="15" hidden="false" customHeight="false" outlineLevel="0" collapsed="false">
      <c r="A23" s="13" t="n">
        <v>18</v>
      </c>
      <c r="B23" s="14" t="str">
        <f aca="false">Calendar!D23</f>
        <v>P5</v>
      </c>
      <c r="C23" s="20" t="n">
        <f aca="false">IF('Media Plan'!D23&lt;&gt;"",'Media Plan'!D23,Assumptions!$D$10*Baseline!T23)</f>
        <v>35608.171067611</v>
      </c>
      <c r="D23" s="21" t="n">
        <f aca="false">IFERROR(C23/(Baseline!H23*(1+Assumptions!$E$13)*IFERROR(MAX(0,C23)/'History Y-1'!P23,1)^Assumptions!$E$14),0)</f>
        <v>75350.1569593177</v>
      </c>
      <c r="E23" s="20" t="n">
        <f aca="false">IF('Media Plan'!J23&lt;&gt;"",'Media Plan'!J23,Assumptions!$D$11*Baseline!U23)</f>
        <v>17665.1448513091</v>
      </c>
      <c r="F23" s="21" t="n">
        <f aca="false">IFERROR(E23/(Baseline!I23*(1+Assumptions!$E$13)*IFERROR(MAX(0,E23)/'History Y-1'!Q23,1)^Assumptions!$E$15),0)</f>
        <v>48369.2876414781</v>
      </c>
      <c r="G23" s="20" t="n">
        <f aca="false">IF('Media Plan'!P23&lt;&gt;"",'Media Plan'!P23,Assumptions!$D$12*Baseline!V23)</f>
        <v>3832.09939394209</v>
      </c>
      <c r="H23" s="21" t="n">
        <f aca="false">IFERROR(G23/(Baseline!J23*(1+Assumptions!$E$13)*IFERROR(MAX(0,G23)/'History Y-1'!R23,1)^Assumptions!$E$16),0)</f>
        <v>16141.8736398785</v>
      </c>
      <c r="I23" s="21" t="n">
        <f aca="false">'History Y-1'!$F$58*(1+Assumptions!$E$6)*Baseline!Q23+'History Y-1'!$G$58*(1+Assumptions!$E$7)*Baseline!R23+J23</f>
        <v>191259.763880733</v>
      </c>
      <c r="J23" s="21" t="n">
        <f aca="false">'History Y-1'!$H$58*(1+Assumptions!$E$8)*Baseline!S23</f>
        <v>21923.6703865343</v>
      </c>
      <c r="K23" s="55" t="n">
        <f aca="false">D23+F23+H23+I23</f>
        <v>331121.082121408</v>
      </c>
      <c r="L23" s="21" t="n">
        <f aca="false">K23*Baseline!B23*(1+Assumptions!$E$18)*(1+Calendar!G23)</f>
        <v>7208.32125717822</v>
      </c>
      <c r="M23" s="20" t="n">
        <f aca="false">L23*Baseline!C23*(1+Assumptions!$E$19)</f>
        <v>571687.244863631</v>
      </c>
      <c r="N23" s="31" t="n">
        <f aca="false">MAX(0,MIN(0.9,Baseline!E23+Assumptions!$E$20))</f>
        <v>0.0687994209704977</v>
      </c>
      <c r="O23" s="31" t="n">
        <f aca="false">MAX(0,Baseline!F23+Assumptions!$E$21)</f>
        <v>0.245407042600766</v>
      </c>
      <c r="P23" s="49" t="n">
        <f aca="false">M23*O23</f>
        <v>140296.076054564</v>
      </c>
      <c r="Q23" s="49" t="n">
        <f aca="false">M23-P23</f>
        <v>431391.168809067</v>
      </c>
      <c r="R23" s="21" t="n">
        <f aca="false">L23*Baseline!D23</f>
        <v>13878.7830685429</v>
      </c>
      <c r="S23" s="21" t="n">
        <f aca="false">IFERROR(P23/(Baseline!C23*(1+Assumptions!$E$19)),0)</f>
        <v>1768.97280184034</v>
      </c>
      <c r="T23" s="20" t="n">
        <f aca="false">Q23/(1-N23)*(1-Assumptions!$E$23)</f>
        <v>176040.101175938</v>
      </c>
      <c r="U23" s="20" t="n">
        <f aca="false">P23/(1-N23)*(1-Assumptions!$E$23)*Assumptions!$E$24</f>
        <v>2290.05480027929</v>
      </c>
      <c r="V23" s="49" t="n">
        <f aca="false">Q23-T23-U23</f>
        <v>253061.01283285</v>
      </c>
      <c r="W23" s="20" t="n">
        <f aca="false">T23*Assumptions!$E$25+L23*(Assumptions!$E$27-Assumptions!$E$28+Assumptions!$E$29+Assumptions!$E$36*Assumptions!$E$37)+R23*Assumptions!$E$30+S23*(Assumptions!$E$31+Assumptions!$E$32)+M23*(Assumptions!$E$33+Assumptions!$E$38)+IFERROR(M23*J23/K23,0)*Assumptions!$E$35*Assumptions!$E$34</f>
        <v>63119.0924674749</v>
      </c>
      <c r="X23" s="49" t="n">
        <f aca="false">V23-W23</f>
        <v>189941.920365375</v>
      </c>
      <c r="Y23" s="49" t="n">
        <f aca="false">C23+E23+G23</f>
        <v>57105.4153128622</v>
      </c>
      <c r="Z23" s="49" t="n">
        <f aca="false">X23-Y23</f>
        <v>132836.505052513</v>
      </c>
      <c r="AA23" s="20" t="n">
        <f aca="false">'Fixed Costs'!$G$31/52</f>
        <v>25332.6923076923</v>
      </c>
      <c r="AB23" s="49" t="n">
        <f aca="false">Z23-AA23</f>
        <v>107503.812744821</v>
      </c>
      <c r="AC23" s="21" t="n">
        <f aca="false">L23*Baseline!G23</f>
        <v>2545.54343310508</v>
      </c>
    </row>
    <row r="24" customFormat="false" ht="15" hidden="false" customHeight="false" outlineLevel="0" collapsed="false">
      <c r="A24" s="13" t="n">
        <v>19</v>
      </c>
      <c r="B24" s="14" t="str">
        <f aca="false">Calendar!D24</f>
        <v>P5</v>
      </c>
      <c r="C24" s="20" t="n">
        <f aca="false">IF('Media Plan'!D24&lt;&gt;"",'Media Plan'!D24,Assumptions!$D$10*Baseline!T24)</f>
        <v>37785.5943594168</v>
      </c>
      <c r="D24" s="21" t="n">
        <f aca="false">IFERROR(C24/(Baseline!H24*(1+Assumptions!$E$13)*IFERROR(MAX(0,C24)/'History Y-1'!P24,1)^Assumptions!$E$14),0)</f>
        <v>79202.4704389967</v>
      </c>
      <c r="E24" s="20" t="n">
        <f aca="false">IF('Media Plan'!J24&lt;&gt;"",'Media Plan'!J24,Assumptions!$D$11*Baseline!U24)</f>
        <v>18324.959207282</v>
      </c>
      <c r="F24" s="21" t="n">
        <f aca="false">IFERROR(E24/(Baseline!I24*(1+Assumptions!$E$13)*IFERROR(MAX(0,E24)/'History Y-1'!Q24,1)^Assumptions!$E$15),0)</f>
        <v>52189.570530704</v>
      </c>
      <c r="G24" s="20" t="n">
        <f aca="false">IF('Media Plan'!P24&lt;&gt;"",'Media Plan'!P24,Assumptions!$D$12*Baseline!V24)</f>
        <v>4064.82739976494</v>
      </c>
      <c r="H24" s="21" t="n">
        <f aca="false">IFERROR(G24/(Baseline!J24*(1+Assumptions!$E$13)*IFERROR(MAX(0,G24)/'History Y-1'!R24,1)^Assumptions!$E$16),0)</f>
        <v>16973.6773176891</v>
      </c>
      <c r="I24" s="21" t="n">
        <f aca="false">'History Y-1'!$F$58*(1+Assumptions!$E$6)*Baseline!Q24+'History Y-1'!$G$58*(1+Assumptions!$E$7)*Baseline!R24+J24</f>
        <v>196643.798684331</v>
      </c>
      <c r="J24" s="21" t="n">
        <f aca="false">'History Y-1'!$H$58*(1+Assumptions!$E$8)*Baseline!S24</f>
        <v>22541.3341934646</v>
      </c>
      <c r="K24" s="55" t="n">
        <f aca="false">D24+F24+H24+I24</f>
        <v>345009.51697172</v>
      </c>
      <c r="L24" s="21" t="n">
        <f aca="false">K24*Baseline!B24*(1+Assumptions!$E$18)*(1+Calendar!G24)</f>
        <v>7858.67259611047</v>
      </c>
      <c r="M24" s="20" t="n">
        <f aca="false">L24*Baseline!C24*(1+Assumptions!$E$19)</f>
        <v>619527.599846662</v>
      </c>
      <c r="N24" s="31" t="n">
        <f aca="false">MAX(0,MIN(0.9,Baseline!E24+Assumptions!$E$20))</f>
        <v>0.06985340933346</v>
      </c>
      <c r="O24" s="31" t="n">
        <f aca="false">MAX(0,Baseline!F24+Assumptions!$E$21)</f>
        <v>0.254483437794478</v>
      </c>
      <c r="P24" s="49" t="n">
        <f aca="false">M24*O24</f>
        <v>157659.513417541</v>
      </c>
      <c r="Q24" s="49" t="n">
        <f aca="false">M24-P24</f>
        <v>461868.086429122</v>
      </c>
      <c r="R24" s="21" t="n">
        <f aca="false">L24*Baseline!D24</f>
        <v>15280.2998173831</v>
      </c>
      <c r="S24" s="21" t="n">
        <f aca="false">IFERROR(P24/(Baseline!C24*(1+Assumptions!$E$19)),0)</f>
        <v>1999.90201875945</v>
      </c>
      <c r="T24" s="20" t="n">
        <f aca="false">Q24/(1-N24)*(1-Assumptions!$E$23)</f>
        <v>188690.551149896</v>
      </c>
      <c r="U24" s="20" t="n">
        <f aca="false">P24/(1-N24)*(1-Assumptions!$E$23)*Assumptions!$E$24</f>
        <v>2576.39454683089</v>
      </c>
      <c r="V24" s="49" t="n">
        <f aca="false">Q24-T24-U24</f>
        <v>270601.140732395</v>
      </c>
      <c r="W24" s="20" t="n">
        <f aca="false">T24*Assumptions!$E$25+L24*(Assumptions!$E$27-Assumptions!$E$28+Assumptions!$E$29+Assumptions!$E$36*Assumptions!$E$37)+R24*Assumptions!$E$30+S24*(Assumptions!$E$31+Assumptions!$E$32)+M24*(Assumptions!$E$33+Assumptions!$E$38)+IFERROR(M24*J24/K24,0)*Assumptions!$E$35*Assumptions!$E$34</f>
        <v>69039.3253029878</v>
      </c>
      <c r="X24" s="49" t="n">
        <f aca="false">V24-W24</f>
        <v>201561.815429407</v>
      </c>
      <c r="Y24" s="49" t="n">
        <f aca="false">C24+E24+G24</f>
        <v>60175.3809664637</v>
      </c>
      <c r="Z24" s="49" t="n">
        <f aca="false">X24-Y24</f>
        <v>141386.434462943</v>
      </c>
      <c r="AA24" s="20" t="n">
        <f aca="false">'Fixed Costs'!$G$31/52</f>
        <v>25332.6923076923</v>
      </c>
      <c r="AB24" s="49" t="n">
        <f aca="false">Z24-AA24</f>
        <v>116053.742155251</v>
      </c>
      <c r="AC24" s="21" t="n">
        <f aca="false">L24*Baseline!G24</f>
        <v>2750.73085721012</v>
      </c>
    </row>
    <row r="25" customFormat="false" ht="15" hidden="false" customHeight="false" outlineLevel="0" collapsed="false">
      <c r="A25" s="13" t="n">
        <v>20</v>
      </c>
      <c r="B25" s="14" t="str">
        <f aca="false">Calendar!D25</f>
        <v>P5</v>
      </c>
      <c r="C25" s="20" t="n">
        <f aca="false">IF('Media Plan'!D25&lt;&gt;"",'Media Plan'!D25,Assumptions!$D$10*Baseline!T25)</f>
        <v>37429.8542762415</v>
      </c>
      <c r="D25" s="21" t="n">
        <f aca="false">IFERROR(C25/(Baseline!H25*(1+Assumptions!$E$13)*IFERROR(MAX(0,C25)/'History Y-1'!P25,1)^Assumptions!$E$14),0)</f>
        <v>80672.7960172561</v>
      </c>
      <c r="E25" s="20" t="n">
        <f aca="false">IF('Media Plan'!J25&lt;&gt;"",'Media Plan'!J25,Assumptions!$D$11*Baseline!U25)</f>
        <v>18047.0114458024</v>
      </c>
      <c r="F25" s="21" t="n">
        <f aca="false">IFERROR(E25/(Baseline!I25*(1+Assumptions!$E$13)*IFERROR(MAX(0,E25)/'History Y-1'!Q25,1)^Assumptions!$E$15),0)</f>
        <v>51342.7233808373</v>
      </c>
      <c r="G25" s="20" t="n">
        <f aca="false">IF('Media Plan'!P25&lt;&gt;"",'Media Plan'!P25,Assumptions!$D$12*Baseline!V25)</f>
        <v>3893.98815671425</v>
      </c>
      <c r="H25" s="21" t="n">
        <f aca="false">IFERROR(G25/(Baseline!J25*(1+Assumptions!$E$13)*IFERROR(MAX(0,G25)/'History Y-1'!R25,1)^Assumptions!$E$16),0)</f>
        <v>16825.8922293683</v>
      </c>
      <c r="I25" s="21" t="n">
        <f aca="false">'History Y-1'!$F$58*(1+Assumptions!$E$6)*Baseline!Q25+'History Y-1'!$G$58*(1+Assumptions!$E$7)*Baseline!R25+J25</f>
        <v>196306.364890992</v>
      </c>
      <c r="J25" s="21" t="n">
        <f aca="false">'History Y-1'!$H$58*(1+Assumptions!$E$8)*Baseline!S25</f>
        <v>22744.2411798542</v>
      </c>
      <c r="K25" s="55" t="n">
        <f aca="false">D25+F25+H25+I25</f>
        <v>345147.776518454</v>
      </c>
      <c r="L25" s="21" t="n">
        <f aca="false">K25*Baseline!B25*(1+Assumptions!$E$18)*(1+Calendar!G25)</f>
        <v>7728.27130847173</v>
      </c>
      <c r="M25" s="20" t="n">
        <f aca="false">L25*Baseline!C25*(1+Assumptions!$E$19)</f>
        <v>599772.835857793</v>
      </c>
      <c r="N25" s="31" t="n">
        <f aca="false">MAX(0,MIN(0.9,Baseline!E25+Assumptions!$E$20))</f>
        <v>0.0706176457412808</v>
      </c>
      <c r="O25" s="31" t="n">
        <f aca="false">MAX(0,Baseline!F25+Assumptions!$E$21)</f>
        <v>0.252434612603968</v>
      </c>
      <c r="P25" s="49" t="n">
        <f aca="false">M25*O25</f>
        <v>151403.423470145</v>
      </c>
      <c r="Q25" s="49" t="n">
        <f aca="false">M25-P25</f>
        <v>448369.412387648</v>
      </c>
      <c r="R25" s="21" t="n">
        <f aca="false">L25*Baseline!D25</f>
        <v>15042.8067065971</v>
      </c>
      <c r="S25" s="21" t="n">
        <f aca="false">IFERROR(P25/(Baseline!C25*(1+Assumptions!$E$19)),0)</f>
        <v>1950.88317385242</v>
      </c>
      <c r="T25" s="20" t="n">
        <f aca="false">Q25/(1-N25)*(1-Assumptions!$E$23)</f>
        <v>183326.459692903</v>
      </c>
      <c r="U25" s="20" t="n">
        <f aca="false">P25/(1-N25)*(1-Assumptions!$E$23)*Assumptions!$E$24</f>
        <v>2476.19510549214</v>
      </c>
      <c r="V25" s="49" t="n">
        <f aca="false">Q25-T25-U25</f>
        <v>262566.757589253</v>
      </c>
      <c r="W25" s="20" t="n">
        <f aca="false">T25*Assumptions!$E$25+L25*(Assumptions!$E$27-Assumptions!$E$28+Assumptions!$E$29+Assumptions!$E$36*Assumptions!$E$37)+R25*Assumptions!$E$30+S25*(Assumptions!$E$31+Assumptions!$E$32)+M25*(Assumptions!$E$33+Assumptions!$E$38)+IFERROR(M25*J25/K25,0)*Assumptions!$E$35*Assumptions!$E$34</f>
        <v>67595.64385691</v>
      </c>
      <c r="X25" s="49" t="n">
        <f aca="false">V25-W25</f>
        <v>194971.113732343</v>
      </c>
      <c r="Y25" s="49" t="n">
        <f aca="false">C25+E25+G25</f>
        <v>59370.8538787582</v>
      </c>
      <c r="Z25" s="49" t="n">
        <f aca="false">X25-Y25</f>
        <v>135600.259853585</v>
      </c>
      <c r="AA25" s="20" t="n">
        <f aca="false">'Fixed Costs'!$G$31/52</f>
        <v>25332.6923076923</v>
      </c>
      <c r="AB25" s="49" t="n">
        <f aca="false">Z25-AA25</f>
        <v>110267.567545892</v>
      </c>
      <c r="AC25" s="21" t="n">
        <f aca="false">L25*Baseline!G25</f>
        <v>2749.45758092194</v>
      </c>
    </row>
    <row r="26" customFormat="false" ht="15" hidden="false" customHeight="false" outlineLevel="0" collapsed="false">
      <c r="A26" s="13" t="n">
        <v>21</v>
      </c>
      <c r="B26" s="14" t="str">
        <f aca="false">Calendar!D26</f>
        <v>P5</v>
      </c>
      <c r="C26" s="20" t="n">
        <f aca="false">IF('Media Plan'!D26&lt;&gt;"",'Media Plan'!D26,Assumptions!$D$10*Baseline!T26)</f>
        <v>49411.3190344789</v>
      </c>
      <c r="D26" s="21" t="n">
        <f aca="false">IFERROR(C26/(Baseline!H26*(1+Assumptions!$E$13)*IFERROR(MAX(0,C26)/'History Y-1'!P26,1)^Assumptions!$E$14),0)</f>
        <v>107366.560288355</v>
      </c>
      <c r="E26" s="20" t="n">
        <f aca="false">IF('Media Plan'!J26&lt;&gt;"",'Media Plan'!J26,Assumptions!$D$11*Baseline!U26)</f>
        <v>25159.1957167359</v>
      </c>
      <c r="F26" s="21" t="n">
        <f aca="false">IFERROR(E26/(Baseline!I26*(1+Assumptions!$E$13)*IFERROR(MAX(0,E26)/'History Y-1'!Q26,1)^Assumptions!$E$15),0)</f>
        <v>71346.2481110151</v>
      </c>
      <c r="G26" s="20" t="n">
        <f aca="false">IF('Media Plan'!P26&lt;&gt;"",'Media Plan'!P26,Assumptions!$D$12*Baseline!V26)</f>
        <v>5018.22270921336</v>
      </c>
      <c r="H26" s="21" t="n">
        <f aca="false">IFERROR(G26/(Baseline!J26*(1+Assumptions!$E$13)*IFERROR(MAX(0,G26)/'History Y-1'!R26,1)^Assumptions!$E$16),0)</f>
        <v>21722.4630330648</v>
      </c>
      <c r="I26" s="21" t="n">
        <f aca="false">'History Y-1'!$F$58*(1+Assumptions!$E$6)*Baseline!Q26+'History Y-1'!$G$58*(1+Assumptions!$E$7)*Baseline!R26+J26</f>
        <v>295436.871978774</v>
      </c>
      <c r="J26" s="21" t="n">
        <f aca="false">'History Y-1'!$H$58*(1+Assumptions!$E$8)*Baseline!S26</f>
        <v>30574.2714798635</v>
      </c>
      <c r="K26" s="55" t="n">
        <f aca="false">D26+F26+H26+I26</f>
        <v>495872.143411209</v>
      </c>
      <c r="L26" s="21" t="n">
        <f aca="false">K26*Baseline!B26*(1+Assumptions!$E$18)*(1+Calendar!G26)</f>
        <v>13408.5915070612</v>
      </c>
      <c r="M26" s="20" t="n">
        <f aca="false">L26*Baseline!C26*(1+Assumptions!$E$19)</f>
        <v>941056.655242165</v>
      </c>
      <c r="N26" s="31" t="n">
        <f aca="false">MAX(0,MIN(0.9,Baseline!E26+Assumptions!$E$20))</f>
        <v>0.305129204534006</v>
      </c>
      <c r="O26" s="31" t="n">
        <f aca="false">MAX(0,Baseline!F26+Assumptions!$E$21)</f>
        <v>0.219097918862144</v>
      </c>
      <c r="P26" s="49" t="n">
        <f aca="false">M26*O26</f>
        <v>206183.554694929</v>
      </c>
      <c r="Q26" s="49" t="n">
        <f aca="false">M26-P26</f>
        <v>734873.100547237</v>
      </c>
      <c r="R26" s="21" t="n">
        <f aca="false">L26*Baseline!D26</f>
        <v>25593.2777042468</v>
      </c>
      <c r="S26" s="21" t="n">
        <f aca="false">IFERROR(P26/(Baseline!C26*(1+Assumptions!$E$19)),0)</f>
        <v>2937.79449406973</v>
      </c>
      <c r="T26" s="20" t="n">
        <f aca="false">Q26/(1-N26)*(1-Assumptions!$E$23)</f>
        <v>401875.830773228</v>
      </c>
      <c r="U26" s="20" t="n">
        <f aca="false">P26/(1-N26)*(1-Assumptions!$E$23)*Assumptions!$E$24</f>
        <v>4510.1766426393</v>
      </c>
      <c r="V26" s="49" t="n">
        <f aca="false">Q26-T26-U26</f>
        <v>328487.09313137</v>
      </c>
      <c r="W26" s="20" t="n">
        <f aca="false">T26*Assumptions!$E$25+L26*(Assumptions!$E$27-Assumptions!$E$28+Assumptions!$E$29+Assumptions!$E$36*Assumptions!$E$37)+R26*Assumptions!$E$30+S26*(Assumptions!$E$31+Assumptions!$E$32)+M26*(Assumptions!$E$33+Assumptions!$E$38)+IFERROR(M26*J26/K26,0)*Assumptions!$E$35*Assumptions!$E$34</f>
        <v>115016.443821887</v>
      </c>
      <c r="X26" s="49" t="n">
        <f aca="false">V26-W26</f>
        <v>213470.649309482</v>
      </c>
      <c r="Y26" s="49" t="n">
        <f aca="false">C26+E26+G26</f>
        <v>79588.7374604282</v>
      </c>
      <c r="Z26" s="49" t="n">
        <f aca="false">X26-Y26</f>
        <v>133881.911849054</v>
      </c>
      <c r="AA26" s="20" t="n">
        <f aca="false">'Fixed Costs'!$G$31/52</f>
        <v>25332.6923076923</v>
      </c>
      <c r="AB26" s="49" t="n">
        <f aca="false">Z26-AA26</f>
        <v>108549.219541362</v>
      </c>
      <c r="AC26" s="21" t="n">
        <f aca="false">L26*Baseline!G26</f>
        <v>5965.67709737214</v>
      </c>
    </row>
    <row r="27" customFormat="false" ht="15" hidden="false" customHeight="false" outlineLevel="0" collapsed="false">
      <c r="A27" s="13" t="n">
        <v>22</v>
      </c>
      <c r="B27" s="14" t="str">
        <f aca="false">Calendar!D27</f>
        <v>P6</v>
      </c>
      <c r="C27" s="20" t="n">
        <f aca="false">IF('Media Plan'!D27&lt;&gt;"",'Media Plan'!D27,Assumptions!$D$10*Baseline!T27)</f>
        <v>45813.3709669873</v>
      </c>
      <c r="D27" s="21" t="n">
        <f aca="false">IFERROR(C27/(Baseline!H27*(1+Assumptions!$E$13)*IFERROR(MAX(0,C27)/'History Y-1'!P27,1)^Assumptions!$E$14),0)</f>
        <v>94575.660388099</v>
      </c>
      <c r="E27" s="20" t="n">
        <f aca="false">IF('Media Plan'!J27&lt;&gt;"",'Media Plan'!J27,Assumptions!$D$11*Baseline!U27)</f>
        <v>22389.3460286985</v>
      </c>
      <c r="F27" s="21" t="n">
        <f aca="false">IFERROR(E27/(Baseline!I27*(1+Assumptions!$E$13)*IFERROR(MAX(0,E27)/'History Y-1'!Q27,1)^Assumptions!$E$15),0)</f>
        <v>61430.3150585566</v>
      </c>
      <c r="G27" s="20" t="n">
        <f aca="false">IF('Media Plan'!P27&lt;&gt;"",'Media Plan'!P27,Assumptions!$D$12*Baseline!V27)</f>
        <v>4798.97861117782</v>
      </c>
      <c r="H27" s="21" t="n">
        <f aca="false">IFERROR(G27/(Baseline!J27*(1+Assumptions!$E$13)*IFERROR(MAX(0,G27)/'History Y-1'!R27,1)^Assumptions!$E$16),0)</f>
        <v>20958.6832179659</v>
      </c>
      <c r="I27" s="21" t="n">
        <f aca="false">'History Y-1'!$F$58*(1+Assumptions!$E$6)*Baseline!Q27+'History Y-1'!$G$58*(1+Assumptions!$E$7)*Baseline!R27+J27</f>
        <v>250176.319628529</v>
      </c>
      <c r="J27" s="21" t="n">
        <f aca="false">'History Y-1'!$H$58*(1+Assumptions!$E$8)*Baseline!S27</f>
        <v>29515.0793128431</v>
      </c>
      <c r="K27" s="55" t="n">
        <f aca="false">D27+F27+H27+I27</f>
        <v>427140.978293151</v>
      </c>
      <c r="L27" s="21" t="n">
        <f aca="false">K27*Baseline!B27*(1+Assumptions!$E$18)*(1+Calendar!G27)</f>
        <v>11537.9372096733</v>
      </c>
      <c r="M27" s="20" t="n">
        <f aca="false">L27*Baseline!C27*(1+Assumptions!$E$19)</f>
        <v>797860.065961182</v>
      </c>
      <c r="N27" s="31" t="n">
        <f aca="false">MAX(0,MIN(0.9,Baseline!E27+Assumptions!$E$20))</f>
        <v>0.296191373705647</v>
      </c>
      <c r="O27" s="31" t="n">
        <f aca="false">MAX(0,Baseline!F27+Assumptions!$E$21)</f>
        <v>0.224700919176987</v>
      </c>
      <c r="P27" s="49" t="n">
        <f aca="false">M27*O27</f>
        <v>179279.890196089</v>
      </c>
      <c r="Q27" s="49" t="n">
        <f aca="false">M27-P27</f>
        <v>618580.175765093</v>
      </c>
      <c r="R27" s="21" t="n">
        <f aca="false">L27*Baseline!D27</f>
        <v>21361.1824985985</v>
      </c>
      <c r="S27" s="21" t="n">
        <f aca="false">IFERROR(P27/(Baseline!C27*(1+Assumptions!$E$19)),0)</f>
        <v>2592.58509641996</v>
      </c>
      <c r="T27" s="20" t="n">
        <f aca="false">Q27/(1-N27)*(1-Assumptions!$E$23)</f>
        <v>333983.49779877</v>
      </c>
      <c r="U27" s="20" t="n">
        <f aca="false">P27/(1-N27)*(1-Assumptions!$E$23)*Assumptions!$E$24</f>
        <v>3871.8683306403</v>
      </c>
      <c r="V27" s="49" t="n">
        <f aca="false">Q27-T27-U27</f>
        <v>280724.809635683</v>
      </c>
      <c r="W27" s="20" t="n">
        <f aca="false">T27*Assumptions!$E$25+L27*(Assumptions!$E$27-Assumptions!$E$28+Assumptions!$E$29+Assumptions!$E$36*Assumptions!$E$37)+R27*Assumptions!$E$30+S27*(Assumptions!$E$31+Assumptions!$E$32)+M27*(Assumptions!$E$33+Assumptions!$E$38)+IFERROR(M27*J27/K27,0)*Assumptions!$E$35*Assumptions!$E$34</f>
        <v>98542.4643105362</v>
      </c>
      <c r="X27" s="49" t="n">
        <f aca="false">V27-W27</f>
        <v>182182.345325146</v>
      </c>
      <c r="Y27" s="49" t="n">
        <f aca="false">C27+E27+G27</f>
        <v>73001.6956068636</v>
      </c>
      <c r="Z27" s="49" t="n">
        <f aca="false">X27-Y27</f>
        <v>109180.649718283</v>
      </c>
      <c r="AA27" s="20" t="n">
        <f aca="false">'Fixed Costs'!$G$31/52</f>
        <v>25332.6923076923</v>
      </c>
      <c r="AB27" s="49" t="n">
        <f aca="false">Z27-AA27</f>
        <v>83847.9574105905</v>
      </c>
      <c r="AC27" s="21" t="n">
        <f aca="false">L27*Baseline!G27</f>
        <v>5081.25111645868</v>
      </c>
    </row>
    <row r="28" customFormat="false" ht="15" hidden="false" customHeight="false" outlineLevel="0" collapsed="false">
      <c r="A28" s="13" t="n">
        <v>23</v>
      </c>
      <c r="B28" s="14" t="str">
        <f aca="false">Calendar!D28</f>
        <v>P6</v>
      </c>
      <c r="C28" s="20" t="n">
        <f aca="false">IF('Media Plan'!D28&lt;&gt;"",'Media Plan'!D28,Assumptions!$D$10*Baseline!T28)</f>
        <v>43207.1989202558</v>
      </c>
      <c r="D28" s="21" t="n">
        <f aca="false">IFERROR(C28/(Baseline!H28*(1+Assumptions!$E$13)*IFERROR(MAX(0,C28)/'History Y-1'!P28,1)^Assumptions!$E$14),0)</f>
        <v>89306.8666762972</v>
      </c>
      <c r="E28" s="20" t="n">
        <f aca="false">IF('Media Plan'!J28&lt;&gt;"",'Media Plan'!J28,Assumptions!$D$11*Baseline!U28)</f>
        <v>21451.1279316274</v>
      </c>
      <c r="F28" s="21" t="n">
        <f aca="false">IFERROR(E28/(Baseline!I28*(1+Assumptions!$E$13)*IFERROR(MAX(0,E28)/'History Y-1'!Q28,1)^Assumptions!$E$15),0)</f>
        <v>57888.4758309089</v>
      </c>
      <c r="G28" s="20" t="n">
        <f aca="false">IF('Media Plan'!P28&lt;&gt;"",'Media Plan'!P28,Assumptions!$D$12*Baseline!V28)</f>
        <v>4482.24269793049</v>
      </c>
      <c r="H28" s="21" t="n">
        <f aca="false">IFERROR(G28/(Baseline!J28*(1+Assumptions!$E$13)*IFERROR(MAX(0,G28)/'History Y-1'!R28,1)^Assumptions!$E$16),0)</f>
        <v>19585.605733569</v>
      </c>
      <c r="I28" s="21" t="n">
        <f aca="false">'History Y-1'!$F$58*(1+Assumptions!$E$6)*Baseline!Q28+'History Y-1'!$G$58*(1+Assumptions!$E$7)*Baseline!R28+J28</f>
        <v>225304.195454156</v>
      </c>
      <c r="J28" s="21" t="n">
        <f aca="false">'History Y-1'!$H$58*(1+Assumptions!$E$8)*Baseline!S28</f>
        <v>25791.3665874696</v>
      </c>
      <c r="K28" s="55" t="n">
        <f aca="false">D28+F28+H28+I28</f>
        <v>392085.143694931</v>
      </c>
      <c r="L28" s="21" t="n">
        <f aca="false">K28*Baseline!B28*(1+Assumptions!$E$18)*(1+Calendar!G28)</f>
        <v>9702.46661244457</v>
      </c>
      <c r="M28" s="20" t="n">
        <f aca="false">L28*Baseline!C28*(1+Assumptions!$E$19)</f>
        <v>684572.982539614</v>
      </c>
      <c r="N28" s="31" t="n">
        <f aca="false">MAX(0,MIN(0.9,Baseline!E28+Assumptions!$E$20))</f>
        <v>0.2694697297588</v>
      </c>
      <c r="O28" s="31" t="n">
        <f aca="false">MAX(0,Baseline!F28+Assumptions!$E$21)</f>
        <v>0.231339203714735</v>
      </c>
      <c r="P28" s="49" t="n">
        <f aca="false">M28*O28</f>
        <v>158368.568665335</v>
      </c>
      <c r="Q28" s="49" t="n">
        <f aca="false">M28-P28</f>
        <v>526204.413874279</v>
      </c>
      <c r="R28" s="21" t="n">
        <f aca="false">L28*Baseline!D28</f>
        <v>18488.6095435088</v>
      </c>
      <c r="S28" s="21" t="n">
        <f aca="false">IFERROR(P28/(Baseline!C28*(1+Assumptions!$E$19)),0)</f>
        <v>2244.56090019173</v>
      </c>
      <c r="T28" s="20" t="n">
        <f aca="false">Q28/(1-N28)*(1-Assumptions!$E$23)</f>
        <v>273715.799902728</v>
      </c>
      <c r="U28" s="20" t="n">
        <f aca="false">P28/(1-N28)*(1-Assumptions!$E$23)*Assumptions!$E$24</f>
        <v>3295.14373568437</v>
      </c>
      <c r="V28" s="49" t="n">
        <f aca="false">Q28-T28-U28</f>
        <v>249193.470235867</v>
      </c>
      <c r="W28" s="20" t="n">
        <f aca="false">T28*Assumptions!$E$25+L28*(Assumptions!$E$27-Assumptions!$E$28+Assumptions!$E$29+Assumptions!$E$36*Assumptions!$E$37)+R28*Assumptions!$E$30+S28*(Assumptions!$E$31+Assumptions!$E$32)+M28*(Assumptions!$E$33+Assumptions!$E$38)+IFERROR(M28*J28/K28,0)*Assumptions!$E$35*Assumptions!$E$34</f>
        <v>83494.8618562078</v>
      </c>
      <c r="X28" s="49" t="n">
        <f aca="false">V28-W28</f>
        <v>165698.608379659</v>
      </c>
      <c r="Y28" s="49" t="n">
        <f aca="false">C28+E28+G28</f>
        <v>69140.5695498138</v>
      </c>
      <c r="Z28" s="49" t="n">
        <f aca="false">X28-Y28</f>
        <v>96558.038829845</v>
      </c>
      <c r="AA28" s="20" t="n">
        <f aca="false">'Fixed Costs'!$G$31/52</f>
        <v>25332.6923076923</v>
      </c>
      <c r="AB28" s="49" t="n">
        <f aca="false">Z28-AA28</f>
        <v>71225.3465221527</v>
      </c>
      <c r="AC28" s="21" t="n">
        <f aca="false">L28*Baseline!G28</f>
        <v>4414.86879509739</v>
      </c>
    </row>
    <row r="29" customFormat="false" ht="15" hidden="false" customHeight="false" outlineLevel="0" collapsed="false">
      <c r="A29" s="13" t="n">
        <v>24</v>
      </c>
      <c r="B29" s="14" t="str">
        <f aca="false">Calendar!D29</f>
        <v>P6</v>
      </c>
      <c r="C29" s="20" t="n">
        <f aca="false">IF('Media Plan'!D29&lt;&gt;"",'Media Plan'!D29,Assumptions!$D$10*Baseline!T29)</f>
        <v>33639.186052896</v>
      </c>
      <c r="D29" s="21" t="n">
        <f aca="false">IFERROR(C29/(Baseline!H29*(1+Assumptions!$E$13)*IFERROR(MAX(0,C29)/'History Y-1'!P29,1)^Assumptions!$E$14),0)</f>
        <v>70665.7387470022</v>
      </c>
      <c r="E29" s="20" t="n">
        <f aca="false">IF('Media Plan'!J29&lt;&gt;"",'Media Plan'!J29,Assumptions!$D$11*Baseline!U29)</f>
        <v>17685.7348941447</v>
      </c>
      <c r="F29" s="21" t="n">
        <f aca="false">IFERROR(E29/(Baseline!I29*(1+Assumptions!$E$13)*IFERROR(MAX(0,E29)/'History Y-1'!Q29,1)^Assumptions!$E$15),0)</f>
        <v>49256.1117154958</v>
      </c>
      <c r="G29" s="20" t="n">
        <f aca="false">IF('Media Plan'!P29&lt;&gt;"",'Media Plan'!P29,Assumptions!$D$12*Baseline!V29)</f>
        <v>3676.43249287437</v>
      </c>
      <c r="H29" s="21" t="n">
        <f aca="false">IFERROR(G29/(Baseline!J29*(1+Assumptions!$E$13)*IFERROR(MAX(0,G29)/'History Y-1'!R29,1)^Assumptions!$E$16),0)</f>
        <v>15562.9716204404</v>
      </c>
      <c r="I29" s="21" t="n">
        <f aca="false">'History Y-1'!$F$58*(1+Assumptions!$E$6)*Baseline!Q29+'History Y-1'!$G$58*(1+Assumptions!$E$7)*Baseline!R29+J29</f>
        <v>181261.603175351</v>
      </c>
      <c r="J29" s="21" t="n">
        <f aca="false">'History Y-1'!$H$58*(1+Assumptions!$E$8)*Baseline!S29</f>
        <v>22140.6366769917</v>
      </c>
      <c r="K29" s="55" t="n">
        <f aca="false">D29+F29+H29+I29</f>
        <v>316746.425258289</v>
      </c>
      <c r="L29" s="21" t="n">
        <f aca="false">K29*Baseline!B29*(1+Assumptions!$E$18)*(1+Calendar!G29)</f>
        <v>7020.92813401428</v>
      </c>
      <c r="M29" s="20" t="n">
        <f aca="false">L29*Baseline!C29*(1+Assumptions!$E$19)</f>
        <v>548638.671929857</v>
      </c>
      <c r="N29" s="31" t="n">
        <f aca="false">MAX(0,MIN(0.9,Baseline!E29+Assumptions!$E$20))</f>
        <v>0.0693164676105139</v>
      </c>
      <c r="O29" s="31" t="n">
        <f aca="false">MAX(0,Baseline!F29+Assumptions!$E$21)</f>
        <v>0.255305443688819</v>
      </c>
      <c r="P29" s="49" t="n">
        <f aca="false">M29*O29</f>
        <v>140070.439561897</v>
      </c>
      <c r="Q29" s="49" t="n">
        <f aca="false">M29-P29</f>
        <v>408568.23236796</v>
      </c>
      <c r="R29" s="21" t="n">
        <f aca="false">L29*Baseline!D29</f>
        <v>13297.9990112288</v>
      </c>
      <c r="S29" s="21" t="n">
        <f aca="false">IFERROR(P29/(Baseline!C29*(1+Assumptions!$E$19)),0)</f>
        <v>1792.48117236183</v>
      </c>
      <c r="T29" s="20" t="n">
        <f aca="false">Q29/(1-N29)*(1-Assumptions!$E$23)</f>
        <v>166819.249397497</v>
      </c>
      <c r="U29" s="20" t="n">
        <f aca="false">P29/(1-N29)*(1-Assumptions!$E$23)*Assumptions!$E$24</f>
        <v>2287.64193976285</v>
      </c>
      <c r="V29" s="49" t="n">
        <f aca="false">Q29-T29-U29</f>
        <v>239461.341030701</v>
      </c>
      <c r="W29" s="20" t="n">
        <f aca="false">T29*Assumptions!$E$25+L29*(Assumptions!$E$27-Assumptions!$E$28+Assumptions!$E$29+Assumptions!$E$36*Assumptions!$E$37)+R29*Assumptions!$E$30+S29*(Assumptions!$E$31+Assumptions!$E$32)+M29*(Assumptions!$E$33+Assumptions!$E$38)+IFERROR(M29*J29/K29,0)*Assumptions!$E$35*Assumptions!$E$34</f>
        <v>61441.8455721919</v>
      </c>
      <c r="X29" s="49" t="n">
        <f aca="false">V29-W29</f>
        <v>178019.495458509</v>
      </c>
      <c r="Y29" s="49" t="n">
        <f aca="false">C29+E29+G29</f>
        <v>55001.353439915</v>
      </c>
      <c r="Z29" s="49" t="n">
        <f aca="false">X29-Y29</f>
        <v>123018.142018594</v>
      </c>
      <c r="AA29" s="20" t="n">
        <f aca="false">'Fixed Costs'!$G$31/52</f>
        <v>25332.6923076923</v>
      </c>
      <c r="AB29" s="49" t="n">
        <f aca="false">Z29-AA29</f>
        <v>97685.4497109015</v>
      </c>
      <c r="AC29" s="21" t="n">
        <f aca="false">L29*Baseline!G29</f>
        <v>2456.88184410317</v>
      </c>
    </row>
    <row r="30" customFormat="false" ht="15" hidden="false" customHeight="false" outlineLevel="0" collapsed="false">
      <c r="A30" s="13" t="n">
        <v>25</v>
      </c>
      <c r="B30" s="14" t="str">
        <f aca="false">Calendar!D30</f>
        <v>P6</v>
      </c>
      <c r="C30" s="20" t="n">
        <f aca="false">IF('Media Plan'!D30&lt;&gt;"",'Media Plan'!D30,Assumptions!$D$10*Baseline!T30)</f>
        <v>33630.7318701755</v>
      </c>
      <c r="D30" s="21" t="n">
        <f aca="false">IFERROR(C30/(Baseline!H30*(1+Assumptions!$E$13)*IFERROR(MAX(0,C30)/'History Y-1'!P30,1)^Assumptions!$E$14),0)</f>
        <v>68417.3197614198</v>
      </c>
      <c r="E30" s="20" t="n">
        <f aca="false">IF('Media Plan'!J30&lt;&gt;"",'Media Plan'!J30,Assumptions!$D$11*Baseline!U30)</f>
        <v>16557.862598784</v>
      </c>
      <c r="F30" s="21" t="n">
        <f aca="false">IFERROR(E30/(Baseline!I30*(1+Assumptions!$E$13)*IFERROR(MAX(0,E30)/'History Y-1'!Q30,1)^Assumptions!$E$15),0)</f>
        <v>46064.3972043658</v>
      </c>
      <c r="G30" s="20" t="n">
        <f aca="false">IF('Media Plan'!P30&lt;&gt;"",'Media Plan'!P30,Assumptions!$D$12*Baseline!V30)</f>
        <v>3312.94132658682</v>
      </c>
      <c r="H30" s="21" t="n">
        <f aca="false">IFERROR(G30/(Baseline!J30*(1+Assumptions!$E$13)*IFERROR(MAX(0,G30)/'History Y-1'!R30,1)^Assumptions!$E$16),0)</f>
        <v>14165.3868548317</v>
      </c>
      <c r="I30" s="21" t="n">
        <f aca="false">'History Y-1'!$F$58*(1+Assumptions!$E$6)*Baseline!Q30+'History Y-1'!$G$58*(1+Assumptions!$E$7)*Baseline!R30+J30</f>
        <v>167869.224114693</v>
      </c>
      <c r="J30" s="21" t="n">
        <f aca="false">'History Y-1'!$H$58*(1+Assumptions!$E$8)*Baseline!S30</f>
        <v>20156.7074694092</v>
      </c>
      <c r="K30" s="55" t="n">
        <f aca="false">D30+F30+H30+I30</f>
        <v>296516.32793531</v>
      </c>
      <c r="L30" s="21" t="n">
        <f aca="false">K30*Baseline!B30*(1+Assumptions!$E$18)*(1+Calendar!G30)</f>
        <v>6541.07602624984</v>
      </c>
      <c r="M30" s="20" t="n">
        <f aca="false">L30*Baseline!C30*(1+Assumptions!$E$19)</f>
        <v>506231.63608061</v>
      </c>
      <c r="N30" s="31" t="n">
        <f aca="false">MAX(0,MIN(0.9,Baseline!E30+Assumptions!$E$20))</f>
        <v>0.0703434389459937</v>
      </c>
      <c r="O30" s="31" t="n">
        <f aca="false">MAX(0,Baseline!F30+Assumptions!$E$21)</f>
        <v>0.252845116516355</v>
      </c>
      <c r="P30" s="49" t="n">
        <f aca="false">M30*O30</f>
        <v>127998.197009067</v>
      </c>
      <c r="Q30" s="49" t="n">
        <f aca="false">M30-P30</f>
        <v>378233.439071543</v>
      </c>
      <c r="R30" s="21" t="n">
        <f aca="false">L30*Baseline!D30</f>
        <v>12153.8312074972</v>
      </c>
      <c r="S30" s="21" t="n">
        <f aca="false">IFERROR(P30/(Baseline!C30*(1+Assumptions!$E$19)),0)</f>
        <v>1653.87912999948</v>
      </c>
      <c r="T30" s="20" t="n">
        <f aca="false">Q30/(1-N30)*(1-Assumptions!$E$23)</f>
        <v>154604.090229012</v>
      </c>
      <c r="U30" s="20" t="n">
        <f aca="false">P30/(1-N30)*(1-Assumptions!$E$23)*Assumptions!$E$24</f>
        <v>2092.78638590148</v>
      </c>
      <c r="V30" s="49" t="n">
        <f aca="false">Q30-T30-U30</f>
        <v>221536.56245663</v>
      </c>
      <c r="W30" s="20" t="n">
        <f aca="false">T30*Assumptions!$E$25+L30*(Assumptions!$E$27-Assumptions!$E$28+Assumptions!$E$29+Assumptions!$E$36*Assumptions!$E$37)+R30*Assumptions!$E$30+S30*(Assumptions!$E$31+Assumptions!$E$32)+M30*(Assumptions!$E$33+Assumptions!$E$38)+IFERROR(M30*J30/K30,0)*Assumptions!$E$35*Assumptions!$E$34</f>
        <v>56779.2725020122</v>
      </c>
      <c r="X30" s="49" t="n">
        <f aca="false">V30-W30</f>
        <v>164757.289954617</v>
      </c>
      <c r="Y30" s="49" t="n">
        <f aca="false">C30+E30+G30</f>
        <v>53501.5357955463</v>
      </c>
      <c r="Z30" s="49" t="n">
        <f aca="false">X30-Y30</f>
        <v>111255.754159071</v>
      </c>
      <c r="AA30" s="20" t="n">
        <f aca="false">'Fixed Costs'!$G$31/52</f>
        <v>25332.6923076923</v>
      </c>
      <c r="AB30" s="49" t="n">
        <f aca="false">Z30-AA30</f>
        <v>85923.0618513789</v>
      </c>
      <c r="AC30" s="21" t="n">
        <f aca="false">L30*Baseline!G30</f>
        <v>2331.46972539805</v>
      </c>
    </row>
    <row r="31" customFormat="false" ht="15" hidden="false" customHeight="false" outlineLevel="0" collapsed="false">
      <c r="A31" s="13" t="n">
        <v>26</v>
      </c>
      <c r="B31" s="14" t="str">
        <f aca="false">Calendar!D31</f>
        <v>P6</v>
      </c>
      <c r="C31" s="20" t="n">
        <f aca="false">IF('Media Plan'!D31&lt;&gt;"",'Media Plan'!D31,Assumptions!$D$10*Baseline!T31)</f>
        <v>31796.9707762656</v>
      </c>
      <c r="D31" s="21" t="n">
        <f aca="false">IFERROR(C31/(Baseline!H31*(1+Assumptions!$E$13)*IFERROR(MAX(0,C31)/'History Y-1'!P31,1)^Assumptions!$E$14),0)</f>
        <v>77196.3699059012</v>
      </c>
      <c r="E31" s="20" t="n">
        <f aca="false">IF('Media Plan'!J31&lt;&gt;"",'Media Plan'!J31,Assumptions!$D$11*Baseline!U31)</f>
        <v>15418.8323723527</v>
      </c>
      <c r="F31" s="21" t="n">
        <f aca="false">IFERROR(E31/(Baseline!I31*(1+Assumptions!$E$13)*IFERROR(MAX(0,E31)/'History Y-1'!Q31,1)^Assumptions!$E$15),0)</f>
        <v>49560.4422399148</v>
      </c>
      <c r="G31" s="20" t="n">
        <f aca="false">IF('Media Plan'!P31&lt;&gt;"",'Media Plan'!P31,Assumptions!$D$12*Baseline!V31)</f>
        <v>3424.7906301188</v>
      </c>
      <c r="H31" s="21" t="n">
        <f aca="false">IFERROR(G31/(Baseline!J31*(1+Assumptions!$E$13)*IFERROR(MAX(0,G31)/'History Y-1'!R31,1)^Assumptions!$E$16),0)</f>
        <v>15867.4410040313</v>
      </c>
      <c r="I31" s="21" t="n">
        <f aca="false">'History Y-1'!$F$58*(1+Assumptions!$E$6)*Baseline!Q31+'History Y-1'!$G$58*(1+Assumptions!$E$7)*Baseline!R31+J31</f>
        <v>169649.886836881</v>
      </c>
      <c r="J31" s="21" t="n">
        <f aca="false">'History Y-1'!$H$58*(1+Assumptions!$E$8)*Baseline!S31</f>
        <v>19069.571754595</v>
      </c>
      <c r="K31" s="55" t="n">
        <f aca="false">D31+F31+H31+I31</f>
        <v>312274.139986728</v>
      </c>
      <c r="L31" s="21" t="n">
        <f aca="false">K31*Baseline!B31*(1+Assumptions!$E$18)*(1+Calendar!G31)</f>
        <v>6855.44817778474</v>
      </c>
      <c r="M31" s="20" t="n">
        <f aca="false">L31*Baseline!C31*(1+Assumptions!$E$19)</f>
        <v>521597.411583435</v>
      </c>
      <c r="N31" s="31" t="n">
        <f aca="false">MAX(0,MIN(0.9,Baseline!E31+Assumptions!$E$20))</f>
        <v>0.0717133222325721</v>
      </c>
      <c r="O31" s="31" t="n">
        <f aca="false">MAX(0,Baseline!F31+Assumptions!$E$21)</f>
        <v>0.25174463182299</v>
      </c>
      <c r="P31" s="49" t="n">
        <f aca="false">M31*O31</f>
        <v>131309.348338897</v>
      </c>
      <c r="Q31" s="49" t="n">
        <f aca="false">M31-P31</f>
        <v>390288.063244538</v>
      </c>
      <c r="R31" s="21" t="n">
        <f aca="false">L31*Baseline!D31</f>
        <v>13029.961626745</v>
      </c>
      <c r="S31" s="21" t="n">
        <f aca="false">IFERROR(P31/(Baseline!C31*(1+Assumptions!$E$19)),0)</f>
        <v>1725.82227749801</v>
      </c>
      <c r="T31" s="20" t="n">
        <f aca="false">Q31/(1-N31)*(1-Assumptions!$E$23)</f>
        <v>159766.87760899</v>
      </c>
      <c r="U31" s="20" t="n">
        <f aca="false">P31/(1-N31)*(1-Assumptions!$E$23)*Assumptions!$E$24</f>
        <v>2150.09236107047</v>
      </c>
      <c r="V31" s="49" t="n">
        <f aca="false">Q31-T31-U31</f>
        <v>228371.093274478</v>
      </c>
      <c r="W31" s="20" t="n">
        <f aca="false">T31*Assumptions!$E$25+L31*(Assumptions!$E$27-Assumptions!$E$28+Assumptions!$E$29+Assumptions!$E$36*Assumptions!$E$37)+R31*Assumptions!$E$30+S31*(Assumptions!$E$31+Assumptions!$E$32)+M31*(Assumptions!$E$33+Assumptions!$E$38)+IFERROR(M31*J31/K31,0)*Assumptions!$E$35*Assumptions!$E$34</f>
        <v>59197.3290608587</v>
      </c>
      <c r="X31" s="49" t="n">
        <f aca="false">V31-W31</f>
        <v>169173.764213619</v>
      </c>
      <c r="Y31" s="49" t="n">
        <f aca="false">C31+E31+G31</f>
        <v>50640.5937787372</v>
      </c>
      <c r="Z31" s="49" t="n">
        <f aca="false">X31-Y31</f>
        <v>118533.170434882</v>
      </c>
      <c r="AA31" s="20" t="n">
        <f aca="false">'Fixed Costs'!$G$31/52</f>
        <v>25332.6923076923</v>
      </c>
      <c r="AB31" s="49" t="n">
        <f aca="false">Z31-AA31</f>
        <v>93200.4781271897</v>
      </c>
      <c r="AC31" s="21" t="n">
        <f aca="false">L31*Baseline!G31</f>
        <v>2412.52854576105</v>
      </c>
    </row>
    <row r="32" customFormat="false" ht="15" hidden="false" customHeight="false" outlineLevel="0" collapsed="false">
      <c r="A32" s="13" t="n">
        <v>27</v>
      </c>
      <c r="B32" s="14" t="str">
        <f aca="false">Calendar!D32</f>
        <v>P7</v>
      </c>
      <c r="C32" s="20" t="n">
        <f aca="false">IF('Media Plan'!D32&lt;&gt;"",'Media Plan'!D32,Assumptions!$D$10*Baseline!T32)</f>
        <v>30471.4784589324</v>
      </c>
      <c r="D32" s="21" t="n">
        <f aca="false">IFERROR(C32/(Baseline!H32*(1+Assumptions!$E$13)*IFERROR(MAX(0,C32)/'History Y-1'!P32,1)^Assumptions!$E$14),0)</f>
        <v>66523.6640063841</v>
      </c>
      <c r="E32" s="20" t="n">
        <f aca="false">IF('Media Plan'!J32&lt;&gt;"",'Media Plan'!J32,Assumptions!$D$11*Baseline!U32)</f>
        <v>15932.0680902872</v>
      </c>
      <c r="F32" s="21" t="n">
        <f aca="false">IFERROR(E32/(Baseline!I32*(1+Assumptions!$E$13)*IFERROR(MAX(0,E32)/'History Y-1'!Q32,1)^Assumptions!$E$15),0)</f>
        <v>44432.3792136355</v>
      </c>
      <c r="G32" s="20" t="n">
        <f aca="false">IF('Media Plan'!P32&lt;&gt;"",'Media Plan'!P32,Assumptions!$D$12*Baseline!V32)</f>
        <v>3273.2308415105</v>
      </c>
      <c r="H32" s="21" t="n">
        <f aca="false">IFERROR(G32/(Baseline!J32*(1+Assumptions!$E$13)*IFERROR(MAX(0,G32)/'History Y-1'!R32,1)^Assumptions!$E$16),0)</f>
        <v>14268.1641218817</v>
      </c>
      <c r="I32" s="21" t="n">
        <f aca="false">'History Y-1'!$F$58*(1+Assumptions!$E$6)*Baseline!Q32+'History Y-1'!$G$58*(1+Assumptions!$E$7)*Baseline!R32+J32</f>
        <v>165140.327497525</v>
      </c>
      <c r="J32" s="21" t="n">
        <f aca="false">'History Y-1'!$H$58*(1+Assumptions!$E$8)*Baseline!S32</f>
        <v>18648.8469910509</v>
      </c>
      <c r="K32" s="55" t="n">
        <f aca="false">D32+F32+H32+I32</f>
        <v>290364.534839426</v>
      </c>
      <c r="L32" s="21" t="n">
        <f aca="false">K32*Baseline!B32*(1+Assumptions!$E$18)*(1+Calendar!G32)</f>
        <v>6245.1041848063</v>
      </c>
      <c r="M32" s="20" t="n">
        <f aca="false">L32*Baseline!C32*(1+Assumptions!$E$19)</f>
        <v>483541.003967206</v>
      </c>
      <c r="N32" s="31" t="n">
        <f aca="false">MAX(0,MIN(0.9,Baseline!E32+Assumptions!$E$20))</f>
        <v>0.0681086219025122</v>
      </c>
      <c r="O32" s="31" t="n">
        <f aca="false">MAX(0,Baseline!F32+Assumptions!$E$21)</f>
        <v>0.260015834022456</v>
      </c>
      <c r="P32" s="49" t="n">
        <f aca="false">M32*O32</f>
        <v>125728.317430589</v>
      </c>
      <c r="Q32" s="49" t="n">
        <f aca="false">M32-P32</f>
        <v>357812.686536617</v>
      </c>
      <c r="R32" s="21" t="n">
        <f aca="false">L32*Baseline!D32</f>
        <v>12066.9763089718</v>
      </c>
      <c r="S32" s="21" t="n">
        <f aca="false">IFERROR(P32/(Baseline!C32*(1+Assumptions!$E$19)),0)</f>
        <v>1623.82597316954</v>
      </c>
      <c r="T32" s="20" t="n">
        <f aca="false">Q32/(1-N32)*(1-Assumptions!$E$23)</f>
        <v>145906.297750606</v>
      </c>
      <c r="U32" s="20" t="n">
        <f aca="false">P32/(1-N32)*(1-Assumptions!$E$23)*Assumptions!$E$24</f>
        <v>2050.74375604431</v>
      </c>
      <c r="V32" s="49" t="n">
        <f aca="false">Q32-T32-U32</f>
        <v>209855.645029967</v>
      </c>
      <c r="W32" s="20" t="n">
        <f aca="false">T32*Assumptions!$E$25+L32*(Assumptions!$E$27-Assumptions!$E$28+Assumptions!$E$29+Assumptions!$E$36*Assumptions!$E$37)+R32*Assumptions!$E$30+S32*(Assumptions!$E$31+Assumptions!$E$32)+M32*(Assumptions!$E$33+Assumptions!$E$38)+IFERROR(M32*J32/K32,0)*Assumptions!$E$35*Assumptions!$E$34</f>
        <v>54611.9462538288</v>
      </c>
      <c r="X32" s="49" t="n">
        <f aca="false">V32-W32</f>
        <v>155243.698776138</v>
      </c>
      <c r="Y32" s="49" t="n">
        <f aca="false">C32+E32+G32</f>
        <v>49676.7773907301</v>
      </c>
      <c r="Z32" s="49" t="n">
        <f aca="false">X32-Y32</f>
        <v>105566.921385408</v>
      </c>
      <c r="AA32" s="20" t="n">
        <f aca="false">'Fixed Costs'!$G$31/52</f>
        <v>25332.6923076923</v>
      </c>
      <c r="AB32" s="49" t="n">
        <f aca="false">Z32-AA32</f>
        <v>80234.2290777158</v>
      </c>
      <c r="AC32" s="21" t="n">
        <f aca="false">L32*Baseline!G32</f>
        <v>2225.82184467545</v>
      </c>
    </row>
    <row r="33" customFormat="false" ht="15" hidden="false" customHeight="false" outlineLevel="0" collapsed="false">
      <c r="A33" s="13" t="n">
        <v>28</v>
      </c>
      <c r="B33" s="14" t="str">
        <f aca="false">Calendar!D33</f>
        <v>P7</v>
      </c>
      <c r="C33" s="20" t="n">
        <f aca="false">IF('Media Plan'!D33&lt;&gt;"",'Media Plan'!D33,Assumptions!$D$10*Baseline!T33)</f>
        <v>33339.7864116588</v>
      </c>
      <c r="D33" s="21" t="n">
        <f aca="false">IFERROR(C33/(Baseline!H33*(1+Assumptions!$E$13)*IFERROR(MAX(0,C33)/'History Y-1'!P33,1)^Assumptions!$E$14),0)</f>
        <v>70852.4178994363</v>
      </c>
      <c r="E33" s="20" t="n">
        <f aca="false">IF('Media Plan'!J33&lt;&gt;"",'Media Plan'!J33,Assumptions!$D$11*Baseline!U33)</f>
        <v>16317.4663326015</v>
      </c>
      <c r="F33" s="21" t="n">
        <f aca="false">IFERROR(E33/(Baseline!I33*(1+Assumptions!$E$13)*IFERROR(MAX(0,E33)/'History Y-1'!Q33,1)^Assumptions!$E$15),0)</f>
        <v>44771.8069934556</v>
      </c>
      <c r="G33" s="20" t="n">
        <f aca="false">IF('Media Plan'!P33&lt;&gt;"",'Media Plan'!P33,Assumptions!$D$12*Baseline!V33)</f>
        <v>3204.43360906288</v>
      </c>
      <c r="H33" s="21" t="n">
        <f aca="false">IFERROR(G33/(Baseline!J33*(1+Assumptions!$E$13)*IFERROR(MAX(0,G33)/'History Y-1'!R33,1)^Assumptions!$E$16),0)</f>
        <v>13817.1011432253</v>
      </c>
      <c r="I33" s="21" t="n">
        <f aca="false">'History Y-1'!$F$58*(1+Assumptions!$E$6)*Baseline!Q33+'History Y-1'!$G$58*(1+Assumptions!$E$7)*Baseline!R33+J33</f>
        <v>168959.204938285</v>
      </c>
      <c r="J33" s="21" t="n">
        <f aca="false">'History Y-1'!$H$58*(1+Assumptions!$E$8)*Baseline!S33</f>
        <v>19237.5620265012</v>
      </c>
      <c r="K33" s="55" t="n">
        <f aca="false">D33+F33+H33+I33</f>
        <v>298400.530974402</v>
      </c>
      <c r="L33" s="21" t="n">
        <f aca="false">K33*Baseline!B33*(1+Assumptions!$E$18)*(1+Calendar!G33)</f>
        <v>6672.83896116067</v>
      </c>
      <c r="M33" s="20" t="n">
        <f aca="false">L33*Baseline!C33*(1+Assumptions!$E$19)</f>
        <v>526863.16828097</v>
      </c>
      <c r="N33" s="31" t="n">
        <f aca="false">MAX(0,MIN(0.9,Baseline!E33+Assumptions!$E$20))</f>
        <v>0.0689088636414021</v>
      </c>
      <c r="O33" s="31" t="n">
        <f aca="false">MAX(0,Baseline!F33+Assumptions!$E$21)</f>
        <v>0.241476425566013</v>
      </c>
      <c r="P33" s="49" t="n">
        <f aca="false">M33*O33</f>
        <v>127225.034638873</v>
      </c>
      <c r="Q33" s="49" t="n">
        <f aca="false">M33-P33</f>
        <v>399638.133642097</v>
      </c>
      <c r="R33" s="21" t="n">
        <f aca="false">L33*Baseline!D33</f>
        <v>12504.5003005545</v>
      </c>
      <c r="S33" s="21" t="n">
        <f aca="false">IFERROR(P33/(Baseline!C33*(1+Assumptions!$E$19)),0)</f>
        <v>1611.3333007187</v>
      </c>
      <c r="T33" s="20" t="n">
        <f aca="false">Q33/(1-N33)*(1-Assumptions!$E$23)</f>
        <v>163101.63941407</v>
      </c>
      <c r="U33" s="20" t="n">
        <f aca="false">P33/(1-N33)*(1-Assumptions!$E$23)*Assumptions!$E$24</f>
        <v>2076.94010929354</v>
      </c>
      <c r="V33" s="49" t="n">
        <f aca="false">Q33-T33-U33</f>
        <v>234459.554118733</v>
      </c>
      <c r="W33" s="20" t="n">
        <f aca="false">T33*Assumptions!$E$25+L33*(Assumptions!$E$27-Assumptions!$E$28+Assumptions!$E$29+Assumptions!$E$36*Assumptions!$E$37)+R33*Assumptions!$E$30+S33*(Assumptions!$E$31+Assumptions!$E$32)+M33*(Assumptions!$E$33+Assumptions!$E$38)+IFERROR(M33*J33/K33,0)*Assumptions!$E$35*Assumptions!$E$34</f>
        <v>57920.7055328699</v>
      </c>
      <c r="X33" s="49" t="n">
        <f aca="false">V33-W33</f>
        <v>176538.848585863</v>
      </c>
      <c r="Y33" s="49" t="n">
        <f aca="false">C33+E33+G33</f>
        <v>52861.6863533232</v>
      </c>
      <c r="Z33" s="49" t="n">
        <f aca="false">X33-Y33</f>
        <v>123677.16223254</v>
      </c>
      <c r="AA33" s="20" t="n">
        <f aca="false">'Fixed Costs'!$G$31/52</f>
        <v>25332.6923076923</v>
      </c>
      <c r="AB33" s="49" t="n">
        <f aca="false">Z33-AA33</f>
        <v>98344.4699248476</v>
      </c>
      <c r="AC33" s="21" t="n">
        <f aca="false">L33*Baseline!G33</f>
        <v>2270.60920084878</v>
      </c>
    </row>
    <row r="34" customFormat="false" ht="15" hidden="false" customHeight="false" outlineLevel="0" collapsed="false">
      <c r="A34" s="13" t="n">
        <v>29</v>
      </c>
      <c r="B34" s="14" t="str">
        <f aca="false">Calendar!D34</f>
        <v>P7</v>
      </c>
      <c r="C34" s="20" t="n">
        <f aca="false">IF('Media Plan'!D34&lt;&gt;"",'Media Plan'!D34,Assumptions!$D$10*Baseline!T34)</f>
        <v>32575.883780938</v>
      </c>
      <c r="D34" s="21" t="n">
        <f aca="false">IFERROR(C34/(Baseline!H34*(1+Assumptions!$E$13)*IFERROR(MAX(0,C34)/'History Y-1'!P34,1)^Assumptions!$E$14),0)</f>
        <v>69168.4442741256</v>
      </c>
      <c r="E34" s="20" t="n">
        <f aca="false">IF('Media Plan'!J34&lt;&gt;"",'Media Plan'!J34,Assumptions!$D$11*Baseline!U34)</f>
        <v>15438.4585087709</v>
      </c>
      <c r="F34" s="21" t="n">
        <f aca="false">IFERROR(E34/(Baseline!I34*(1+Assumptions!$E$13)*IFERROR(MAX(0,E34)/'History Y-1'!Q34,1)^Assumptions!$E$15),0)</f>
        <v>43409.669363472</v>
      </c>
      <c r="G34" s="20" t="n">
        <f aca="false">IF('Media Plan'!P34&lt;&gt;"",'Media Plan'!P34,Assumptions!$D$12*Baseline!V34)</f>
        <v>3169.28017167921</v>
      </c>
      <c r="H34" s="21" t="n">
        <f aca="false">IFERROR(G34/(Baseline!J34*(1+Assumptions!$E$13)*IFERROR(MAX(0,G34)/'History Y-1'!R34,1)^Assumptions!$E$16),0)</f>
        <v>13753.2565885996</v>
      </c>
      <c r="I34" s="21" t="n">
        <f aca="false">'History Y-1'!$F$58*(1+Assumptions!$E$6)*Baseline!Q34+'History Y-1'!$G$58*(1+Assumptions!$E$7)*Baseline!R34+J34</f>
        <v>169994.753323844</v>
      </c>
      <c r="J34" s="21" t="n">
        <f aca="false">'History Y-1'!$H$58*(1+Assumptions!$E$8)*Baseline!S34</f>
        <v>18957.9548854928</v>
      </c>
      <c r="K34" s="55" t="n">
        <f aca="false">D34+F34+H34+I34</f>
        <v>296326.123550042</v>
      </c>
      <c r="L34" s="21" t="n">
        <f aca="false">K34*Baseline!B34*(1+Assumptions!$E$18)*(1+Calendar!G34)</f>
        <v>6560.64272575544</v>
      </c>
      <c r="M34" s="20" t="n">
        <f aca="false">L34*Baseline!C34*(1+Assumptions!$E$19)</f>
        <v>506592.719727993</v>
      </c>
      <c r="N34" s="31" t="n">
        <f aca="false">MAX(0,MIN(0.9,Baseline!E34+Assumptions!$E$20))</f>
        <v>0.0723381157421977</v>
      </c>
      <c r="O34" s="31" t="n">
        <f aca="false">MAX(0,Baseline!F34+Assumptions!$E$21)</f>
        <v>0.253445798809196</v>
      </c>
      <c r="P34" s="49" t="n">
        <f aca="false">M34*O34</f>
        <v>128393.796522384</v>
      </c>
      <c r="Q34" s="49" t="n">
        <f aca="false">M34-P34</f>
        <v>378198.923205608</v>
      </c>
      <c r="R34" s="21" t="n">
        <f aca="false">L34*Baseline!D34</f>
        <v>12803.3305879297</v>
      </c>
      <c r="S34" s="21" t="n">
        <f aca="false">IFERROR(P34/(Baseline!C34*(1+Assumptions!$E$19)),0)</f>
        <v>1662.76733633083</v>
      </c>
      <c r="T34" s="20" t="n">
        <f aca="false">Q34/(1-N34)*(1-Assumptions!$E$23)</f>
        <v>154922.384175689</v>
      </c>
      <c r="U34" s="20" t="n">
        <f aca="false">P34/(1-N34)*(1-Assumptions!$E$23)*Assumptions!$E$24</f>
        <v>2103.76834518932</v>
      </c>
      <c r="V34" s="49" t="n">
        <f aca="false">Q34-T34-U34</f>
        <v>221172.77068473</v>
      </c>
      <c r="W34" s="20" t="n">
        <f aca="false">T34*Assumptions!$E$25+L34*(Assumptions!$E$27-Assumptions!$E$28+Assumptions!$E$29+Assumptions!$E$36*Assumptions!$E$37)+R34*Assumptions!$E$30+S34*(Assumptions!$E$31+Assumptions!$E$32)+M34*(Assumptions!$E$33+Assumptions!$E$38)+IFERROR(M34*J34/K34,0)*Assumptions!$E$35*Assumptions!$E$34</f>
        <v>57294.8188104719</v>
      </c>
      <c r="X34" s="49" t="n">
        <f aca="false">V34-W34</f>
        <v>163877.951874258</v>
      </c>
      <c r="Y34" s="49" t="n">
        <f aca="false">C34+E34+G34</f>
        <v>51183.6224613881</v>
      </c>
      <c r="Z34" s="49" t="n">
        <f aca="false">X34-Y34</f>
        <v>112694.32941287</v>
      </c>
      <c r="AA34" s="20" t="n">
        <f aca="false">'Fixed Costs'!$G$31/52</f>
        <v>25332.6923076923</v>
      </c>
      <c r="AB34" s="49" t="n">
        <f aca="false">Z34-AA34</f>
        <v>87361.6371051772</v>
      </c>
      <c r="AC34" s="21" t="n">
        <f aca="false">L34*Baseline!G34</f>
        <v>2319.6667446771</v>
      </c>
    </row>
    <row r="35" customFormat="false" ht="15" hidden="false" customHeight="false" outlineLevel="0" collapsed="false">
      <c r="A35" s="13" t="n">
        <v>30</v>
      </c>
      <c r="B35" s="14" t="str">
        <f aca="false">Calendar!D35</f>
        <v>P7</v>
      </c>
      <c r="C35" s="20" t="n">
        <f aca="false">IF('Media Plan'!D35&lt;&gt;"",'Media Plan'!D35,Assumptions!$D$10*Baseline!T35)</f>
        <v>30194.7628960404</v>
      </c>
      <c r="D35" s="21" t="n">
        <f aca="false">IFERROR(C35/(Baseline!H35*(1+Assumptions!$E$13)*IFERROR(MAX(0,C35)/'History Y-1'!P35,1)^Assumptions!$E$14),0)</f>
        <v>64493.7898633464</v>
      </c>
      <c r="E35" s="20" t="n">
        <f aca="false">IF('Media Plan'!J35&lt;&gt;"",'Media Plan'!J35,Assumptions!$D$11*Baseline!U35)</f>
        <v>15826.6242690073</v>
      </c>
      <c r="F35" s="21" t="n">
        <f aca="false">IFERROR(E35/(Baseline!I35*(1+Assumptions!$E$13)*IFERROR(MAX(0,E35)/'History Y-1'!Q35,1)^Assumptions!$E$15),0)</f>
        <v>42920.7328460438</v>
      </c>
      <c r="G35" s="20" t="n">
        <f aca="false">IF('Media Plan'!P35&lt;&gt;"",'Media Plan'!P35,Assumptions!$D$12*Baseline!V35)</f>
        <v>3179.12557399193</v>
      </c>
      <c r="H35" s="21" t="n">
        <f aca="false">IFERROR(G35/(Baseline!J35*(1+Assumptions!$E$13)*IFERROR(MAX(0,G35)/'History Y-1'!R35,1)^Assumptions!$E$16),0)</f>
        <v>13541.7582519226</v>
      </c>
      <c r="I35" s="21" t="n">
        <f aca="false">'History Y-1'!$F$58*(1+Assumptions!$E$6)*Baseline!Q35+'History Y-1'!$G$58*(1+Assumptions!$E$7)*Baseline!R35+J35</f>
        <v>165367.890913165</v>
      </c>
      <c r="J35" s="21" t="n">
        <f aca="false">'History Y-1'!$H$58*(1+Assumptions!$E$8)*Baseline!S35</f>
        <v>19218.3961652048</v>
      </c>
      <c r="K35" s="55" t="n">
        <f aca="false">D35+F35+H35+I35</f>
        <v>286324.171874477</v>
      </c>
      <c r="L35" s="21" t="n">
        <f aca="false">K35*Baseline!B35*(1+Assumptions!$E$18)*(1+Calendar!G35)</f>
        <v>6350.62716514853</v>
      </c>
      <c r="M35" s="20" t="n">
        <f aca="false">L35*Baseline!C35*(1+Assumptions!$E$19)</f>
        <v>491550.292040533</v>
      </c>
      <c r="N35" s="31" t="n">
        <f aca="false">MAX(0,MIN(0.9,Baseline!E35+Assumptions!$E$20))</f>
        <v>0.0654892189355552</v>
      </c>
      <c r="O35" s="31" t="n">
        <f aca="false">MAX(0,Baseline!F35+Assumptions!$E$21)</f>
        <v>0.248790927758975</v>
      </c>
      <c r="P35" s="49" t="n">
        <f aca="false">M35*O35</f>
        <v>122293.253196959</v>
      </c>
      <c r="Q35" s="49" t="n">
        <f aca="false">M35-P35</f>
        <v>369257.038843574</v>
      </c>
      <c r="R35" s="21" t="n">
        <f aca="false">L35*Baseline!D35</f>
        <v>12223.1766903777</v>
      </c>
      <c r="S35" s="21" t="n">
        <f aca="false">IFERROR(P35/(Baseline!C35*(1+Assumptions!$E$19)),0)</f>
        <v>1579.97842426865</v>
      </c>
      <c r="T35" s="20" t="n">
        <f aca="false">Q35/(1-N35)*(1-Assumptions!$E$23)</f>
        <v>150150.942721849</v>
      </c>
      <c r="U35" s="20" t="n">
        <f aca="false">P35/(1-N35)*(1-Assumptions!$E$23)*Assumptions!$E$24</f>
        <v>1989.12359949071</v>
      </c>
      <c r="V35" s="49" t="n">
        <f aca="false">Q35-T35-U35</f>
        <v>217116.972522234</v>
      </c>
      <c r="W35" s="20" t="n">
        <f aca="false">T35*Assumptions!$E$25+L35*(Assumptions!$E$27-Assumptions!$E$28+Assumptions!$E$29+Assumptions!$E$36*Assumptions!$E$37)+R35*Assumptions!$E$30+S35*(Assumptions!$E$31+Assumptions!$E$32)+M35*(Assumptions!$E$33+Assumptions!$E$38)+IFERROR(M35*J35/K35,0)*Assumptions!$E$35*Assumptions!$E$34</f>
        <v>55330.8910054851</v>
      </c>
      <c r="X35" s="49" t="n">
        <f aca="false">V35-W35</f>
        <v>161786.081516749</v>
      </c>
      <c r="Y35" s="49" t="n">
        <f aca="false">C35+E35+G35</f>
        <v>49200.5127390396</v>
      </c>
      <c r="Z35" s="49" t="n">
        <f aca="false">X35-Y35</f>
        <v>112585.568777709</v>
      </c>
      <c r="AA35" s="20" t="n">
        <f aca="false">'Fixed Costs'!$G$31/52</f>
        <v>25332.6923076923</v>
      </c>
      <c r="AB35" s="49" t="n">
        <f aca="false">Z35-AA35</f>
        <v>87252.8764700169</v>
      </c>
      <c r="AC35" s="21" t="n">
        <f aca="false">L35*Baseline!G35</f>
        <v>2218.9555890503</v>
      </c>
    </row>
    <row r="36" customFormat="false" ht="15" hidden="false" customHeight="false" outlineLevel="0" collapsed="false">
      <c r="A36" s="13" t="n">
        <v>31</v>
      </c>
      <c r="B36" s="14" t="str">
        <f aca="false">Calendar!D36</f>
        <v>P8</v>
      </c>
      <c r="C36" s="20" t="n">
        <f aca="false">IF('Media Plan'!D36&lt;&gt;"",'Media Plan'!D36,Assumptions!$D$10*Baseline!T36)</f>
        <v>31428.8228816581</v>
      </c>
      <c r="D36" s="21" t="n">
        <f aca="false">IFERROR(C36/(Baseline!H36*(1+Assumptions!$E$13)*IFERROR(MAX(0,C36)/'History Y-1'!P36,1)^Assumptions!$E$14),0)</f>
        <v>68219.556184431</v>
      </c>
      <c r="E36" s="20" t="n">
        <f aca="false">IF('Media Plan'!J36&lt;&gt;"",'Media Plan'!J36,Assumptions!$D$11*Baseline!U36)</f>
        <v>15735.2978115527</v>
      </c>
      <c r="F36" s="21" t="n">
        <f aca="false">IFERROR(E36/(Baseline!I36*(1+Assumptions!$E$13)*IFERROR(MAX(0,E36)/'History Y-1'!Q36,1)^Assumptions!$E$15),0)</f>
        <v>44606.1175853527</v>
      </c>
      <c r="G36" s="20" t="n">
        <f aca="false">IF('Media Plan'!P36&lt;&gt;"",'Media Plan'!P36,Assumptions!$D$12*Baseline!V36)</f>
        <v>3500.03856676167</v>
      </c>
      <c r="H36" s="21" t="n">
        <f aca="false">IFERROR(G36/(Baseline!J36*(1+Assumptions!$E$13)*IFERROR(MAX(0,G36)/'History Y-1'!R36,1)^Assumptions!$E$16),0)</f>
        <v>14812.7678482294</v>
      </c>
      <c r="I36" s="21" t="n">
        <f aca="false">'History Y-1'!$F$58*(1+Assumptions!$E$6)*Baseline!Q36+'History Y-1'!$G$58*(1+Assumptions!$E$7)*Baseline!R36+J36</f>
        <v>172554.000124207</v>
      </c>
      <c r="J36" s="21" t="n">
        <f aca="false">'History Y-1'!$H$58*(1+Assumptions!$E$8)*Baseline!S36</f>
        <v>20413.1371479946</v>
      </c>
      <c r="K36" s="55" t="n">
        <f aca="false">D36+F36+H36+I36</f>
        <v>300192.44174222</v>
      </c>
      <c r="L36" s="21" t="n">
        <f aca="false">K36*Baseline!B36*(1+Assumptions!$E$18)*(1+Calendar!G36)</f>
        <v>6692.38420032978</v>
      </c>
      <c r="M36" s="20" t="n">
        <f aca="false">L36*Baseline!C36*(1+Assumptions!$E$19)</f>
        <v>525371.164244686</v>
      </c>
      <c r="N36" s="31" t="n">
        <f aca="false">MAX(0,MIN(0.9,Baseline!E36+Assumptions!$E$20))</f>
        <v>0.0705213762822993</v>
      </c>
      <c r="O36" s="31" t="n">
        <f aca="false">MAX(0,Baseline!F36+Assumptions!$E$21)</f>
        <v>0.247414351755172</v>
      </c>
      <c r="P36" s="49" t="n">
        <f aca="false">M36*O36</f>
        <v>129984.366032459</v>
      </c>
      <c r="Q36" s="49" t="n">
        <f aca="false">M36-P36</f>
        <v>395386.798212227</v>
      </c>
      <c r="R36" s="21" t="n">
        <f aca="false">L36*Baseline!D36</f>
        <v>12558.8452176817</v>
      </c>
      <c r="S36" s="21" t="n">
        <f aca="false">IFERROR(P36/(Baseline!C36*(1+Assumptions!$E$19)),0)</f>
        <v>1655.79189862114</v>
      </c>
      <c r="T36" s="20" t="n">
        <f aca="false">Q36/(1-N36)*(1-Assumptions!$E$23)</f>
        <v>161646.518259552</v>
      </c>
      <c r="U36" s="20" t="n">
        <f aca="false">P36/(1-N36)*(1-Assumptions!$E$23)*Assumptions!$E$24</f>
        <v>2125.66735078939</v>
      </c>
      <c r="V36" s="49" t="n">
        <f aca="false">Q36-T36-U36</f>
        <v>231614.612601886</v>
      </c>
      <c r="W36" s="20" t="n">
        <f aca="false">T36*Assumptions!$E$25+L36*(Assumptions!$E$27-Assumptions!$E$28+Assumptions!$E$29+Assumptions!$E$36*Assumptions!$E$37)+R36*Assumptions!$E$30+S36*(Assumptions!$E$31+Assumptions!$E$32)+M36*(Assumptions!$E$33+Assumptions!$E$38)+IFERROR(M36*J36/K36,0)*Assumptions!$E$35*Assumptions!$E$34</f>
        <v>58294.056795494</v>
      </c>
      <c r="X36" s="49" t="n">
        <f aca="false">V36-W36</f>
        <v>173320.555806392</v>
      </c>
      <c r="Y36" s="49" t="n">
        <f aca="false">C36+E36+G36</f>
        <v>50664.1592599725</v>
      </c>
      <c r="Z36" s="49" t="n">
        <f aca="false">X36-Y36</f>
        <v>122656.39654642</v>
      </c>
      <c r="AA36" s="20" t="n">
        <f aca="false">'Fixed Costs'!$G$31/52</f>
        <v>25332.6923076923</v>
      </c>
      <c r="AB36" s="49" t="n">
        <f aca="false">Z36-AA36</f>
        <v>97323.7042387274</v>
      </c>
      <c r="AC36" s="21" t="n">
        <f aca="false">L36*Baseline!G36</f>
        <v>2326.08316870339</v>
      </c>
    </row>
    <row r="37" customFormat="false" ht="15" hidden="false" customHeight="false" outlineLevel="0" collapsed="false">
      <c r="A37" s="13" t="n">
        <v>32</v>
      </c>
      <c r="B37" s="14" t="str">
        <f aca="false">Calendar!D37</f>
        <v>P8</v>
      </c>
      <c r="C37" s="20" t="n">
        <f aca="false">IF('Media Plan'!D37&lt;&gt;"",'Media Plan'!D37,Assumptions!$D$10*Baseline!T37)</f>
        <v>31751.4787389108</v>
      </c>
      <c r="D37" s="21" t="n">
        <f aca="false">IFERROR(C37/(Baseline!H37*(1+Assumptions!$E$13)*IFERROR(MAX(0,C37)/'History Y-1'!P37,1)^Assumptions!$E$14),0)</f>
        <v>70190.3568266511</v>
      </c>
      <c r="E37" s="20" t="n">
        <f aca="false">IF('Media Plan'!J37&lt;&gt;"",'Media Plan'!J37,Assumptions!$D$11*Baseline!U37)</f>
        <v>16094.7581379998</v>
      </c>
      <c r="F37" s="21" t="n">
        <f aca="false">IFERROR(E37/(Baseline!I37*(1+Assumptions!$E$13)*IFERROR(MAX(0,E37)/'History Y-1'!Q37,1)^Assumptions!$E$15),0)</f>
        <v>43294.631695917</v>
      </c>
      <c r="G37" s="20" t="n">
        <f aca="false">IF('Media Plan'!P37&lt;&gt;"",'Media Plan'!P37,Assumptions!$D$12*Baseline!V37)</f>
        <v>3477.30354316087</v>
      </c>
      <c r="H37" s="21" t="n">
        <f aca="false">IFERROR(G37/(Baseline!J37*(1+Assumptions!$E$13)*IFERROR(MAX(0,G37)/'History Y-1'!R37,1)^Assumptions!$E$16),0)</f>
        <v>14418.6302259023</v>
      </c>
      <c r="I37" s="21" t="n">
        <f aca="false">'History Y-1'!$F$58*(1+Assumptions!$E$6)*Baseline!Q37+'History Y-1'!$G$58*(1+Assumptions!$E$7)*Baseline!R37+J37</f>
        <v>168995.062065502</v>
      </c>
      <c r="J37" s="21" t="n">
        <f aca="false">'History Y-1'!$H$58*(1+Assumptions!$E$8)*Baseline!S37</f>
        <v>19305.6703145229</v>
      </c>
      <c r="K37" s="55" t="n">
        <f aca="false">D37+F37+H37+I37</f>
        <v>296898.680813973</v>
      </c>
      <c r="L37" s="21" t="n">
        <f aca="false">K37*Baseline!B37*(1+Assumptions!$E$18)*(1+Calendar!G37)</f>
        <v>6637.92381982108</v>
      </c>
      <c r="M37" s="20" t="n">
        <f aca="false">L37*Baseline!C37*(1+Assumptions!$E$19)</f>
        <v>512023.841824203</v>
      </c>
      <c r="N37" s="31" t="n">
        <f aca="false">MAX(0,MIN(0.9,Baseline!E37+Assumptions!$E$20))</f>
        <v>0.070986075860196</v>
      </c>
      <c r="O37" s="31" t="n">
        <f aca="false">MAX(0,Baseline!F37+Assumptions!$E$21)</f>
        <v>0.251753859014964</v>
      </c>
      <c r="P37" s="49" t="n">
        <f aca="false">M37*O37</f>
        <v>128903.978086911</v>
      </c>
      <c r="Q37" s="49" t="n">
        <f aca="false">M37-P37</f>
        <v>383119.863737292</v>
      </c>
      <c r="R37" s="21" t="n">
        <f aca="false">L37*Baseline!D37</f>
        <v>12522.5631832622</v>
      </c>
      <c r="S37" s="21" t="n">
        <f aca="false">IFERROR(P37/(Baseline!C37*(1+Assumptions!$E$19)),0)</f>
        <v>1671.12293748731</v>
      </c>
      <c r="T37" s="20" t="n">
        <f aca="false">Q37/(1-N37)*(1-Assumptions!$E$23)</f>
        <v>156709.759065207</v>
      </c>
      <c r="U37" s="20" t="n">
        <f aca="false">P37/(1-N37)*(1-Assumptions!$E$23)*Assumptions!$E$24</f>
        <v>2109.05392912732</v>
      </c>
      <c r="V37" s="49" t="n">
        <f aca="false">Q37-T37-U37</f>
        <v>224301.050742958</v>
      </c>
      <c r="W37" s="20" t="n">
        <f aca="false">T37*Assumptions!$E$25+L37*(Assumptions!$E$27-Assumptions!$E$28+Assumptions!$E$29+Assumptions!$E$36*Assumptions!$E$37)+R37*Assumptions!$E$30+S37*(Assumptions!$E$31+Assumptions!$E$32)+M37*(Assumptions!$E$33+Assumptions!$E$38)+IFERROR(M37*J37/K37,0)*Assumptions!$E$35*Assumptions!$E$34</f>
        <v>57592.1893469429</v>
      </c>
      <c r="X37" s="49" t="n">
        <f aca="false">V37-W37</f>
        <v>166708.861396015</v>
      </c>
      <c r="Y37" s="49" t="n">
        <f aca="false">C37+E37+G37</f>
        <v>51323.5404200715</v>
      </c>
      <c r="Z37" s="49" t="n">
        <f aca="false">X37-Y37</f>
        <v>115385.320975944</v>
      </c>
      <c r="AA37" s="20" t="n">
        <f aca="false">'Fixed Costs'!$G$31/52</f>
        <v>25332.6923076923</v>
      </c>
      <c r="AB37" s="49" t="n">
        <f aca="false">Z37-AA37</f>
        <v>90052.6286682513</v>
      </c>
      <c r="AC37" s="21" t="n">
        <f aca="false">L37*Baseline!G37</f>
        <v>2250.24250394486</v>
      </c>
    </row>
    <row r="38" customFormat="false" ht="15" hidden="false" customHeight="false" outlineLevel="0" collapsed="false">
      <c r="A38" s="13" t="n">
        <v>33</v>
      </c>
      <c r="B38" s="14" t="str">
        <f aca="false">Calendar!D38</f>
        <v>P8</v>
      </c>
      <c r="C38" s="20" t="n">
        <f aca="false">IF('Media Plan'!D38&lt;&gt;"",'Media Plan'!D38,Assumptions!$D$10*Baseline!T38)</f>
        <v>31463.8036897928</v>
      </c>
      <c r="D38" s="21" t="n">
        <f aca="false">IFERROR(C38/(Baseline!H38*(1+Assumptions!$E$13)*IFERROR(MAX(0,C38)/'History Y-1'!P38,1)^Assumptions!$E$14),0)</f>
        <v>67943.3748651013</v>
      </c>
      <c r="E38" s="20" t="n">
        <f aca="false">IF('Media Plan'!J38&lt;&gt;"",'Media Plan'!J38,Assumptions!$D$11*Baseline!U38)</f>
        <v>15325.8997796179</v>
      </c>
      <c r="F38" s="21" t="n">
        <f aca="false">IFERROR(E38/(Baseline!I38*(1+Assumptions!$E$13)*IFERROR(MAX(0,E38)/'History Y-1'!Q38,1)^Assumptions!$E$15),0)</f>
        <v>43548.969382836</v>
      </c>
      <c r="G38" s="20" t="n">
        <f aca="false">IF('Media Plan'!P38&lt;&gt;"",'Media Plan'!P38,Assumptions!$D$12*Baseline!V38)</f>
        <v>3261.30736869502</v>
      </c>
      <c r="H38" s="21" t="n">
        <f aca="false">IFERROR(G38/(Baseline!J38*(1+Assumptions!$E$13)*IFERROR(MAX(0,G38)/'History Y-1'!R38,1)^Assumptions!$E$16),0)</f>
        <v>14011.2133279337</v>
      </c>
      <c r="I38" s="21" t="n">
        <f aca="false">'History Y-1'!$F$58*(1+Assumptions!$E$6)*Baseline!Q38+'History Y-1'!$G$58*(1+Assumptions!$E$7)*Baseline!R38+J38</f>
        <v>167817.40954883</v>
      </c>
      <c r="J38" s="21" t="n">
        <f aca="false">'History Y-1'!$H$58*(1+Assumptions!$E$8)*Baseline!S38</f>
        <v>19323.512704658</v>
      </c>
      <c r="K38" s="55" t="n">
        <f aca="false">D38+F38+H38+I38</f>
        <v>293320.967124701</v>
      </c>
      <c r="L38" s="21" t="n">
        <f aca="false">K38*Baseline!B38*(1+Assumptions!$E$18)*(1+Calendar!G38)</f>
        <v>6608.36142889407</v>
      </c>
      <c r="M38" s="20" t="n">
        <f aca="false">L38*Baseline!C38*(1+Assumptions!$E$19)</f>
        <v>519842.37756153</v>
      </c>
      <c r="N38" s="31" t="n">
        <f aca="false">MAX(0,MIN(0.9,Baseline!E38+Assumptions!$E$20))</f>
        <v>0.0738004019382567</v>
      </c>
      <c r="O38" s="31" t="n">
        <f aca="false">MAX(0,Baseline!F38+Assumptions!$E$21)</f>
        <v>0.253412153329654</v>
      </c>
      <c r="P38" s="49" t="n">
        <f aca="false">M38*O38</f>
        <v>131734.376289875</v>
      </c>
      <c r="Q38" s="49" t="n">
        <f aca="false">M38-P38</f>
        <v>388108.001271656</v>
      </c>
      <c r="R38" s="21" t="n">
        <f aca="false">L38*Baseline!D38</f>
        <v>12605.7195723773</v>
      </c>
      <c r="S38" s="21" t="n">
        <f aca="false">IFERROR(P38/(Baseline!C38*(1+Assumptions!$E$19)),0)</f>
        <v>1674.63909967668</v>
      </c>
      <c r="T38" s="20" t="n">
        <f aca="false">Q38/(1-N38)*(1-Assumptions!$E$23)</f>
        <v>159232.460035464</v>
      </c>
      <c r="U38" s="20" t="n">
        <f aca="false">P38/(1-N38)*(1-Assumptions!$E$23)*Assumptions!$E$24</f>
        <v>2161.91253353644</v>
      </c>
      <c r="V38" s="49" t="n">
        <f aca="false">Q38-T38-U38</f>
        <v>226713.628702656</v>
      </c>
      <c r="W38" s="20" t="n">
        <f aca="false">T38*Assumptions!$E$25+L38*(Assumptions!$E$27-Assumptions!$E$28+Assumptions!$E$29+Assumptions!$E$36*Assumptions!$E$37)+R38*Assumptions!$E$30+S38*(Assumptions!$E$31+Assumptions!$E$32)+M38*(Assumptions!$E$33+Assumptions!$E$38)+IFERROR(M38*J38/K38,0)*Assumptions!$E$35*Assumptions!$E$34</f>
        <v>57837.847266703</v>
      </c>
      <c r="X38" s="49" t="n">
        <f aca="false">V38-W38</f>
        <v>168875.781435953</v>
      </c>
      <c r="Y38" s="49" t="n">
        <f aca="false">C38+E38+G38</f>
        <v>50051.0108381058</v>
      </c>
      <c r="Z38" s="49" t="n">
        <f aca="false">X38-Y38</f>
        <v>118824.770597847</v>
      </c>
      <c r="AA38" s="20" t="n">
        <f aca="false">'Fixed Costs'!$G$31/52</f>
        <v>25332.6923076923</v>
      </c>
      <c r="AB38" s="49" t="n">
        <f aca="false">Z38-AA38</f>
        <v>93492.0782901544</v>
      </c>
      <c r="AC38" s="21" t="n">
        <f aca="false">L38*Baseline!G38</f>
        <v>2373.48422079823</v>
      </c>
    </row>
    <row r="39" customFormat="false" ht="15" hidden="false" customHeight="false" outlineLevel="0" collapsed="false">
      <c r="A39" s="13" t="n">
        <v>34</v>
      </c>
      <c r="B39" s="14" t="str">
        <f aca="false">Calendar!D39</f>
        <v>P8</v>
      </c>
      <c r="C39" s="20" t="n">
        <f aca="false">IF('Media Plan'!D39&lt;&gt;"",'Media Plan'!D39,Assumptions!$D$10*Baseline!T39)</f>
        <v>31697.0343645499</v>
      </c>
      <c r="D39" s="21" t="n">
        <f aca="false">IFERROR(C39/(Baseline!H39*(1+Assumptions!$E$13)*IFERROR(MAX(0,C39)/'History Y-1'!P39,1)^Assumptions!$E$14),0)</f>
        <v>68318.4798224145</v>
      </c>
      <c r="E39" s="20" t="n">
        <f aca="false">IF('Media Plan'!J39&lt;&gt;"",'Media Plan'!J39,Assumptions!$D$11*Baseline!U39)</f>
        <v>16290.0216250069</v>
      </c>
      <c r="F39" s="21" t="n">
        <f aca="false">IFERROR(E39/(Baseline!I39*(1+Assumptions!$E$13)*IFERROR(MAX(0,E39)/'History Y-1'!Q39,1)^Assumptions!$E$15),0)</f>
        <v>45318.5415977268</v>
      </c>
      <c r="G39" s="20" t="n">
        <f aca="false">IF('Media Plan'!P39&lt;&gt;"",'Media Plan'!P39,Assumptions!$D$12*Baseline!V39)</f>
        <v>3372.62176614141</v>
      </c>
      <c r="H39" s="21" t="n">
        <f aca="false">IFERROR(G39/(Baseline!J39*(1+Assumptions!$E$13)*IFERROR(MAX(0,G39)/'History Y-1'!R39,1)^Assumptions!$E$16),0)</f>
        <v>14034.1679545499</v>
      </c>
      <c r="I39" s="21" t="n">
        <f aca="false">'History Y-1'!$F$58*(1+Assumptions!$E$6)*Baseline!Q39+'History Y-1'!$G$58*(1+Assumptions!$E$7)*Baseline!R39+J39</f>
        <v>165629.093392077</v>
      </c>
      <c r="J39" s="21" t="n">
        <f aca="false">'History Y-1'!$H$58*(1+Assumptions!$E$8)*Baseline!S39</f>
        <v>19983.1371549256</v>
      </c>
      <c r="K39" s="55" t="n">
        <f aca="false">D39+F39+H39+I39</f>
        <v>293300.282766768</v>
      </c>
      <c r="L39" s="21" t="n">
        <f aca="false">K39*Baseline!B39*(1+Assumptions!$E$18)*(1+Calendar!G39)</f>
        <v>6402.714277573</v>
      </c>
      <c r="M39" s="20" t="n">
        <f aca="false">L39*Baseline!C39*(1+Assumptions!$E$19)</f>
        <v>500310.281649434</v>
      </c>
      <c r="N39" s="31" t="n">
        <f aca="false">MAX(0,MIN(0.9,Baseline!E39+Assumptions!$E$20))</f>
        <v>0.0672506852430277</v>
      </c>
      <c r="O39" s="31" t="n">
        <f aca="false">MAX(0,Baseline!F39+Assumptions!$E$21)</f>
        <v>0.241878705960027</v>
      </c>
      <c r="P39" s="49" t="n">
        <f aca="false">M39*O39</f>
        <v>121014.403503862</v>
      </c>
      <c r="Q39" s="49" t="n">
        <f aca="false">M39-P39</f>
        <v>379295.878145572</v>
      </c>
      <c r="R39" s="21" t="n">
        <f aca="false">L39*Baseline!D39</f>
        <v>12311.2184215866</v>
      </c>
      <c r="S39" s="21" t="n">
        <f aca="false">IFERROR(P39/(Baseline!C39*(1+Assumptions!$E$19)),0)</f>
        <v>1548.68024409115</v>
      </c>
      <c r="T39" s="20" t="n">
        <f aca="false">Q39/(1-N39)*(1-Assumptions!$E$23)</f>
        <v>154524.298667398</v>
      </c>
      <c r="U39" s="20" t="n">
        <f aca="false">P39/(1-N39)*(1-Assumptions!$E$23)*Assumptions!$E$24</f>
        <v>1972.03997275298</v>
      </c>
      <c r="V39" s="49" t="n">
        <f aca="false">Q39-T39-U39</f>
        <v>222799.539505421</v>
      </c>
      <c r="W39" s="20" t="n">
        <f aca="false">T39*Assumptions!$E$25+L39*(Assumptions!$E$27-Assumptions!$E$28+Assumptions!$E$29+Assumptions!$E$36*Assumptions!$E$37)+R39*Assumptions!$E$30+S39*(Assumptions!$E$31+Assumptions!$E$32)+M39*(Assumptions!$E$33+Assumptions!$E$38)+IFERROR(M39*J39/K39,0)*Assumptions!$E$35*Assumptions!$E$34</f>
        <v>55807.8717679514</v>
      </c>
      <c r="X39" s="49" t="n">
        <f aca="false">V39-W39</f>
        <v>166991.667737469</v>
      </c>
      <c r="Y39" s="49" t="n">
        <f aca="false">C39+E39+G39</f>
        <v>51359.6777556983</v>
      </c>
      <c r="Z39" s="49" t="n">
        <f aca="false">X39-Y39</f>
        <v>115631.989981771</v>
      </c>
      <c r="AA39" s="20" t="n">
        <f aca="false">'Fixed Costs'!$G$31/52</f>
        <v>25332.6923076923</v>
      </c>
      <c r="AB39" s="49" t="n">
        <f aca="false">Z39-AA39</f>
        <v>90299.2976740789</v>
      </c>
      <c r="AC39" s="21" t="n">
        <f aca="false">L39*Baseline!G39</f>
        <v>2215.51728461523</v>
      </c>
    </row>
    <row r="40" customFormat="false" ht="15" hidden="false" customHeight="false" outlineLevel="0" collapsed="false">
      <c r="A40" s="13" t="n">
        <v>35</v>
      </c>
      <c r="B40" s="14" t="str">
        <f aca="false">Calendar!D40</f>
        <v>P9</v>
      </c>
      <c r="C40" s="20" t="n">
        <f aca="false">IF('Media Plan'!D40&lt;&gt;"",'Media Plan'!D40,Assumptions!$D$10*Baseline!T40)</f>
        <v>30433.7174079849</v>
      </c>
      <c r="D40" s="21" t="n">
        <f aca="false">IFERROR(C40/(Baseline!H40*(1+Assumptions!$E$13)*IFERROR(MAX(0,C40)/'History Y-1'!P40,1)^Assumptions!$E$14),0)</f>
        <v>66293.5696129923</v>
      </c>
      <c r="E40" s="20" t="n">
        <f aca="false">IF('Media Plan'!J40&lt;&gt;"",'Media Plan'!J40,Assumptions!$D$11*Baseline!U40)</f>
        <v>15499.5184028695</v>
      </c>
      <c r="F40" s="21" t="n">
        <f aca="false">IFERROR(E40/(Baseline!I40*(1+Assumptions!$E$13)*IFERROR(MAX(0,E40)/'History Y-1'!Q40,1)^Assumptions!$E$15),0)</f>
        <v>42539.3830330345</v>
      </c>
      <c r="G40" s="20" t="n">
        <f aca="false">IF('Media Plan'!P40&lt;&gt;"",'Media Plan'!P40,Assumptions!$D$12*Baseline!V40)</f>
        <v>3281.96536712586</v>
      </c>
      <c r="H40" s="21" t="n">
        <f aca="false">IFERROR(G40/(Baseline!J40*(1+Assumptions!$E$13)*IFERROR(MAX(0,G40)/'History Y-1'!R40,1)^Assumptions!$E$16),0)</f>
        <v>13672.0502275329</v>
      </c>
      <c r="I40" s="21" t="n">
        <f aca="false">'History Y-1'!$F$58*(1+Assumptions!$E$6)*Baseline!Q40+'History Y-1'!$G$58*(1+Assumptions!$E$7)*Baseline!R40+J40</f>
        <v>164027.242659901</v>
      </c>
      <c r="J40" s="21" t="n">
        <f aca="false">'History Y-1'!$H$58*(1+Assumptions!$E$8)*Baseline!S40</f>
        <v>19492.1680626741</v>
      </c>
      <c r="K40" s="55" t="n">
        <f aca="false">D40+F40+H40+I40</f>
        <v>286532.24553346</v>
      </c>
      <c r="L40" s="21" t="n">
        <f aca="false">K40*Baseline!B40*(1+Assumptions!$E$18)*(1+Calendar!G40)</f>
        <v>6468.35872275196</v>
      </c>
      <c r="M40" s="20" t="n">
        <f aca="false">L40*Baseline!C40*(1+Assumptions!$E$19)</f>
        <v>500629.785271481</v>
      </c>
      <c r="N40" s="31" t="n">
        <f aca="false">MAX(0,MIN(0.9,Baseline!E40+Assumptions!$E$20))</f>
        <v>0.0711043008517297</v>
      </c>
      <c r="O40" s="31" t="n">
        <f aca="false">MAX(0,Baseline!F40+Assumptions!$E$21)</f>
        <v>0.250004387651849</v>
      </c>
      <c r="P40" s="49" t="n">
        <f aca="false">M40*O40</f>
        <v>125159.642907073</v>
      </c>
      <c r="Q40" s="49" t="n">
        <f aca="false">M40-P40</f>
        <v>375470.142364408</v>
      </c>
      <c r="R40" s="21" t="n">
        <f aca="false">L40*Baseline!D40</f>
        <v>12181.2059049702</v>
      </c>
      <c r="S40" s="21" t="n">
        <f aca="false">IFERROR(P40/(Baseline!C40*(1+Assumptions!$E$19)),0)</f>
        <v>1617.1180615941</v>
      </c>
      <c r="T40" s="20" t="n">
        <f aca="false">Q40/(1-N40)*(1-Assumptions!$E$23)</f>
        <v>153600.295737509</v>
      </c>
      <c r="U40" s="20" t="n">
        <f aca="false">P40/(1-N40)*(1-Assumptions!$E$23)*Assumptions!$E$24</f>
        <v>2048.05186839804</v>
      </c>
      <c r="V40" s="49" t="n">
        <f aca="false">Q40-T40-U40</f>
        <v>219821.7947585</v>
      </c>
      <c r="W40" s="20" t="n">
        <f aca="false">T40*Assumptions!$E$25+L40*(Assumptions!$E$27-Assumptions!$E$28+Assumptions!$E$29+Assumptions!$E$36*Assumptions!$E$37)+R40*Assumptions!$E$30+S40*(Assumptions!$E$31+Assumptions!$E$32)+M40*(Assumptions!$E$33+Assumptions!$E$38)+IFERROR(M40*J40/K40,0)*Assumptions!$E$35*Assumptions!$E$34</f>
        <v>56223.3060149633</v>
      </c>
      <c r="X40" s="49" t="n">
        <f aca="false">V40-W40</f>
        <v>163598.488743537</v>
      </c>
      <c r="Y40" s="49" t="n">
        <f aca="false">C40+E40+G40</f>
        <v>49215.2011779803</v>
      </c>
      <c r="Z40" s="49" t="n">
        <f aca="false">X40-Y40</f>
        <v>114383.287565557</v>
      </c>
      <c r="AA40" s="20" t="n">
        <f aca="false">'Fixed Costs'!$G$31/52</f>
        <v>25332.6923076923</v>
      </c>
      <c r="AB40" s="49" t="n">
        <f aca="false">Z40-AA40</f>
        <v>89050.5952578645</v>
      </c>
      <c r="AC40" s="21" t="n">
        <f aca="false">L40*Baseline!G40</f>
        <v>2304.27064448508</v>
      </c>
    </row>
    <row r="41" customFormat="false" ht="15" hidden="false" customHeight="false" outlineLevel="0" collapsed="false">
      <c r="A41" s="13" t="n">
        <v>36</v>
      </c>
      <c r="B41" s="14" t="str">
        <f aca="false">Calendar!D41</f>
        <v>P9</v>
      </c>
      <c r="C41" s="20" t="n">
        <f aca="false">IF('Media Plan'!D41&lt;&gt;"",'Media Plan'!D41,Assumptions!$D$10*Baseline!T41)</f>
        <v>37663.6194830147</v>
      </c>
      <c r="D41" s="21" t="n">
        <f aca="false">IFERROR(C41/(Baseline!H41*(1+Assumptions!$E$13)*IFERROR(MAX(0,C41)/'History Y-1'!P41,1)^Assumptions!$E$14),0)</f>
        <v>80113.5623373059</v>
      </c>
      <c r="E41" s="20" t="n">
        <f aca="false">IF('Media Plan'!J41&lt;&gt;"",'Media Plan'!J41,Assumptions!$D$11*Baseline!U41)</f>
        <v>19182.5869567979</v>
      </c>
      <c r="F41" s="21" t="n">
        <f aca="false">IFERROR(E41/(Baseline!I41*(1+Assumptions!$E$13)*IFERROR(MAX(0,E41)/'History Y-1'!Q41,1)^Assumptions!$E$15),0)</f>
        <v>53885.0049404114</v>
      </c>
      <c r="G41" s="20" t="n">
        <f aca="false">IF('Media Plan'!P41&lt;&gt;"",'Media Plan'!P41,Assumptions!$D$12*Baseline!V41)</f>
        <v>4193.72594885017</v>
      </c>
      <c r="H41" s="21" t="n">
        <f aca="false">IFERROR(G41/(Baseline!J41*(1+Assumptions!$E$13)*IFERROR(MAX(0,G41)/'History Y-1'!R41,1)^Assumptions!$E$16),0)</f>
        <v>17444.3790904902</v>
      </c>
      <c r="I41" s="21" t="n">
        <f aca="false">'History Y-1'!$F$58*(1+Assumptions!$E$6)*Baseline!Q41+'History Y-1'!$G$58*(1+Assumptions!$E$7)*Baseline!R41+J41</f>
        <v>230244.998725504</v>
      </c>
      <c r="J41" s="21" t="n">
        <f aca="false">'History Y-1'!$H$58*(1+Assumptions!$E$8)*Baseline!S41</f>
        <v>23532.8110364393</v>
      </c>
      <c r="K41" s="55" t="n">
        <f aca="false">D41+F41+H41+I41</f>
        <v>381687.945093711</v>
      </c>
      <c r="L41" s="21" t="n">
        <f aca="false">K41*Baseline!B41*(1+Assumptions!$E$18)*(1+Calendar!G41)</f>
        <v>9524.24635255179</v>
      </c>
      <c r="M41" s="20" t="n">
        <f aca="false">L41*Baseline!C41*(1+Assumptions!$E$19)</f>
        <v>689784.072150291</v>
      </c>
      <c r="N41" s="31" t="n">
        <f aca="false">MAX(0,MIN(0.9,Baseline!E41+Assumptions!$E$20))</f>
        <v>0.214314363051865</v>
      </c>
      <c r="O41" s="31" t="n">
        <f aca="false">MAX(0,Baseline!F41+Assumptions!$E$21)</f>
        <v>0.245857706324971</v>
      </c>
      <c r="P41" s="49" t="n">
        <f aca="false">M41*O41</f>
        <v>169588.729838369</v>
      </c>
      <c r="Q41" s="49" t="n">
        <f aca="false">M41-P41</f>
        <v>520195.342311922</v>
      </c>
      <c r="R41" s="21" t="n">
        <f aca="false">L41*Baseline!D41</f>
        <v>18040.3688868655</v>
      </c>
      <c r="S41" s="21" t="n">
        <f aca="false">IFERROR(P41/(Baseline!C41*(1+Assumptions!$E$19)),0)</f>
        <v>2341.60936271236</v>
      </c>
      <c r="T41" s="20" t="n">
        <f aca="false">Q41/(1-N41)*(1-Assumptions!$E$23)</f>
        <v>251594.557393671</v>
      </c>
      <c r="U41" s="20" t="n">
        <f aca="false">P41/(1-N41)*(1-Assumptions!$E$23)*Assumptions!$E$24</f>
        <v>3280.89069256255</v>
      </c>
      <c r="V41" s="49" t="n">
        <f aca="false">Q41-T41-U41</f>
        <v>265319.894225689</v>
      </c>
      <c r="W41" s="20" t="n">
        <f aca="false">T41*Assumptions!$E$25+L41*(Assumptions!$E$27-Assumptions!$E$28+Assumptions!$E$29+Assumptions!$E$36*Assumptions!$E$37)+R41*Assumptions!$E$30+S41*(Assumptions!$E$31+Assumptions!$E$32)+M41*(Assumptions!$E$33+Assumptions!$E$38)+IFERROR(M41*J41/K41,0)*Assumptions!$E$35*Assumptions!$E$34</f>
        <v>82142.1130274267</v>
      </c>
      <c r="X41" s="49" t="n">
        <f aca="false">V41-W41</f>
        <v>183177.781198262</v>
      </c>
      <c r="Y41" s="49" t="n">
        <f aca="false">C41+E41+G41</f>
        <v>61039.9323886628</v>
      </c>
      <c r="Z41" s="49" t="n">
        <f aca="false">X41-Y41</f>
        <v>122137.848809599</v>
      </c>
      <c r="AA41" s="20" t="n">
        <f aca="false">'Fixed Costs'!$G$31/52</f>
        <v>25332.6923076923</v>
      </c>
      <c r="AB41" s="49" t="n">
        <f aca="false">Z41-AA41</f>
        <v>96805.1565019068</v>
      </c>
      <c r="AC41" s="21" t="n">
        <f aca="false">L41*Baseline!G41</f>
        <v>4355.45099869603</v>
      </c>
    </row>
    <row r="42" customFormat="false" ht="15" hidden="false" customHeight="false" outlineLevel="0" collapsed="false">
      <c r="A42" s="13" t="n">
        <v>37</v>
      </c>
      <c r="B42" s="14" t="str">
        <f aca="false">Calendar!D42</f>
        <v>P9</v>
      </c>
      <c r="C42" s="20" t="n">
        <f aca="false">IF('Media Plan'!D42&lt;&gt;"",'Media Plan'!D42,Assumptions!$D$10*Baseline!T42)</f>
        <v>32459.1919784188</v>
      </c>
      <c r="D42" s="21" t="n">
        <f aca="false">IFERROR(C42/(Baseline!H42*(1+Assumptions!$E$13)*IFERROR(MAX(0,C42)/'History Y-1'!P42,1)^Assumptions!$E$14),0)</f>
        <v>70319.7695528505</v>
      </c>
      <c r="E42" s="20" t="n">
        <f aca="false">IF('Media Plan'!J42&lt;&gt;"",'Media Plan'!J42,Assumptions!$D$11*Baseline!U42)</f>
        <v>17527.2991988606</v>
      </c>
      <c r="F42" s="21" t="n">
        <f aca="false">IFERROR(E42/(Baseline!I42*(1+Assumptions!$E$13)*IFERROR(MAX(0,E42)/'History Y-1'!Q42,1)^Assumptions!$E$15),0)</f>
        <v>48943.5393174562</v>
      </c>
      <c r="G42" s="20" t="n">
        <f aca="false">IF('Media Plan'!P42&lt;&gt;"",'Media Plan'!P42,Assumptions!$D$12*Baseline!V42)</f>
        <v>3511.75361214989</v>
      </c>
      <c r="H42" s="21" t="n">
        <f aca="false">IFERROR(G42/(Baseline!J42*(1+Assumptions!$E$13)*IFERROR(MAX(0,G42)/'History Y-1'!R42,1)^Assumptions!$E$16),0)</f>
        <v>15428.7015287563</v>
      </c>
      <c r="I42" s="21" t="n">
        <f aca="false">'History Y-1'!$F$58*(1+Assumptions!$E$6)*Baseline!Q42+'History Y-1'!$G$58*(1+Assumptions!$E$7)*Baseline!R42+J42</f>
        <v>185030.975126058</v>
      </c>
      <c r="J42" s="21" t="n">
        <f aca="false">'History Y-1'!$H$58*(1+Assumptions!$E$8)*Baseline!S42</f>
        <v>21164.6623734642</v>
      </c>
      <c r="K42" s="55" t="n">
        <f aca="false">D42+F42+H42+I42</f>
        <v>319722.985525121</v>
      </c>
      <c r="L42" s="21" t="n">
        <f aca="false">K42*Baseline!B42*(1+Assumptions!$E$18)*(1+Calendar!G42)</f>
        <v>7253.39106987109</v>
      </c>
      <c r="M42" s="20" t="n">
        <f aca="false">L42*Baseline!C42*(1+Assumptions!$E$19)</f>
        <v>570201.756638422</v>
      </c>
      <c r="N42" s="31" t="n">
        <f aca="false">MAX(0,MIN(0.9,Baseline!E42+Assumptions!$E$20))</f>
        <v>0.0708958328972984</v>
      </c>
      <c r="O42" s="31" t="n">
        <f aca="false">MAX(0,Baseline!F42+Assumptions!$E$21)</f>
        <v>0.246566036503427</v>
      </c>
      <c r="P42" s="49" t="n">
        <f aca="false">M42*O42</f>
        <v>140592.387141627</v>
      </c>
      <c r="Q42" s="49" t="n">
        <f aca="false">M42-P42</f>
        <v>429609.369496795</v>
      </c>
      <c r="R42" s="21" t="n">
        <f aca="false">L42*Baseline!D42</f>
        <v>14013.3553414855</v>
      </c>
      <c r="S42" s="21" t="n">
        <f aca="false">IFERROR(P42/(Baseline!C42*(1+Assumptions!$E$19)),0)</f>
        <v>1788.43988730747</v>
      </c>
      <c r="T42" s="20" t="n">
        <f aca="false">Q42/(1-N42)*(1-Assumptions!$E$23)</f>
        <v>175708.565507635</v>
      </c>
      <c r="U42" s="20" t="n">
        <f aca="false">P42/(1-N42)*(1-Assumptions!$E$23)*Assumptions!$E$24</f>
        <v>2300.0696372041</v>
      </c>
      <c r="V42" s="49" t="n">
        <f aca="false">Q42-T42-U42</f>
        <v>251600.734351955</v>
      </c>
      <c r="W42" s="20" t="n">
        <f aca="false">T42*Assumptions!$E$25+L42*(Assumptions!$E$27-Assumptions!$E$28+Assumptions!$E$29+Assumptions!$E$36*Assumptions!$E$37)+R42*Assumptions!$E$30+S42*(Assumptions!$E$31+Assumptions!$E$32)+M42*(Assumptions!$E$33+Assumptions!$E$38)+IFERROR(M42*J42/K42,0)*Assumptions!$E$35*Assumptions!$E$34</f>
        <v>63440.7286893758</v>
      </c>
      <c r="X42" s="49" t="n">
        <f aca="false">V42-W42</f>
        <v>188160.005662579</v>
      </c>
      <c r="Y42" s="49" t="n">
        <f aca="false">C42+E42+G42</f>
        <v>53498.2447894293</v>
      </c>
      <c r="Z42" s="49" t="n">
        <f aca="false">X42-Y42</f>
        <v>134661.76087315</v>
      </c>
      <c r="AA42" s="20" t="n">
        <f aca="false">'Fixed Costs'!$G$31/52</f>
        <v>25332.6923076923</v>
      </c>
      <c r="AB42" s="49" t="n">
        <f aca="false">Z42-AA42</f>
        <v>109329.068565458</v>
      </c>
      <c r="AC42" s="21" t="n">
        <f aca="false">L42*Baseline!G42</f>
        <v>2490.4407033418</v>
      </c>
    </row>
    <row r="43" customFormat="false" ht="15" hidden="false" customHeight="false" outlineLevel="0" collapsed="false">
      <c r="A43" s="13" t="n">
        <v>38</v>
      </c>
      <c r="B43" s="14" t="str">
        <f aca="false">Calendar!D43</f>
        <v>P9</v>
      </c>
      <c r="C43" s="20" t="n">
        <f aca="false">IF('Media Plan'!D43&lt;&gt;"",'Media Plan'!D43,Assumptions!$D$10*Baseline!T43)</f>
        <v>36450.6282754497</v>
      </c>
      <c r="D43" s="21" t="n">
        <f aca="false">IFERROR(C43/(Baseline!H43*(1+Assumptions!$E$13)*IFERROR(MAX(0,C43)/'History Y-1'!P43,1)^Assumptions!$E$14),0)</f>
        <v>81946.1655365115</v>
      </c>
      <c r="E43" s="20" t="n">
        <f aca="false">IF('Media Plan'!J43&lt;&gt;"",'Media Plan'!J43,Assumptions!$D$11*Baseline!U43)</f>
        <v>18765.0463200146</v>
      </c>
      <c r="F43" s="21" t="n">
        <f aca="false">IFERROR(E43/(Baseline!I43*(1+Assumptions!$E$13)*IFERROR(MAX(0,E43)/'History Y-1'!Q43,1)^Assumptions!$E$15),0)</f>
        <v>53304.170285939</v>
      </c>
      <c r="G43" s="20" t="n">
        <f aca="false">IF('Media Plan'!P43&lt;&gt;"",'Media Plan'!P43,Assumptions!$D$12*Baseline!V43)</f>
        <v>3749.20021982225</v>
      </c>
      <c r="H43" s="21" t="n">
        <f aca="false">IFERROR(G43/(Baseline!J43*(1+Assumptions!$E$13)*IFERROR(MAX(0,G43)/'History Y-1'!R43,1)^Assumptions!$E$16),0)</f>
        <v>16315.1128457097</v>
      </c>
      <c r="I43" s="21" t="n">
        <f aca="false">'History Y-1'!$F$58*(1+Assumptions!$E$6)*Baseline!Q43+'History Y-1'!$G$58*(1+Assumptions!$E$7)*Baseline!R43+J43</f>
        <v>195323.593849464</v>
      </c>
      <c r="J43" s="21" t="n">
        <f aca="false">'History Y-1'!$H$58*(1+Assumptions!$E$8)*Baseline!S43</f>
        <v>23741.2448536403</v>
      </c>
      <c r="K43" s="55" t="n">
        <f aca="false">D43+F43+H43+I43</f>
        <v>346889.042517625</v>
      </c>
      <c r="L43" s="21" t="n">
        <f aca="false">K43*Baseline!B43*(1+Assumptions!$E$18)*(1+Calendar!G43)</f>
        <v>8116.93916046502</v>
      </c>
      <c r="M43" s="20" t="n">
        <f aca="false">L43*Baseline!C43*(1+Assumptions!$E$19)</f>
        <v>628517.869843295</v>
      </c>
      <c r="N43" s="31" t="n">
        <f aca="false">MAX(0,MIN(0.9,Baseline!E43+Assumptions!$E$20))</f>
        <v>0.0677627051224132</v>
      </c>
      <c r="O43" s="31" t="n">
        <f aca="false">MAX(0,Baseline!F43+Assumptions!$E$21)</f>
        <v>0.253650323188229</v>
      </c>
      <c r="P43" s="49" t="n">
        <f aca="false">M43*O43</f>
        <v>159423.760815329</v>
      </c>
      <c r="Q43" s="49" t="n">
        <f aca="false">M43-P43</f>
        <v>469094.109027966</v>
      </c>
      <c r="R43" s="21" t="n">
        <f aca="false">L43*Baseline!D43</f>
        <v>15733.8685133797</v>
      </c>
      <c r="S43" s="21" t="n">
        <f aca="false">IFERROR(P43/(Baseline!C43*(1+Assumptions!$E$19)),0)</f>
        <v>2058.86424135114</v>
      </c>
      <c r="T43" s="20" t="n">
        <f aca="false">Q43/(1-N43)*(1-Assumptions!$E$23)</f>
        <v>191212.862229497</v>
      </c>
      <c r="U43" s="20" t="n">
        <f aca="false">P43/(1-N43)*(1-Assumptions!$E$23)*Assumptions!$E$24</f>
        <v>2599.38234364588</v>
      </c>
      <c r="V43" s="49" t="n">
        <f aca="false">Q43-T43-U43</f>
        <v>275281.864454823</v>
      </c>
      <c r="W43" s="20" t="n">
        <f aca="false">T43*Assumptions!$E$25+L43*(Assumptions!$E$27-Assumptions!$E$28+Assumptions!$E$29+Assumptions!$E$36*Assumptions!$E$37)+R43*Assumptions!$E$30+S43*(Assumptions!$E$31+Assumptions!$E$32)+M43*(Assumptions!$E$33+Assumptions!$E$38)+IFERROR(M43*J43/K43,0)*Assumptions!$E$35*Assumptions!$E$34</f>
        <v>71030.7545663911</v>
      </c>
      <c r="X43" s="49" t="n">
        <f aca="false">V43-W43</f>
        <v>204251.109888432</v>
      </c>
      <c r="Y43" s="49" t="n">
        <f aca="false">C43+E43+G43</f>
        <v>58964.8748152866</v>
      </c>
      <c r="Z43" s="49" t="n">
        <f aca="false">X43-Y43</f>
        <v>145286.235073145</v>
      </c>
      <c r="AA43" s="20" t="n">
        <f aca="false">'Fixed Costs'!$G$31/52</f>
        <v>25332.6923076923</v>
      </c>
      <c r="AB43" s="49" t="n">
        <f aca="false">Z43-AA43</f>
        <v>119953.542765453</v>
      </c>
      <c r="AC43" s="21" t="n">
        <f aca="false">L43*Baseline!G43</f>
        <v>2733.30381307489</v>
      </c>
    </row>
    <row r="44" customFormat="false" ht="15" hidden="false" customHeight="false" outlineLevel="0" collapsed="false">
      <c r="A44" s="13" t="n">
        <v>39</v>
      </c>
      <c r="B44" s="14" t="str">
        <f aca="false">Calendar!D44</f>
        <v>P9</v>
      </c>
      <c r="C44" s="20" t="n">
        <f aca="false">IF('Media Plan'!D44&lt;&gt;"",'Media Plan'!D44,Assumptions!$D$10*Baseline!T44)</f>
        <v>36575.1345928048</v>
      </c>
      <c r="D44" s="21" t="n">
        <f aca="false">IFERROR(C44/(Baseline!H44*(1+Assumptions!$E$13)*IFERROR(MAX(0,C44)/'History Y-1'!P44,1)^Assumptions!$E$14),0)</f>
        <v>77362.4858024069</v>
      </c>
      <c r="E44" s="20" t="n">
        <f aca="false">IF('Media Plan'!J44&lt;&gt;"",'Media Plan'!J44,Assumptions!$D$11*Baseline!U44)</f>
        <v>18536.9580860902</v>
      </c>
      <c r="F44" s="21" t="n">
        <f aca="false">IFERROR(E44/(Baseline!I44*(1+Assumptions!$E$13)*IFERROR(MAX(0,E44)/'History Y-1'!Q44,1)^Assumptions!$E$15),0)</f>
        <v>52609.9642116575</v>
      </c>
      <c r="G44" s="20" t="n">
        <f aca="false">IF('Media Plan'!P44&lt;&gt;"",'Media Plan'!P44,Assumptions!$D$12*Baseline!V44)</f>
        <v>3838.7435344281</v>
      </c>
      <c r="H44" s="21" t="n">
        <f aca="false">IFERROR(G44/(Baseline!J44*(1+Assumptions!$E$13)*IFERROR(MAX(0,G44)/'History Y-1'!R44,1)^Assumptions!$E$16),0)</f>
        <v>16537.1406203734</v>
      </c>
      <c r="I44" s="21" t="n">
        <f aca="false">'History Y-1'!$F$58*(1+Assumptions!$E$6)*Baseline!Q44+'History Y-1'!$G$58*(1+Assumptions!$E$7)*Baseline!R44+J44</f>
        <v>190332.022716545</v>
      </c>
      <c r="J44" s="21" t="n">
        <f aca="false">'History Y-1'!$H$58*(1+Assumptions!$E$8)*Baseline!S44</f>
        <v>22763.1066496154</v>
      </c>
      <c r="K44" s="55" t="n">
        <f aca="false">D44+F44+H44+I44</f>
        <v>336841.613350982</v>
      </c>
      <c r="L44" s="21" t="n">
        <f aca="false">K44*Baseline!B44*(1+Assumptions!$E$18)*(1+Calendar!G44)</f>
        <v>7453.93552326283</v>
      </c>
      <c r="M44" s="20" t="n">
        <f aca="false">L44*Baseline!C44*(1+Assumptions!$E$19)</f>
        <v>588589.608722051</v>
      </c>
      <c r="N44" s="31" t="n">
        <f aca="false">MAX(0,MIN(0.9,Baseline!E44+Assumptions!$E$20))</f>
        <v>0.0733703783589324</v>
      </c>
      <c r="O44" s="31" t="n">
        <f aca="false">MAX(0,Baseline!F44+Assumptions!$E$21)</f>
        <v>0.258034380017755</v>
      </c>
      <c r="P44" s="49" t="n">
        <f aca="false">M44*O44</f>
        <v>151876.354771488</v>
      </c>
      <c r="Q44" s="49" t="n">
        <f aca="false">M44-P44</f>
        <v>436713.253950563</v>
      </c>
      <c r="R44" s="21" t="n">
        <f aca="false">L44*Baseline!D44</f>
        <v>13941.9855147114</v>
      </c>
      <c r="S44" s="21" t="n">
        <f aca="false">IFERROR(P44/(Baseline!C44*(1+Assumptions!$E$19)),0)</f>
        <v>1923.37163143745</v>
      </c>
      <c r="T44" s="20" t="n">
        <f aca="false">Q44/(1-N44)*(1-Assumptions!$E$23)</f>
        <v>179091.011797479</v>
      </c>
      <c r="U44" s="20" t="n">
        <f aca="false">P44/(1-N44)*(1-Assumptions!$E$23)*Assumptions!$E$24</f>
        <v>2491.30886668419</v>
      </c>
      <c r="V44" s="49" t="n">
        <f aca="false">Q44-T44-U44</f>
        <v>255130.9332864</v>
      </c>
      <c r="W44" s="20" t="n">
        <f aca="false">T44*Assumptions!$E$25+L44*(Assumptions!$E$27-Assumptions!$E$28+Assumptions!$E$29+Assumptions!$E$36*Assumptions!$E$37)+R44*Assumptions!$E$30+S44*(Assumptions!$E$31+Assumptions!$E$32)+M44*(Assumptions!$E$33+Assumptions!$E$38)+IFERROR(M44*J44/K44,0)*Assumptions!$E$35*Assumptions!$E$34</f>
        <v>65268.1900280283</v>
      </c>
      <c r="X44" s="49" t="n">
        <f aca="false">V44-W44</f>
        <v>189862.743258372</v>
      </c>
      <c r="Y44" s="49" t="n">
        <f aca="false">C44+E44+G44</f>
        <v>58950.8362133231</v>
      </c>
      <c r="Z44" s="49" t="n">
        <f aca="false">X44-Y44</f>
        <v>130911.907045049</v>
      </c>
      <c r="AA44" s="20" t="n">
        <f aca="false">'Fixed Costs'!$G$31/52</f>
        <v>25332.6923076923</v>
      </c>
      <c r="AB44" s="49" t="n">
        <f aca="false">Z44-AA44</f>
        <v>105579.214737356</v>
      </c>
      <c r="AC44" s="21" t="n">
        <f aca="false">L44*Baseline!G44</f>
        <v>2543.310826251</v>
      </c>
    </row>
    <row r="45" customFormat="false" ht="15" hidden="false" customHeight="false" outlineLevel="0" collapsed="false">
      <c r="A45" s="13" t="n">
        <v>40</v>
      </c>
      <c r="B45" s="14" t="str">
        <f aca="false">Calendar!D45</f>
        <v>P10</v>
      </c>
      <c r="C45" s="20" t="n">
        <f aca="false">IF('Media Plan'!D45&lt;&gt;"",'Media Plan'!D45,Assumptions!$D$10*Baseline!T45)</f>
        <v>35566.6941180186</v>
      </c>
      <c r="D45" s="21" t="n">
        <f aca="false">IFERROR(C45/(Baseline!H45*(1+Assumptions!$E$13)*IFERROR(MAX(0,C45)/'History Y-1'!P45,1)^Assumptions!$E$14),0)</f>
        <v>76765.4238199811</v>
      </c>
      <c r="E45" s="20" t="n">
        <f aca="false">IF('Media Plan'!J45&lt;&gt;"",'Media Plan'!J45,Assumptions!$D$11*Baseline!U45)</f>
        <v>16884.8031006538</v>
      </c>
      <c r="F45" s="21" t="n">
        <f aca="false">IFERROR(E45/(Baseline!I45*(1+Assumptions!$E$13)*IFERROR(MAX(0,E45)/'History Y-1'!Q45,1)^Assumptions!$E$15),0)</f>
        <v>48034.1340072321</v>
      </c>
      <c r="G45" s="20" t="n">
        <f aca="false">IF('Media Plan'!P45&lt;&gt;"",'Media Plan'!P45,Assumptions!$D$12*Baseline!V45)</f>
        <v>3769.40774751306</v>
      </c>
      <c r="H45" s="21" t="n">
        <f aca="false">IFERROR(G45/(Baseline!J45*(1+Assumptions!$E$13)*IFERROR(MAX(0,G45)/'History Y-1'!R45,1)^Assumptions!$E$16),0)</f>
        <v>16046.8444206616</v>
      </c>
      <c r="I45" s="21" t="n">
        <f aca="false">'History Y-1'!$F$58*(1+Assumptions!$E$6)*Baseline!Q45+'History Y-1'!$G$58*(1+Assumptions!$E$7)*Baseline!R45+J45</f>
        <v>190706.397077816</v>
      </c>
      <c r="J45" s="21" t="n">
        <f aca="false">'History Y-1'!$H$58*(1+Assumptions!$E$8)*Baseline!S45</f>
        <v>21898.434800807</v>
      </c>
      <c r="K45" s="55" t="n">
        <f aca="false">D45+F45+H45+I45</f>
        <v>331552.799325691</v>
      </c>
      <c r="L45" s="21" t="n">
        <f aca="false">K45*Baseline!B45*(1+Assumptions!$E$18)*(1+Calendar!G45)</f>
        <v>7389.08852311677</v>
      </c>
      <c r="M45" s="20" t="n">
        <f aca="false">L45*Baseline!C45*(1+Assumptions!$E$19)</f>
        <v>571994.687221543</v>
      </c>
      <c r="N45" s="31" t="n">
        <f aca="false">MAX(0,MIN(0.9,Baseline!E45+Assumptions!$E$20))</f>
        <v>0.0749437450166834</v>
      </c>
      <c r="O45" s="31" t="n">
        <f aca="false">MAX(0,Baseline!F45+Assumptions!$E$21)</f>
        <v>0.250198023202177</v>
      </c>
      <c r="P45" s="49" t="n">
        <f aca="false">M45*O45</f>
        <v>143111.940024978</v>
      </c>
      <c r="Q45" s="49" t="n">
        <f aca="false">M45-P45</f>
        <v>428882.747196565</v>
      </c>
      <c r="R45" s="21" t="n">
        <f aca="false">L45*Baseline!D45</f>
        <v>14259.6309321234</v>
      </c>
      <c r="S45" s="21" t="n">
        <f aca="false">IFERROR(P45/(Baseline!C45*(1+Assumptions!$E$19)),0)</f>
        <v>1848.73534174971</v>
      </c>
      <c r="T45" s="20" t="n">
        <f aca="false">Q45/(1-N45)*(1-Assumptions!$E$23)</f>
        <v>176178.954584372</v>
      </c>
      <c r="U45" s="20" t="n">
        <f aca="false">P45/(1-N45)*(1-Assumptions!$E$23)*Assumptions!$E$24</f>
        <v>2351.53427336037</v>
      </c>
      <c r="V45" s="49" t="n">
        <f aca="false">Q45-T45-U45</f>
        <v>250352.258338833</v>
      </c>
      <c r="W45" s="20" t="n">
        <f aca="false">T45*Assumptions!$E$25+L45*(Assumptions!$E$27-Assumptions!$E$28+Assumptions!$E$29+Assumptions!$E$36*Assumptions!$E$37)+R45*Assumptions!$E$30+S45*(Assumptions!$E$31+Assumptions!$E$32)+M45*(Assumptions!$E$33+Assumptions!$E$38)+IFERROR(M45*J45/K45,0)*Assumptions!$E$35*Assumptions!$E$34</f>
        <v>64457.2888342333</v>
      </c>
      <c r="X45" s="49" t="n">
        <f aca="false">V45-W45</f>
        <v>185894.9695046</v>
      </c>
      <c r="Y45" s="49" t="n">
        <f aca="false">C45+E45+G45</f>
        <v>56220.9049661854</v>
      </c>
      <c r="Z45" s="49" t="n">
        <f aca="false">X45-Y45</f>
        <v>129674.064538414</v>
      </c>
      <c r="AA45" s="20" t="n">
        <f aca="false">'Fixed Costs'!$G$31/52</f>
        <v>25332.6923076923</v>
      </c>
      <c r="AB45" s="49" t="n">
        <f aca="false">Z45-AA45</f>
        <v>104341.372230722</v>
      </c>
      <c r="AC45" s="21" t="n">
        <f aca="false">L45*Baseline!G45</f>
        <v>2500.41702796795</v>
      </c>
    </row>
    <row r="46" customFormat="false" ht="15" hidden="false" customHeight="false" outlineLevel="0" collapsed="false">
      <c r="A46" s="13" t="n">
        <v>41</v>
      </c>
      <c r="B46" s="14" t="str">
        <f aca="false">Calendar!D46</f>
        <v>P10</v>
      </c>
      <c r="C46" s="20" t="n">
        <f aca="false">IF('Media Plan'!D46&lt;&gt;"",'Media Plan'!D46,Assumptions!$D$10*Baseline!T46)</f>
        <v>35753.04301567</v>
      </c>
      <c r="D46" s="21" t="n">
        <f aca="false">IFERROR(C46/(Baseline!H46*(1+Assumptions!$E$13)*IFERROR(MAX(0,C46)/'History Y-1'!P46,1)^Assumptions!$E$14),0)</f>
        <v>75539.8551395622</v>
      </c>
      <c r="E46" s="20" t="n">
        <f aca="false">IF('Media Plan'!J46&lt;&gt;"",'Media Plan'!J46,Assumptions!$D$11*Baseline!U46)</f>
        <v>18382.1574121692</v>
      </c>
      <c r="F46" s="21" t="n">
        <f aca="false">IFERROR(E46/(Baseline!I46*(1+Assumptions!$E$13)*IFERROR(MAX(0,E46)/'History Y-1'!Q46,1)^Assumptions!$E$15),0)</f>
        <v>50710.0130916488</v>
      </c>
      <c r="G46" s="20" t="n">
        <f aca="false">IF('Media Plan'!P46&lt;&gt;"",'Media Plan'!P46,Assumptions!$D$12*Baseline!V46)</f>
        <v>3704.60426992037</v>
      </c>
      <c r="H46" s="21" t="n">
        <f aca="false">IFERROR(G46/(Baseline!J46*(1+Assumptions!$E$13)*IFERROR(MAX(0,G46)/'History Y-1'!R46,1)^Assumptions!$E$16),0)</f>
        <v>16169.3054568123</v>
      </c>
      <c r="I46" s="21" t="n">
        <f aca="false">'History Y-1'!$F$58*(1+Assumptions!$E$6)*Baseline!Q46+'History Y-1'!$G$58*(1+Assumptions!$E$7)*Baseline!R46+J46</f>
        <v>196119.36311322</v>
      </c>
      <c r="J46" s="21" t="n">
        <f aca="false">'History Y-1'!$H$58*(1+Assumptions!$E$8)*Baseline!S46</f>
        <v>21913.6984281175</v>
      </c>
      <c r="K46" s="55" t="n">
        <f aca="false">D46+F46+H46+I46</f>
        <v>338538.536801244</v>
      </c>
      <c r="L46" s="21" t="n">
        <f aca="false">K46*Baseline!B46*(1+Assumptions!$E$18)*(1+Calendar!G46)</f>
        <v>7585.14835766408</v>
      </c>
      <c r="M46" s="20" t="n">
        <f aca="false">L46*Baseline!C46*(1+Assumptions!$E$19)</f>
        <v>589384.294190169</v>
      </c>
      <c r="N46" s="31" t="n">
        <f aca="false">MAX(0,MIN(0.9,Baseline!E46+Assumptions!$E$20))</f>
        <v>0.0671528480792872</v>
      </c>
      <c r="O46" s="31" t="n">
        <f aca="false">MAX(0,Baseline!F46+Assumptions!$E$21)</f>
        <v>0.246575550397254</v>
      </c>
      <c r="P46" s="49" t="n">
        <f aca="false">M46*O46</f>
        <v>145327.756735438</v>
      </c>
      <c r="Q46" s="49" t="n">
        <f aca="false">M46-P46</f>
        <v>444056.537454731</v>
      </c>
      <c r="R46" s="21" t="n">
        <f aca="false">L46*Baseline!D46</f>
        <v>14612.0414346589</v>
      </c>
      <c r="S46" s="21" t="n">
        <f aca="false">IFERROR(P46/(Baseline!C46*(1+Assumptions!$E$19)),0)</f>
        <v>1870.31213113585</v>
      </c>
      <c r="T46" s="20" t="n">
        <f aca="false">Q46/(1-N46)*(1-Assumptions!$E$23)</f>
        <v>180888.673868342</v>
      </c>
      <c r="U46" s="20" t="n">
        <f aca="false">P46/(1-N46)*(1-Assumptions!$E$23)*Assumptions!$E$24</f>
        <v>2367.9998355898</v>
      </c>
      <c r="V46" s="49" t="n">
        <f aca="false">Q46-T46-U46</f>
        <v>260799.863750799</v>
      </c>
      <c r="W46" s="20" t="n">
        <f aca="false">T46*Assumptions!$E$25+L46*(Assumptions!$E$27-Assumptions!$E$28+Assumptions!$E$29+Assumptions!$E$36*Assumptions!$E$37)+R46*Assumptions!$E$30+S46*(Assumptions!$E$31+Assumptions!$E$32)+M46*(Assumptions!$E$33+Assumptions!$E$38)+IFERROR(M46*J46/K46,0)*Assumptions!$E$35*Assumptions!$E$34</f>
        <v>66015.5194500284</v>
      </c>
      <c r="X46" s="49" t="n">
        <f aca="false">V46-W46</f>
        <v>194784.34430077</v>
      </c>
      <c r="Y46" s="49" t="n">
        <f aca="false">C46+E46+G46</f>
        <v>57839.8046977596</v>
      </c>
      <c r="Z46" s="49" t="n">
        <f aca="false">X46-Y46</f>
        <v>136944.539603011</v>
      </c>
      <c r="AA46" s="20" t="n">
        <f aca="false">'Fixed Costs'!$G$31/52</f>
        <v>25332.6923076923</v>
      </c>
      <c r="AB46" s="49" t="n">
        <f aca="false">Z46-AA46</f>
        <v>111611.847295319</v>
      </c>
      <c r="AC46" s="21" t="n">
        <f aca="false">L46*Baseline!G46</f>
        <v>2644.93399784933</v>
      </c>
    </row>
    <row r="47" customFormat="false" ht="15" hidden="false" customHeight="false" outlineLevel="0" collapsed="false">
      <c r="A47" s="13" t="n">
        <v>42</v>
      </c>
      <c r="B47" s="14" t="str">
        <f aca="false">Calendar!D47</f>
        <v>P10</v>
      </c>
      <c r="C47" s="20" t="n">
        <f aca="false">IF('Media Plan'!D47&lt;&gt;"",'Media Plan'!D47,Assumptions!$D$10*Baseline!T47)</f>
        <v>34711.0376421915</v>
      </c>
      <c r="D47" s="21" t="n">
        <f aca="false">IFERROR(C47/(Baseline!H47*(1+Assumptions!$E$13)*IFERROR(MAX(0,C47)/'History Y-1'!P47,1)^Assumptions!$E$14),0)</f>
        <v>74382.6642573196</v>
      </c>
      <c r="E47" s="20" t="n">
        <f aca="false">IF('Media Plan'!J47&lt;&gt;"",'Media Plan'!J47,Assumptions!$D$11*Baseline!U47)</f>
        <v>18584.7866663944</v>
      </c>
      <c r="F47" s="21" t="n">
        <f aca="false">IFERROR(E47/(Baseline!I47*(1+Assumptions!$E$13)*IFERROR(MAX(0,E47)/'History Y-1'!Q47,1)^Assumptions!$E$15),0)</f>
        <v>51386.022931329</v>
      </c>
      <c r="G47" s="20" t="n">
        <f aca="false">IF('Media Plan'!P47&lt;&gt;"",'Media Plan'!P47,Assumptions!$D$12*Baseline!V47)</f>
        <v>3877.87886680719</v>
      </c>
      <c r="H47" s="21" t="n">
        <f aca="false">IFERROR(G47/(Baseline!J47*(1+Assumptions!$E$13)*IFERROR(MAX(0,G47)/'History Y-1'!R47,1)^Assumptions!$E$16),0)</f>
        <v>16736.3770939236</v>
      </c>
      <c r="I47" s="21" t="n">
        <f aca="false">'History Y-1'!$F$58*(1+Assumptions!$E$6)*Baseline!Q47+'History Y-1'!$G$58*(1+Assumptions!$E$7)*Baseline!R47+J47</f>
        <v>186729.107715067</v>
      </c>
      <c r="J47" s="21" t="n">
        <f aca="false">'History Y-1'!$H$58*(1+Assumptions!$E$8)*Baseline!S47</f>
        <v>22059.7289595312</v>
      </c>
      <c r="K47" s="55" t="n">
        <f aca="false">D47+F47+H47+I47</f>
        <v>329234.171997639</v>
      </c>
      <c r="L47" s="21" t="n">
        <f aca="false">K47*Baseline!B47*(1+Assumptions!$E$18)*(1+Calendar!G47)</f>
        <v>7336.52367611207</v>
      </c>
      <c r="M47" s="20" t="n">
        <f aca="false">L47*Baseline!C47*(1+Assumptions!$E$19)</f>
        <v>578877.604228817</v>
      </c>
      <c r="N47" s="31" t="n">
        <f aca="false">MAX(0,MIN(0.9,Baseline!E47+Assumptions!$E$20))</f>
        <v>0.0694432081424889</v>
      </c>
      <c r="O47" s="31" t="n">
        <f aca="false">MAX(0,Baseline!F47+Assumptions!$E$21)</f>
        <v>0.250198695138602</v>
      </c>
      <c r="P47" s="49" t="n">
        <f aca="false">M47*O47</f>
        <v>144834.42122301</v>
      </c>
      <c r="Q47" s="49" t="n">
        <f aca="false">M47-P47</f>
        <v>434043.183005807</v>
      </c>
      <c r="R47" s="21" t="n">
        <f aca="false">L47*Baseline!D47</f>
        <v>14195.2971546117</v>
      </c>
      <c r="S47" s="21" t="n">
        <f aca="false">IFERROR(P47/(Baseline!C47*(1+Assumptions!$E$19)),0)</f>
        <v>1835.5886506167</v>
      </c>
      <c r="T47" s="20" t="n">
        <f aca="false">Q47/(1-N47)*(1-Assumptions!$E$23)</f>
        <v>177244.861340459</v>
      </c>
      <c r="U47" s="20" t="n">
        <f aca="false">P47/(1-N47)*(1-Assumptions!$E$23)*Assumptions!$E$24</f>
        <v>2365.76985075281</v>
      </c>
      <c r="V47" s="49" t="n">
        <f aca="false">Q47-T47-U47</f>
        <v>254432.551814595</v>
      </c>
      <c r="W47" s="20" t="n">
        <f aca="false">T47*Assumptions!$E$25+L47*(Assumptions!$E$27-Assumptions!$E$28+Assumptions!$E$29+Assumptions!$E$36*Assumptions!$E$37)+R47*Assumptions!$E$30+S47*(Assumptions!$E$31+Assumptions!$E$32)+M47*(Assumptions!$E$33+Assumptions!$E$38)+IFERROR(M47*J47/K47,0)*Assumptions!$E$35*Assumptions!$E$34</f>
        <v>64368.0857050901</v>
      </c>
      <c r="X47" s="49" t="n">
        <f aca="false">V47-W47</f>
        <v>190064.466109505</v>
      </c>
      <c r="Y47" s="49" t="n">
        <f aca="false">C47+E47+G47</f>
        <v>57173.7031753931</v>
      </c>
      <c r="Z47" s="49" t="n">
        <f aca="false">X47-Y47</f>
        <v>132890.762934112</v>
      </c>
      <c r="AA47" s="20" t="n">
        <f aca="false">'Fixed Costs'!$G$31/52</f>
        <v>25332.6923076923</v>
      </c>
      <c r="AB47" s="49" t="n">
        <f aca="false">Z47-AA47</f>
        <v>107558.07062642</v>
      </c>
      <c r="AC47" s="21" t="n">
        <f aca="false">L47*Baseline!G47</f>
        <v>2563.41257565648</v>
      </c>
    </row>
    <row r="48" customFormat="false" ht="15" hidden="false" customHeight="false" outlineLevel="0" collapsed="false">
      <c r="A48" s="13" t="n">
        <v>43</v>
      </c>
      <c r="B48" s="14" t="str">
        <f aca="false">Calendar!D48</f>
        <v>P10</v>
      </c>
      <c r="C48" s="20" t="n">
        <f aca="false">IF('Media Plan'!D48&lt;&gt;"",'Media Plan'!D48,Assumptions!$D$10*Baseline!T48)</f>
        <v>70367.0563392516</v>
      </c>
      <c r="D48" s="21" t="n">
        <f aca="false">IFERROR(C48/(Baseline!H48*(1+Assumptions!$E$13)*IFERROR(MAX(0,C48)/'History Y-1'!P48,1)^Assumptions!$E$14),0)</f>
        <v>155785.224129982</v>
      </c>
      <c r="E48" s="20" t="n">
        <f aca="false">IF('Media Plan'!J48&lt;&gt;"",'Media Plan'!J48,Assumptions!$D$11*Baseline!U48)</f>
        <v>35591.4202648589</v>
      </c>
      <c r="F48" s="21" t="n">
        <f aca="false">IFERROR(E48/(Baseline!I48*(1+Assumptions!$E$13)*IFERROR(MAX(0,E48)/'History Y-1'!Q48,1)^Assumptions!$E$15),0)</f>
        <v>98316.7183190555</v>
      </c>
      <c r="G48" s="20" t="n">
        <f aca="false">IF('Media Plan'!P48&lt;&gt;"",'Media Plan'!P48,Assumptions!$D$12*Baseline!V48)</f>
        <v>7029.56095460577</v>
      </c>
      <c r="H48" s="21" t="n">
        <f aca="false">IFERROR(G48/(Baseline!J48*(1+Assumptions!$E$13)*IFERROR(MAX(0,G48)/'History Y-1'!R48,1)^Assumptions!$E$16),0)</f>
        <v>30973.9364625294</v>
      </c>
      <c r="I48" s="21" t="n">
        <f aca="false">'History Y-1'!$F$58*(1+Assumptions!$E$6)*Baseline!Q48+'History Y-1'!$G$58*(1+Assumptions!$E$7)*Baseline!R48+J48</f>
        <v>408100.837720602</v>
      </c>
      <c r="J48" s="21" t="n">
        <f aca="false">'History Y-1'!$H$58*(1+Assumptions!$E$8)*Baseline!S48</f>
        <v>44483.3276776259</v>
      </c>
      <c r="K48" s="55" t="n">
        <f aca="false">D48+F48+H48+I48</f>
        <v>693176.716632169</v>
      </c>
      <c r="L48" s="21" t="n">
        <f aca="false">K48*Baseline!B48*(1+Assumptions!$E$18)*(1+Calendar!G48)</f>
        <v>21603.0976539914</v>
      </c>
      <c r="M48" s="20" t="n">
        <f aca="false">L48*Baseline!C48*(1+Assumptions!$E$19)</f>
        <v>1593549.54961513</v>
      </c>
      <c r="N48" s="31" t="n">
        <f aca="false">MAX(0,MIN(0.9,Baseline!E48+Assumptions!$E$20))</f>
        <v>0.238301186391011</v>
      </c>
      <c r="O48" s="31" t="n">
        <f aca="false">MAX(0,Baseline!F48+Assumptions!$E$21)</f>
        <v>0.265522466840211</v>
      </c>
      <c r="P48" s="49" t="n">
        <f aca="false">M48*O48</f>
        <v>423123.207445917</v>
      </c>
      <c r="Q48" s="49" t="n">
        <f aca="false">M48-P48</f>
        <v>1170426.34216921</v>
      </c>
      <c r="R48" s="21" t="n">
        <f aca="false">L48*Baseline!D48</f>
        <v>40562.9390266776</v>
      </c>
      <c r="S48" s="21" t="n">
        <f aca="false">IFERROR(P48/(Baseline!C48*(1+Assumptions!$E$19)),0)</f>
        <v>5736.10778047778</v>
      </c>
      <c r="T48" s="20" t="n">
        <f aca="false">Q48/(1-N48)*(1-Assumptions!$E$23)</f>
        <v>583907.972649956</v>
      </c>
      <c r="U48" s="20" t="n">
        <f aca="false">P48/(1-N48)*(1-Assumptions!$E$23)*Assumptions!$E$24</f>
        <v>8443.59035129005</v>
      </c>
      <c r="V48" s="49" t="n">
        <f aca="false">Q48-T48-U48</f>
        <v>578074.779167967</v>
      </c>
      <c r="W48" s="20" t="n">
        <f aca="false">T48*Assumptions!$E$25+L48*(Assumptions!$E$27-Assumptions!$E$28+Assumptions!$E$29+Assumptions!$E$36*Assumptions!$E$37)+R48*Assumptions!$E$30+S48*(Assumptions!$E$31+Assumptions!$E$32)+M48*(Assumptions!$E$33+Assumptions!$E$38)+IFERROR(M48*J48/K48,0)*Assumptions!$E$35*Assumptions!$E$34</f>
        <v>189198.403690328</v>
      </c>
      <c r="X48" s="49" t="n">
        <f aca="false">V48-W48</f>
        <v>388876.37547764</v>
      </c>
      <c r="Y48" s="49" t="n">
        <f aca="false">C48+E48+G48</f>
        <v>112988.037558716</v>
      </c>
      <c r="Z48" s="49" t="n">
        <f aca="false">X48-Y48</f>
        <v>275888.337918923</v>
      </c>
      <c r="AA48" s="20" t="n">
        <f aca="false">'Fixed Costs'!$G$31/52</f>
        <v>25332.6923076923</v>
      </c>
      <c r="AB48" s="49" t="n">
        <f aca="false">Z48-AA48</f>
        <v>250555.645611231</v>
      </c>
      <c r="AC48" s="21" t="n">
        <f aca="false">L48*Baseline!G48</f>
        <v>9629.89407399249</v>
      </c>
    </row>
    <row r="49" customFormat="false" ht="15" hidden="false" customHeight="false" outlineLevel="0" collapsed="false">
      <c r="A49" s="13" t="n">
        <v>44</v>
      </c>
      <c r="B49" s="14" t="str">
        <f aca="false">Calendar!D49</f>
        <v>P11</v>
      </c>
      <c r="C49" s="20" t="n">
        <f aca="false">IF('Media Plan'!D49&lt;&gt;"",'Media Plan'!D49,Assumptions!$D$10*Baseline!T49)</f>
        <v>55998.3798651501</v>
      </c>
      <c r="D49" s="21" t="n">
        <f aca="false">IFERROR(C49/(Baseline!H49*(1+Assumptions!$E$13)*IFERROR(MAX(0,C49)/'History Y-1'!P49,1)^Assumptions!$E$14),0)</f>
        <v>120881.892859748</v>
      </c>
      <c r="E49" s="20" t="n">
        <f aca="false">IF('Media Plan'!J49&lt;&gt;"",'Media Plan'!J49,Assumptions!$D$11*Baseline!U49)</f>
        <v>27515.5658490798</v>
      </c>
      <c r="F49" s="21" t="n">
        <f aca="false">IFERROR(E49/(Baseline!I49*(1+Assumptions!$E$13)*IFERROR(MAX(0,E49)/'History Y-1'!Q49,1)^Assumptions!$E$15),0)</f>
        <v>76935.6330167553</v>
      </c>
      <c r="G49" s="20" t="n">
        <f aca="false">IF('Media Plan'!P49&lt;&gt;"",'Media Plan'!P49,Assumptions!$D$12*Baseline!V49)</f>
        <v>5600.22521754638</v>
      </c>
      <c r="H49" s="21" t="n">
        <f aca="false">IFERROR(G49/(Baseline!J49*(1+Assumptions!$E$13)*IFERROR(MAX(0,G49)/'History Y-1'!R49,1)^Assumptions!$E$16),0)</f>
        <v>24991.7963394866</v>
      </c>
      <c r="I49" s="21" t="n">
        <f aca="false">'History Y-1'!$F$58*(1+Assumptions!$E$6)*Baseline!Q49+'History Y-1'!$G$58*(1+Assumptions!$E$7)*Baseline!R49+J49</f>
        <v>324338.102241739</v>
      </c>
      <c r="J49" s="21" t="n">
        <f aca="false">'History Y-1'!$H$58*(1+Assumptions!$E$8)*Baseline!S49</f>
        <v>34556.6350214652</v>
      </c>
      <c r="K49" s="55" t="n">
        <f aca="false">D49+F49+H49+I49</f>
        <v>547147.424457729</v>
      </c>
      <c r="L49" s="21" t="n">
        <f aca="false">K49*Baseline!B49*(1+Assumptions!$E$18)*(1+Calendar!G49)</f>
        <v>15071.9166717834</v>
      </c>
      <c r="M49" s="20" t="n">
        <f aca="false">L49*Baseline!C49*(1+Assumptions!$E$19)</f>
        <v>1159294.01729982</v>
      </c>
      <c r="N49" s="31" t="n">
        <f aca="false">MAX(0,MIN(0.9,Baseline!E49+Assumptions!$E$20))</f>
        <v>0.213130144135904</v>
      </c>
      <c r="O49" s="31" t="n">
        <f aca="false">MAX(0,Baseline!F49+Assumptions!$E$21)</f>
        <v>0.276575752943282</v>
      </c>
      <c r="P49" s="49" t="n">
        <f aca="false">M49*O49</f>
        <v>320632.615717341</v>
      </c>
      <c r="Q49" s="49" t="n">
        <f aca="false">M49-P49</f>
        <v>838661.401582482</v>
      </c>
      <c r="R49" s="21" t="n">
        <f aca="false">L49*Baseline!D49</f>
        <v>28041.3408824156</v>
      </c>
      <c r="S49" s="21" t="n">
        <f aca="false">IFERROR(P49/(Baseline!C49*(1+Assumptions!$E$19)),0)</f>
        <v>4168.52670179692</v>
      </c>
      <c r="T49" s="20" t="n">
        <f aca="false">Q49/(1-N49)*(1-Assumptions!$E$23)</f>
        <v>405011.489798874</v>
      </c>
      <c r="U49" s="20" t="n">
        <f aca="false">P49/(1-N49)*(1-Assumptions!$E$23)*Assumptions!$E$24</f>
        <v>6193.67449722884</v>
      </c>
      <c r="V49" s="49" t="n">
        <f aca="false">Q49-T49-U49</f>
        <v>427456.237286379</v>
      </c>
      <c r="W49" s="20" t="n">
        <f aca="false">T49*Assumptions!$E$25+L49*(Assumptions!$E$27-Assumptions!$E$28+Assumptions!$E$29+Assumptions!$E$36*Assumptions!$E$37)+R49*Assumptions!$E$30+S49*(Assumptions!$E$31+Assumptions!$E$32)+M49*(Assumptions!$E$33+Assumptions!$E$38)+IFERROR(M49*J49/K49,0)*Assumptions!$E$35*Assumptions!$E$34</f>
        <v>133361.853868556</v>
      </c>
      <c r="X49" s="49" t="n">
        <f aca="false">V49-W49</f>
        <v>294094.383417823</v>
      </c>
      <c r="Y49" s="49" t="n">
        <f aca="false">C49+E49+G49</f>
        <v>89114.1709317762</v>
      </c>
      <c r="Z49" s="49" t="n">
        <f aca="false">X49-Y49</f>
        <v>204980.212486047</v>
      </c>
      <c r="AA49" s="20" t="n">
        <f aca="false">'Fixed Costs'!$G$31/52</f>
        <v>25332.6923076923</v>
      </c>
      <c r="AB49" s="49" t="n">
        <f aca="false">Z49-AA49</f>
        <v>179647.520178354</v>
      </c>
      <c r="AC49" s="21" t="n">
        <f aca="false">L49*Baseline!G49</f>
        <v>6681.35068970866</v>
      </c>
    </row>
    <row r="50" customFormat="false" ht="15" hidden="false" customHeight="false" outlineLevel="0" collapsed="false">
      <c r="A50" s="13" t="n">
        <v>45</v>
      </c>
      <c r="B50" s="14" t="str">
        <f aca="false">Calendar!D50</f>
        <v>P11</v>
      </c>
      <c r="C50" s="20" t="n">
        <f aca="false">IF('Media Plan'!D50&lt;&gt;"",'Media Plan'!D50,Assumptions!$D$10*Baseline!T50)</f>
        <v>50141.3289259867</v>
      </c>
      <c r="D50" s="21" t="n">
        <f aca="false">IFERROR(C50/(Baseline!H50*(1+Assumptions!$E$13)*IFERROR(MAX(0,C50)/'History Y-1'!P50,1)^Assumptions!$E$14),0)</f>
        <v>106131.934697323</v>
      </c>
      <c r="E50" s="20" t="n">
        <f aca="false">IF('Media Plan'!J50&lt;&gt;"",'Media Plan'!J50,Assumptions!$D$11*Baseline!U50)</f>
        <v>24919.1919976388</v>
      </c>
      <c r="F50" s="21" t="n">
        <f aca="false">IFERROR(E50/(Baseline!I50*(1+Assumptions!$E$13)*IFERROR(MAX(0,E50)/'History Y-1'!Q50,1)^Assumptions!$E$15),0)</f>
        <v>68538.7954179826</v>
      </c>
      <c r="G50" s="20" t="n">
        <f aca="false">IF('Media Plan'!P50&lt;&gt;"",'Media Plan'!P50,Assumptions!$D$12*Baseline!V50)</f>
        <v>5354.57899800059</v>
      </c>
      <c r="H50" s="21" t="n">
        <f aca="false">IFERROR(G50/(Baseline!J50*(1+Assumptions!$E$13)*IFERROR(MAX(0,G50)/'History Y-1'!R50,1)^Assumptions!$E$16),0)</f>
        <v>23242.3711647321</v>
      </c>
      <c r="I50" s="21" t="n">
        <f aca="false">'History Y-1'!$F$58*(1+Assumptions!$E$6)*Baseline!Q50+'History Y-1'!$G$58*(1+Assumptions!$E$7)*Baseline!R50+J50</f>
        <v>253346.242854685</v>
      </c>
      <c r="J50" s="21" t="n">
        <f aca="false">'History Y-1'!$H$58*(1+Assumptions!$E$8)*Baseline!S50</f>
        <v>29685.1129331659</v>
      </c>
      <c r="K50" s="55" t="n">
        <f aca="false">D50+F50+H50+I50</f>
        <v>451259.344134723</v>
      </c>
      <c r="L50" s="21" t="n">
        <f aca="false">K50*Baseline!B50*(1+Assumptions!$E$18)*(1+Calendar!G50)</f>
        <v>11168.4808644864</v>
      </c>
      <c r="M50" s="20" t="n">
        <f aca="false">L50*Baseline!C50*(1+Assumptions!$E$19)</f>
        <v>961802.509722113</v>
      </c>
      <c r="N50" s="31" t="n">
        <f aca="false">MAX(0,MIN(0.9,Baseline!E50+Assumptions!$E$20))</f>
        <v>0.0689039231763998</v>
      </c>
      <c r="O50" s="31" t="n">
        <f aca="false">MAX(0,Baseline!F50+Assumptions!$E$21)</f>
        <v>0.262685002220714</v>
      </c>
      <c r="P50" s="49" t="n">
        <f aca="false">M50*O50</f>
        <v>252651.094402242</v>
      </c>
      <c r="Q50" s="49" t="n">
        <f aca="false">M50-P50</f>
        <v>709151.415319871</v>
      </c>
      <c r="R50" s="21" t="n">
        <f aca="false">L50*Baseline!D50</f>
        <v>20975.0306170742</v>
      </c>
      <c r="S50" s="21" t="n">
        <f aca="false">IFERROR(P50/(Baseline!C50*(1+Assumptions!$E$19)),0)</f>
        <v>2933.79242068962</v>
      </c>
      <c r="T50" s="20" t="n">
        <f aca="false">Q50/(1-N50)*(1-Assumptions!$E$23)</f>
        <v>289419.68990017</v>
      </c>
      <c r="U50" s="20" t="n">
        <f aca="false">P50/(1-N50)*(1-Assumptions!$E$23)*Assumptions!$E$24</f>
        <v>4124.49019011562</v>
      </c>
      <c r="V50" s="49" t="n">
        <f aca="false">Q50-T50-U50</f>
        <v>415607.235229586</v>
      </c>
      <c r="W50" s="20" t="n">
        <f aca="false">T50*Assumptions!$E$25+L50*(Assumptions!$E$27-Assumptions!$E$28+Assumptions!$E$29+Assumptions!$E$36*Assumptions!$E$37)+R50*Assumptions!$E$30+S50*(Assumptions!$E$31+Assumptions!$E$32)+M50*(Assumptions!$E$33+Assumptions!$E$38)+IFERROR(M50*J50/K50,0)*Assumptions!$E$35*Assumptions!$E$34</f>
        <v>100285.833092556</v>
      </c>
      <c r="X50" s="49" t="n">
        <f aca="false">V50-W50</f>
        <v>315321.402137029</v>
      </c>
      <c r="Y50" s="49" t="n">
        <f aca="false">C50+E50+G50</f>
        <v>80415.0999216261</v>
      </c>
      <c r="Z50" s="49" t="n">
        <f aca="false">X50-Y50</f>
        <v>234906.302215403</v>
      </c>
      <c r="AA50" s="20" t="n">
        <f aca="false">'Fixed Costs'!$G$31/52</f>
        <v>25332.6923076923</v>
      </c>
      <c r="AB50" s="49" t="n">
        <f aca="false">Z50-AA50</f>
        <v>209573.609907711</v>
      </c>
      <c r="AC50" s="21" t="n">
        <f aca="false">L50*Baseline!G50</f>
        <v>3993.05574200937</v>
      </c>
    </row>
    <row r="51" customFormat="false" ht="15" hidden="false" customHeight="false" outlineLevel="0" collapsed="false">
      <c r="A51" s="13" t="n">
        <v>46</v>
      </c>
      <c r="B51" s="14" t="str">
        <f aca="false">Calendar!D51</f>
        <v>P11</v>
      </c>
      <c r="C51" s="20" t="n">
        <f aca="false">IF('Media Plan'!D51&lt;&gt;"",'Media Plan'!D51,Assumptions!$D$10*Baseline!T51)</f>
        <v>45741.8037612385</v>
      </c>
      <c r="D51" s="21" t="n">
        <f aca="false">IFERROR(C51/(Baseline!H51*(1+Assumptions!$E$13)*IFERROR(MAX(0,C51)/'History Y-1'!P51,1)^Assumptions!$E$14),0)</f>
        <v>94955.7648157441</v>
      </c>
      <c r="E51" s="20" t="n">
        <f aca="false">IF('Media Plan'!J51&lt;&gt;"",'Media Plan'!J51,Assumptions!$D$11*Baseline!U51)</f>
        <v>21935.0324977582</v>
      </c>
      <c r="F51" s="21" t="n">
        <f aca="false">IFERROR(E51/(Baseline!I51*(1+Assumptions!$E$13)*IFERROR(MAX(0,E51)/'History Y-1'!Q51,1)^Assumptions!$E$15),0)</f>
        <v>60729.5202177537</v>
      </c>
      <c r="G51" s="20" t="n">
        <f aca="false">IF('Media Plan'!P51&lt;&gt;"",'Media Plan'!P51,Assumptions!$D$12*Baseline!V51)</f>
        <v>4919.76418930878</v>
      </c>
      <c r="H51" s="21" t="n">
        <f aca="false">IFERROR(G51/(Baseline!J51*(1+Assumptions!$E$13)*IFERROR(MAX(0,G51)/'History Y-1'!R51,1)^Assumptions!$E$16),0)</f>
        <v>20913.8740493544</v>
      </c>
      <c r="I51" s="21" t="n">
        <f aca="false">'History Y-1'!$F$58*(1+Assumptions!$E$6)*Baseline!Q51+'History Y-1'!$G$58*(1+Assumptions!$E$7)*Baseline!R51+J51</f>
        <v>237789.95283386</v>
      </c>
      <c r="J51" s="21" t="n">
        <f aca="false">'History Y-1'!$H$58*(1+Assumptions!$E$8)*Baseline!S51</f>
        <v>27378.2775025021</v>
      </c>
      <c r="K51" s="55" t="n">
        <f aca="false">D51+F51+H51+I51</f>
        <v>414389.111916713</v>
      </c>
      <c r="L51" s="21" t="n">
        <f aca="false">K51*Baseline!B51*(1+Assumptions!$E$18)*(1+Calendar!G51)</f>
        <v>9994.84232948614</v>
      </c>
      <c r="M51" s="20" t="n">
        <f aca="false">L51*Baseline!C51*(1+Assumptions!$E$19)</f>
        <v>866434.926985498</v>
      </c>
      <c r="N51" s="31" t="n">
        <f aca="false">MAX(0,MIN(0.9,Baseline!E51+Assumptions!$E$20))</f>
        <v>0.0659866593203023</v>
      </c>
      <c r="O51" s="31" t="n">
        <f aca="false">MAX(0,Baseline!F51+Assumptions!$E$21)</f>
        <v>0.269624781033422</v>
      </c>
      <c r="P51" s="49" t="n">
        <f aca="false">M51*O51</f>
        <v>233612.327468174</v>
      </c>
      <c r="Q51" s="49" t="n">
        <f aca="false">M51-P51</f>
        <v>632822.599517324</v>
      </c>
      <c r="R51" s="21" t="n">
        <f aca="false">L51*Baseline!D51</f>
        <v>19242.1607929644</v>
      </c>
      <c r="S51" s="21" t="n">
        <f aca="false">IFERROR(P51/(Baseline!C51*(1+Assumptions!$E$19)),0)</f>
        <v>2694.85717455128</v>
      </c>
      <c r="T51" s="20" t="n">
        <f aca="false">Q51/(1-N51)*(1-Assumptions!$E$23)</f>
        <v>257461.620025242</v>
      </c>
      <c r="U51" s="20" t="n">
        <f aca="false">P51/(1-N51)*(1-Assumptions!$E$23)*Assumptions!$E$24</f>
        <v>3801.77372512922</v>
      </c>
      <c r="V51" s="49" t="n">
        <f aca="false">Q51-T51-U51</f>
        <v>371559.205766953</v>
      </c>
      <c r="W51" s="20" t="n">
        <f aca="false">T51*Assumptions!$E$25+L51*(Assumptions!$E$27-Assumptions!$E$28+Assumptions!$E$29+Assumptions!$E$36*Assumptions!$E$37)+R51*Assumptions!$E$30+S51*(Assumptions!$E$31+Assumptions!$E$32)+M51*(Assumptions!$E$33+Assumptions!$E$38)+IFERROR(M51*J51/K51,0)*Assumptions!$E$35*Assumptions!$E$34</f>
        <v>90533.3526043276</v>
      </c>
      <c r="X51" s="49" t="n">
        <f aca="false">V51-W51</f>
        <v>281025.853162626</v>
      </c>
      <c r="Y51" s="49" t="n">
        <f aca="false">C51+E51+G51</f>
        <v>72596.6004483055</v>
      </c>
      <c r="Z51" s="49" t="n">
        <f aca="false">X51-Y51</f>
        <v>208429.25271432</v>
      </c>
      <c r="AA51" s="20" t="n">
        <f aca="false">'Fixed Costs'!$G$31/52</f>
        <v>25332.6923076923</v>
      </c>
      <c r="AB51" s="49" t="n">
        <f aca="false">Z51-AA51</f>
        <v>183096.560406628</v>
      </c>
      <c r="AC51" s="21" t="n">
        <f aca="false">L51*Baseline!G51</f>
        <v>3532.27381388154</v>
      </c>
    </row>
    <row r="52" customFormat="false" ht="15" hidden="false" customHeight="false" outlineLevel="0" collapsed="false">
      <c r="A52" s="13" t="n">
        <v>47</v>
      </c>
      <c r="B52" s="14" t="str">
        <f aca="false">Calendar!D52</f>
        <v>P11</v>
      </c>
      <c r="C52" s="20" t="n">
        <f aca="false">IF('Media Plan'!D52&lt;&gt;"",'Media Plan'!D52,Assumptions!$D$10*Baseline!T52)</f>
        <v>35146.8781104862</v>
      </c>
      <c r="D52" s="21" t="n">
        <f aca="false">IFERROR(C52/(Baseline!H52*(1+Assumptions!$E$13)*IFERROR(MAX(0,C52)/'History Y-1'!P52,1)^Assumptions!$E$14),0)</f>
        <v>71761.3147709524</v>
      </c>
      <c r="E52" s="20" t="n">
        <f aca="false">IF('Media Plan'!J52&lt;&gt;"",'Media Plan'!J52,Assumptions!$D$11*Baseline!U52)</f>
        <v>16264.4602062939</v>
      </c>
      <c r="F52" s="21" t="n">
        <f aca="false">IFERROR(E52/(Baseline!I52*(1+Assumptions!$E$13)*IFERROR(MAX(0,E52)/'History Y-1'!Q52,1)^Assumptions!$E$15),0)</f>
        <v>45727.6822921864</v>
      </c>
      <c r="G52" s="20" t="n">
        <f aca="false">IF('Media Plan'!P52&lt;&gt;"",'Media Plan'!P52,Assumptions!$D$12*Baseline!V52)</f>
        <v>3475.81291816324</v>
      </c>
      <c r="H52" s="21" t="n">
        <f aca="false">IFERROR(G52/(Baseline!J52*(1+Assumptions!$E$13)*IFERROR(MAX(0,G52)/'History Y-1'!R52,1)^Assumptions!$E$16),0)</f>
        <v>14925.4088471821</v>
      </c>
      <c r="I52" s="21" t="n">
        <f aca="false">'History Y-1'!$F$58*(1+Assumptions!$E$6)*Baseline!Q52+'History Y-1'!$G$58*(1+Assumptions!$E$7)*Baseline!R52+J52</f>
        <v>172110.590297647</v>
      </c>
      <c r="J52" s="21" t="n">
        <f aca="false">'History Y-1'!$H$58*(1+Assumptions!$E$8)*Baseline!S52</f>
        <v>20523.5023859068</v>
      </c>
      <c r="K52" s="55" t="n">
        <f aca="false">D52+F52+H52+I52</f>
        <v>304524.996207968</v>
      </c>
      <c r="L52" s="21" t="n">
        <f aca="false">K52*Baseline!B52*(1+Assumptions!$E$18)*(1+Calendar!G52)</f>
        <v>6838.98649277436</v>
      </c>
      <c r="M52" s="20" t="n">
        <f aca="false">L52*Baseline!C52*(1+Assumptions!$E$19)</f>
        <v>542404.919566279</v>
      </c>
      <c r="N52" s="31" t="n">
        <f aca="false">MAX(0,MIN(0.9,Baseline!E52+Assumptions!$E$20))</f>
        <v>0.0711083648713877</v>
      </c>
      <c r="O52" s="31" t="n">
        <f aca="false">MAX(0,Baseline!F52+Assumptions!$E$21)</f>
        <v>0.252480139495037</v>
      </c>
      <c r="P52" s="49" t="n">
        <f aca="false">M52*O52</f>
        <v>136946.469754888</v>
      </c>
      <c r="Q52" s="49" t="n">
        <f aca="false">M52-P52</f>
        <v>405458.44981139</v>
      </c>
      <c r="R52" s="21" t="n">
        <f aca="false">L52*Baseline!D52</f>
        <v>13229.4122193456</v>
      </c>
      <c r="S52" s="21" t="n">
        <f aca="false">IFERROR(P52/(Baseline!C52*(1+Assumptions!$E$19)),0)</f>
        <v>1726.70826370034</v>
      </c>
      <c r="T52" s="20" t="n">
        <f aca="false">Q52/(1-N52)*(1-Assumptions!$E$23)</f>
        <v>165868.875444223</v>
      </c>
      <c r="U52" s="20" t="n">
        <f aca="false">P52/(1-N52)*(1-Assumptions!$E$23)*Assumptions!$E$24</f>
        <v>2240.93560707551</v>
      </c>
      <c r="V52" s="49" t="n">
        <f aca="false">Q52-T52-U52</f>
        <v>237348.638760092</v>
      </c>
      <c r="W52" s="20" t="n">
        <f aca="false">T52*Assumptions!$E$25+L52*(Assumptions!$E$27-Assumptions!$E$28+Assumptions!$E$29+Assumptions!$E$36*Assumptions!$E$37)+R52*Assumptions!$E$30+S52*(Assumptions!$E$31+Assumptions!$E$32)+M52*(Assumptions!$E$33+Assumptions!$E$38)+IFERROR(M52*J52/K52,0)*Assumptions!$E$35*Assumptions!$E$34</f>
        <v>60162.848403755</v>
      </c>
      <c r="X52" s="49" t="n">
        <f aca="false">V52-W52</f>
        <v>177185.790356337</v>
      </c>
      <c r="Y52" s="49" t="n">
        <f aca="false">C52+E52+G52</f>
        <v>54887.1512349433</v>
      </c>
      <c r="Z52" s="49" t="n">
        <f aca="false">X52-Y52</f>
        <v>122298.639121394</v>
      </c>
      <c r="AA52" s="20" t="n">
        <f aca="false">'Fixed Costs'!$G$31/52</f>
        <v>25332.6923076923</v>
      </c>
      <c r="AB52" s="49" t="n">
        <f aca="false">Z52-AA52</f>
        <v>96965.9468137013</v>
      </c>
      <c r="AC52" s="21" t="n">
        <f aca="false">L52*Baseline!G52</f>
        <v>2380.88840460909</v>
      </c>
    </row>
    <row r="53" customFormat="false" ht="15" hidden="false" customHeight="false" outlineLevel="0" collapsed="false">
      <c r="A53" s="13" t="n">
        <v>48</v>
      </c>
      <c r="B53" s="14" t="str">
        <f aca="false">Calendar!D53</f>
        <v>P12</v>
      </c>
      <c r="C53" s="20" t="n">
        <f aca="false">IF('Media Plan'!D53&lt;&gt;"",'Media Plan'!D53,Assumptions!$D$10*Baseline!T53)</f>
        <v>55587.0226107334</v>
      </c>
      <c r="D53" s="21" t="n">
        <f aca="false">IFERROR(C53/(Baseline!H53*(1+Assumptions!$E$13)*IFERROR(MAX(0,C53)/'History Y-1'!P53,1)^Assumptions!$E$14),0)</f>
        <v>118185.340672944</v>
      </c>
      <c r="E53" s="20" t="n">
        <f aca="false">IF('Media Plan'!J53&lt;&gt;"",'Media Plan'!J53,Assumptions!$D$11*Baseline!U53)</f>
        <v>28266.8210219304</v>
      </c>
      <c r="F53" s="21" t="n">
        <f aca="false">IFERROR(E53/(Baseline!I53*(1+Assumptions!$E$13)*IFERROR(MAX(0,E53)/'History Y-1'!Q53,1)^Assumptions!$E$15),0)</f>
        <v>75736.0439769484</v>
      </c>
      <c r="G53" s="20" t="n">
        <f aca="false">IF('Media Plan'!P53&lt;&gt;"",'Media Plan'!P53,Assumptions!$D$12*Baseline!V53)</f>
        <v>5887.67292578874</v>
      </c>
      <c r="H53" s="21" t="n">
        <f aca="false">IFERROR(G53/(Baseline!J53*(1+Assumptions!$E$13)*IFERROR(MAX(0,G53)/'History Y-1'!R53,1)^Assumptions!$E$16),0)</f>
        <v>25504.5816848508</v>
      </c>
      <c r="I53" s="21" t="n">
        <f aca="false">'History Y-1'!$F$58*(1+Assumptions!$E$6)*Baseline!Q53+'History Y-1'!$G$58*(1+Assumptions!$E$7)*Baseline!R53+J53</f>
        <v>327506.330353704</v>
      </c>
      <c r="J53" s="21" t="n">
        <f aca="false">'History Y-1'!$H$58*(1+Assumptions!$E$8)*Baseline!S53</f>
        <v>33778.7611150927</v>
      </c>
      <c r="K53" s="55" t="n">
        <f aca="false">D53+F53+H53+I53</f>
        <v>546932.296688447</v>
      </c>
      <c r="L53" s="21" t="n">
        <f aca="false">K53*Baseline!B53*(1+Assumptions!$E$18)*(1+Calendar!G53)</f>
        <v>15771.6792478161</v>
      </c>
      <c r="M53" s="20" t="n">
        <f aca="false">L53*Baseline!C53*(1+Assumptions!$E$19)</f>
        <v>1096038.33605201</v>
      </c>
      <c r="N53" s="31" t="n">
        <f aca="false">MAX(0,MIN(0.9,Baseline!E53+Assumptions!$E$20))</f>
        <v>0.31955226829625</v>
      </c>
      <c r="O53" s="31" t="n">
        <f aca="false">MAX(0,Baseline!F53+Assumptions!$E$21)</f>
        <v>0.232630062021765</v>
      </c>
      <c r="P53" s="49" t="n">
        <f aca="false">M53*O53</f>
        <v>254971.466094011</v>
      </c>
      <c r="Q53" s="49" t="n">
        <f aca="false">M53-P53</f>
        <v>841066.869957999</v>
      </c>
      <c r="R53" s="21" t="n">
        <f aca="false">L53*Baseline!D53</f>
        <v>29478.3508353847</v>
      </c>
      <c r="S53" s="21" t="n">
        <f aca="false">IFERROR(P53/(Baseline!C53*(1+Assumptions!$E$19)),0)</f>
        <v>3668.96672160684</v>
      </c>
      <c r="T53" s="20" t="n">
        <f aca="false">Q53/(1-N53)*(1-Assumptions!$E$23)</f>
        <v>469698.693511389</v>
      </c>
      <c r="U53" s="20" t="n">
        <f aca="false">P53/(1-N53)*(1-Assumptions!$E$23)*Assumptions!$E$24</f>
        <v>5695.61202728249</v>
      </c>
      <c r="V53" s="49" t="n">
        <f aca="false">Q53-T53-U53</f>
        <v>365672.564419327</v>
      </c>
      <c r="W53" s="20" t="n">
        <f aca="false">T53*Assumptions!$E$25+L53*(Assumptions!$E$27-Assumptions!$E$28+Assumptions!$E$29+Assumptions!$E$36*Assumptions!$E$37)+R53*Assumptions!$E$30+S53*(Assumptions!$E$31+Assumptions!$E$32)+M53*(Assumptions!$E$33+Assumptions!$E$38)+IFERROR(M53*J53/K53,0)*Assumptions!$E$35*Assumptions!$E$34</f>
        <v>135417.235559255</v>
      </c>
      <c r="X53" s="49" t="n">
        <f aca="false">V53-W53</f>
        <v>230255.328860072</v>
      </c>
      <c r="Y53" s="49" t="n">
        <f aca="false">C53+E53+G53</f>
        <v>89741.5165584526</v>
      </c>
      <c r="Z53" s="49" t="n">
        <f aca="false">X53-Y53</f>
        <v>140513.81230162</v>
      </c>
      <c r="AA53" s="20" t="n">
        <f aca="false">'Fixed Costs'!$G$31/52</f>
        <v>25332.6923076923</v>
      </c>
      <c r="AB53" s="49" t="n">
        <f aca="false">Z53-AA53</f>
        <v>115181.119993927</v>
      </c>
      <c r="AC53" s="21" t="n">
        <f aca="false">L53*Baseline!G53</f>
        <v>6936.99834075323</v>
      </c>
    </row>
    <row r="54" customFormat="false" ht="15" hidden="false" customHeight="false" outlineLevel="0" collapsed="false">
      <c r="A54" s="13" t="n">
        <v>49</v>
      </c>
      <c r="B54" s="14" t="str">
        <f aca="false">Calendar!D54</f>
        <v>P12</v>
      </c>
      <c r="C54" s="20" t="n">
        <f aca="false">IF('Media Plan'!D54&lt;&gt;"",'Media Plan'!D54,Assumptions!$D$10*Baseline!T54)</f>
        <v>44874.6021357982</v>
      </c>
      <c r="D54" s="21" t="n">
        <f aca="false">IFERROR(C54/(Baseline!H54*(1+Assumptions!$E$13)*IFERROR(MAX(0,C54)/'History Y-1'!P54,1)^Assumptions!$E$14),0)</f>
        <v>96340.6332113789</v>
      </c>
      <c r="E54" s="20" t="n">
        <f aca="false">IF('Media Plan'!J54&lt;&gt;"",'Media Plan'!J54,Assumptions!$D$11*Baseline!U54)</f>
        <v>23779.6609845094</v>
      </c>
      <c r="F54" s="21" t="n">
        <f aca="false">IFERROR(E54/(Baseline!I54*(1+Assumptions!$E$13)*IFERROR(MAX(0,E54)/'History Y-1'!Q54,1)^Assumptions!$E$15),0)</f>
        <v>65812.346587111</v>
      </c>
      <c r="G54" s="20" t="n">
        <f aca="false">IF('Media Plan'!P54&lt;&gt;"",'Media Plan'!P54,Assumptions!$D$12*Baseline!V54)</f>
        <v>4758.0795458981</v>
      </c>
      <c r="H54" s="21" t="n">
        <f aca="false">IFERROR(G54/(Baseline!J54*(1+Assumptions!$E$13)*IFERROR(MAX(0,G54)/'History Y-1'!R54,1)^Assumptions!$E$16),0)</f>
        <v>20193.6778888563</v>
      </c>
      <c r="I54" s="21" t="n">
        <f aca="false">'History Y-1'!$F$58*(1+Assumptions!$E$6)*Baseline!Q54+'History Y-1'!$G$58*(1+Assumptions!$E$7)*Baseline!R54+J54</f>
        <v>277417.186307305</v>
      </c>
      <c r="J54" s="21" t="n">
        <f aca="false">'History Y-1'!$H$58*(1+Assumptions!$E$8)*Baseline!S54</f>
        <v>27924.4219130611</v>
      </c>
      <c r="K54" s="55" t="n">
        <f aca="false">D54+F54+H54+I54</f>
        <v>459763.843994651</v>
      </c>
      <c r="L54" s="21" t="n">
        <f aca="false">K54*Baseline!B54*(1+Assumptions!$E$18)*(1+Calendar!G54)</f>
        <v>12213.8294405815</v>
      </c>
      <c r="M54" s="20" t="n">
        <f aca="false">L54*Baseline!C54*(1+Assumptions!$E$19)</f>
        <v>841161.041631559</v>
      </c>
      <c r="N54" s="31" t="n">
        <f aca="false">MAX(0,MIN(0.9,Baseline!E54+Assumptions!$E$20))</f>
        <v>0.305418319657578</v>
      </c>
      <c r="O54" s="31" t="n">
        <f aca="false">MAX(0,Baseline!F54+Assumptions!$E$21)</f>
        <v>0.225779204030486</v>
      </c>
      <c r="P54" s="49" t="n">
        <f aca="false">M54*O54</f>
        <v>189916.670441028</v>
      </c>
      <c r="Q54" s="49" t="n">
        <f aca="false">M54-P54</f>
        <v>651244.371190531</v>
      </c>
      <c r="R54" s="21" t="n">
        <f aca="false">L54*Baseline!D54</f>
        <v>23214.8673975568</v>
      </c>
      <c r="S54" s="21" t="n">
        <f aca="false">IFERROR(P54/(Baseline!C54*(1+Assumptions!$E$19)),0)</f>
        <v>2757.62868925861</v>
      </c>
      <c r="T54" s="20" t="n">
        <f aca="false">Q54/(1-N54)*(1-Assumptions!$E$23)</f>
        <v>356290.509894243</v>
      </c>
      <c r="U54" s="20" t="n">
        <f aca="false">P54/(1-N54)*(1-Assumptions!$E$23)*Assumptions!$E$24</f>
        <v>4156.07476039462</v>
      </c>
      <c r="V54" s="49" t="n">
        <f aca="false">Q54-T54-U54</f>
        <v>290797.786535893</v>
      </c>
      <c r="W54" s="20" t="n">
        <f aca="false">T54*Assumptions!$E$25+L54*(Assumptions!$E$27-Assumptions!$E$28+Assumptions!$E$29+Assumptions!$E$36*Assumptions!$E$37)+R54*Assumptions!$E$30+S54*(Assumptions!$E$31+Assumptions!$E$32)+M54*(Assumptions!$E$33+Assumptions!$E$38)+IFERROR(M54*J54/K54,0)*Assumptions!$E$35*Assumptions!$E$34</f>
        <v>104370.611261221</v>
      </c>
      <c r="X54" s="49" t="n">
        <f aca="false">V54-W54</f>
        <v>186427.175274672</v>
      </c>
      <c r="Y54" s="49" t="n">
        <f aca="false">C54+E54+G54</f>
        <v>73412.3426662056</v>
      </c>
      <c r="Z54" s="49" t="n">
        <f aca="false">X54-Y54</f>
        <v>113014.832608466</v>
      </c>
      <c r="AA54" s="20" t="n">
        <f aca="false">'Fixed Costs'!$G$31/52</f>
        <v>25332.6923076923</v>
      </c>
      <c r="AB54" s="49" t="n">
        <f aca="false">Z54-AA54</f>
        <v>87682.1403007739</v>
      </c>
      <c r="AC54" s="21" t="n">
        <f aca="false">L54*Baseline!G54</f>
        <v>5631.37203722558</v>
      </c>
    </row>
    <row r="55" customFormat="false" ht="15" hidden="false" customHeight="false" outlineLevel="0" collapsed="false">
      <c r="A55" s="13" t="n">
        <v>50</v>
      </c>
      <c r="B55" s="14" t="str">
        <f aca="false">Calendar!D55</f>
        <v>P12</v>
      </c>
      <c r="C55" s="20" t="n">
        <f aca="false">IF('Media Plan'!D55&lt;&gt;"",'Media Plan'!D55,Assumptions!$D$10*Baseline!T55)</f>
        <v>38762.7750228916</v>
      </c>
      <c r="D55" s="21" t="n">
        <f aca="false">IFERROR(C55/(Baseline!H55*(1+Assumptions!$E$13)*IFERROR(MAX(0,C55)/'History Y-1'!P55,1)^Assumptions!$E$14),0)</f>
        <v>83305.6532684305</v>
      </c>
      <c r="E55" s="20" t="n">
        <f aca="false">IF('Media Plan'!J55&lt;&gt;"",'Media Plan'!J55,Assumptions!$D$11*Baseline!U55)</f>
        <v>19563.5976470906</v>
      </c>
      <c r="F55" s="21" t="n">
        <f aca="false">IFERROR(E55/(Baseline!I55*(1+Assumptions!$E$13)*IFERROR(MAX(0,E55)/'History Y-1'!Q55,1)^Assumptions!$E$15),0)</f>
        <v>55673.2467522018</v>
      </c>
      <c r="G55" s="20" t="n">
        <f aca="false">IF('Media Plan'!P55&lt;&gt;"",'Media Plan'!P55,Assumptions!$D$12*Baseline!V55)</f>
        <v>4148.04228733217</v>
      </c>
      <c r="H55" s="21" t="n">
        <f aca="false">IFERROR(G55/(Baseline!J55*(1+Assumptions!$E$13)*IFERROR(MAX(0,G55)/'History Y-1'!R55,1)^Assumptions!$E$16),0)</f>
        <v>17629.7100798845</v>
      </c>
      <c r="I55" s="21" t="n">
        <f aca="false">'History Y-1'!$F$58*(1+Assumptions!$E$6)*Baseline!Q55+'History Y-1'!$G$58*(1+Assumptions!$E$7)*Baseline!R55+J55</f>
        <v>209131.210400974</v>
      </c>
      <c r="J55" s="21" t="n">
        <f aca="false">'History Y-1'!$H$58*(1+Assumptions!$E$8)*Baseline!S55</f>
        <v>24806.7421000214</v>
      </c>
      <c r="K55" s="55" t="n">
        <f aca="false">D55+F55+H55+I55</f>
        <v>365739.820501491</v>
      </c>
      <c r="L55" s="21" t="n">
        <f aca="false">K55*Baseline!B55*(1+Assumptions!$E$18)*(1+Calendar!G55)</f>
        <v>8889.24616231716</v>
      </c>
      <c r="M55" s="20" t="n">
        <f aca="false">L55*Baseline!C55*(1+Assumptions!$E$19)</f>
        <v>624968.640998208</v>
      </c>
      <c r="N55" s="31" t="n">
        <f aca="false">MAX(0,MIN(0.9,Baseline!E55+Assumptions!$E$20))</f>
        <v>0.272384646337648</v>
      </c>
      <c r="O55" s="31" t="n">
        <f aca="false">MAX(0,Baseline!F55+Assumptions!$E$21)</f>
        <v>0.235082040930921</v>
      </c>
      <c r="P55" s="49" t="n">
        <f aca="false">M55*O55</f>
        <v>146918.903643683</v>
      </c>
      <c r="Q55" s="49" t="n">
        <f aca="false">M55-P55</f>
        <v>478049.737354525</v>
      </c>
      <c r="R55" s="21" t="n">
        <f aca="false">L55*Baseline!D55</f>
        <v>16749.0868673356</v>
      </c>
      <c r="S55" s="21" t="n">
        <f aca="false">IFERROR(P55/(Baseline!C55*(1+Assumptions!$E$19)),0)</f>
        <v>2089.70213017488</v>
      </c>
      <c r="T55" s="20" t="n">
        <f aca="false">Q55/(1-N55)*(1-Assumptions!$E$23)</f>
        <v>249663.368537187</v>
      </c>
      <c r="U55" s="20" t="n">
        <f aca="false">P55/(1-N55)*(1-Assumptions!$E$23)*Assumptions!$E$24</f>
        <v>3069.15917062998</v>
      </c>
      <c r="V55" s="49" t="n">
        <f aca="false">Q55-T55-U55</f>
        <v>225317.209646708</v>
      </c>
      <c r="W55" s="20" t="n">
        <f aca="false">T55*Assumptions!$E$25+L55*(Assumptions!$E$27-Assumptions!$E$28+Assumptions!$E$29+Assumptions!$E$36*Assumptions!$E$37)+R55*Assumptions!$E$30+S55*(Assumptions!$E$31+Assumptions!$E$32)+M55*(Assumptions!$E$33+Assumptions!$E$38)+IFERROR(M55*J55/K55,0)*Assumptions!$E$35*Assumptions!$E$34</f>
        <v>76501.1629345348</v>
      </c>
      <c r="X55" s="49" t="n">
        <f aca="false">V55-W55</f>
        <v>148816.046712173</v>
      </c>
      <c r="Y55" s="49" t="n">
        <f aca="false">C55+E55+G55</f>
        <v>62474.4149573144</v>
      </c>
      <c r="Z55" s="49" t="n">
        <f aca="false">X55-Y55</f>
        <v>86341.6317548588</v>
      </c>
      <c r="AA55" s="20" t="n">
        <f aca="false">'Fixed Costs'!$G$31/52</f>
        <v>25332.6923076923</v>
      </c>
      <c r="AB55" s="49" t="n">
        <f aca="false">Z55-AA55</f>
        <v>61008.9394471665</v>
      </c>
      <c r="AC55" s="21" t="n">
        <f aca="false">L55*Baseline!G55</f>
        <v>3911.24348934814</v>
      </c>
    </row>
    <row r="56" customFormat="false" ht="15" hidden="false" customHeight="false" outlineLevel="0" collapsed="false">
      <c r="A56" s="13" t="n">
        <v>51</v>
      </c>
      <c r="B56" s="14" t="str">
        <f aca="false">Calendar!D56</f>
        <v>P12</v>
      </c>
      <c r="C56" s="20" t="n">
        <f aca="false">IF('Media Plan'!D56&lt;&gt;"",'Media Plan'!D56,Assumptions!$D$10*Baseline!T56)</f>
        <v>32535.3669107572</v>
      </c>
      <c r="D56" s="21" t="n">
        <f aca="false">IFERROR(C56/(Baseline!H56*(1+Assumptions!$E$13)*IFERROR(MAX(0,C56)/'History Y-1'!P56,1)^Assumptions!$E$14),0)</f>
        <v>69035.329543998</v>
      </c>
      <c r="E56" s="20" t="n">
        <f aca="false">IF('Media Plan'!J56&lt;&gt;"",'Media Plan'!J56,Assumptions!$D$11*Baseline!U56)</f>
        <v>15095.7652449029</v>
      </c>
      <c r="F56" s="21" t="n">
        <f aca="false">IFERROR(E56/(Baseline!I56*(1+Assumptions!$E$13)*IFERROR(MAX(0,E56)/'History Y-1'!Q56,1)^Assumptions!$E$15),0)</f>
        <v>42874.7835576813</v>
      </c>
      <c r="G56" s="20" t="n">
        <f aca="false">IF('Media Plan'!P56&lt;&gt;"",'Media Plan'!P56,Assumptions!$D$12*Baseline!V56)</f>
        <v>3312.5647020816</v>
      </c>
      <c r="H56" s="21" t="n">
        <f aca="false">IFERROR(G56/(Baseline!J56*(1+Assumptions!$E$13)*IFERROR(MAX(0,G56)/'History Y-1'!R56,1)^Assumptions!$E$16),0)</f>
        <v>13905.7108647563</v>
      </c>
      <c r="I56" s="21" t="n">
        <f aca="false">'History Y-1'!$F$58*(1+Assumptions!$E$6)*Baseline!Q56+'History Y-1'!$G$58*(1+Assumptions!$E$7)*Baseline!R56+J56</f>
        <v>162769.334605865</v>
      </c>
      <c r="J56" s="21" t="n">
        <f aca="false">'History Y-1'!$H$58*(1+Assumptions!$E$8)*Baseline!S56</f>
        <v>19267.4154305899</v>
      </c>
      <c r="K56" s="55" t="n">
        <f aca="false">D56+F56+H56+I56</f>
        <v>288585.158572301</v>
      </c>
      <c r="L56" s="21" t="n">
        <f aca="false">K56*Baseline!B56*(1+Assumptions!$E$18)*(1+Calendar!G56)</f>
        <v>6555.72540918478</v>
      </c>
      <c r="M56" s="20" t="n">
        <f aca="false">L56*Baseline!C56*(1+Assumptions!$E$19)</f>
        <v>512633.193592693</v>
      </c>
      <c r="N56" s="31" t="n">
        <f aca="false">MAX(0,MIN(0.9,Baseline!E56+Assumptions!$E$20))</f>
        <v>0.116406503925247</v>
      </c>
      <c r="O56" s="31" t="n">
        <f aca="false">MAX(0,Baseline!F56+Assumptions!$E$21)</f>
        <v>0.250301910154981</v>
      </c>
      <c r="P56" s="49" t="n">
        <f aca="false">M56*O56</f>
        <v>128313.067565099</v>
      </c>
      <c r="Q56" s="49" t="n">
        <f aca="false">M56-P56</f>
        <v>384320.126027594</v>
      </c>
      <c r="R56" s="21" t="n">
        <f aca="false">L56*Baseline!D56</f>
        <v>12614.4201022888</v>
      </c>
      <c r="S56" s="21" t="n">
        <f aca="false">IFERROR(P56/(Baseline!C56*(1+Assumptions!$E$19)),0)</f>
        <v>1640.91059237049</v>
      </c>
      <c r="T56" s="20" t="n">
        <f aca="false">Q56/(1-N56)*(1-Assumptions!$E$23)</f>
        <v>165281.488081631</v>
      </c>
      <c r="U56" s="20" t="n">
        <f aca="false">P56/(1-N56)*(1-Assumptions!$E$23)*Assumptions!$E$24</f>
        <v>2207.30305921639</v>
      </c>
      <c r="V56" s="49" t="n">
        <f aca="false">Q56-T56-U56</f>
        <v>216831.334886747</v>
      </c>
      <c r="W56" s="20" t="n">
        <f aca="false">T56*Assumptions!$E$25+L56*(Assumptions!$E$27-Assumptions!$E$28+Assumptions!$E$29+Assumptions!$E$36*Assumptions!$E$37)+R56*Assumptions!$E$30+S56*(Assumptions!$E$31+Assumptions!$E$32)+M56*(Assumptions!$E$33+Assumptions!$E$38)+IFERROR(M56*J56/K56,0)*Assumptions!$E$35*Assumptions!$E$34</f>
        <v>57563.8780247181</v>
      </c>
      <c r="X56" s="49" t="n">
        <f aca="false">V56-W56</f>
        <v>159267.456862029</v>
      </c>
      <c r="Y56" s="49" t="n">
        <f aca="false">C56+E56+G56</f>
        <v>50943.6968577416</v>
      </c>
      <c r="Z56" s="49" t="n">
        <f aca="false">X56-Y56</f>
        <v>108323.760004287</v>
      </c>
      <c r="AA56" s="20" t="n">
        <f aca="false">'Fixed Costs'!$G$31/52</f>
        <v>25332.6923076923</v>
      </c>
      <c r="AB56" s="49" t="n">
        <f aca="false">Z56-AA56</f>
        <v>82991.0676965947</v>
      </c>
      <c r="AC56" s="21" t="n">
        <f aca="false">L56*Baseline!G56</f>
        <v>2326.90963043729</v>
      </c>
    </row>
    <row r="57" customFormat="false" ht="15" hidden="false" customHeight="false" outlineLevel="0" collapsed="false">
      <c r="A57" s="13" t="n">
        <v>52</v>
      </c>
      <c r="B57" s="14" t="str">
        <f aca="false">Calendar!D57</f>
        <v>P12</v>
      </c>
      <c r="C57" s="20" t="n">
        <f aca="false">IF('Media Plan'!D57&lt;&gt;"",'Media Plan'!D57,Assumptions!$D$10*Baseline!T57)</f>
        <v>28139.0966262004</v>
      </c>
      <c r="D57" s="21" t="n">
        <f aca="false">IFERROR(C57/(Baseline!H57*(1+Assumptions!$E$13)*IFERROR(MAX(0,C57)/'History Y-1'!P57,1)^Assumptions!$E$14),0)</f>
        <v>61684.2487540676</v>
      </c>
      <c r="E57" s="20" t="n">
        <f aca="false">IF('Media Plan'!J57&lt;&gt;"",'Media Plan'!J57,Assumptions!$D$11*Baseline!U57)</f>
        <v>14098.8884886689</v>
      </c>
      <c r="F57" s="21" t="n">
        <f aca="false">IFERROR(E57/(Baseline!I57*(1+Assumptions!$E$13)*IFERROR(MAX(0,E57)/'History Y-1'!Q57,1)^Assumptions!$E$15),0)</f>
        <v>39302.463486073</v>
      </c>
      <c r="G57" s="20" t="n">
        <f aca="false">IF('Media Plan'!P57&lt;&gt;"",'Media Plan'!P57,Assumptions!$D$12*Baseline!V57)</f>
        <v>3084.41654702221</v>
      </c>
      <c r="H57" s="21" t="n">
        <f aca="false">IFERROR(G57/(Baseline!J57*(1+Assumptions!$E$13)*IFERROR(MAX(0,G57)/'History Y-1'!R57,1)^Assumptions!$E$16),0)</f>
        <v>13734.3861775532</v>
      </c>
      <c r="I57" s="21" t="n">
        <f aca="false">'History Y-1'!$F$58*(1+Assumptions!$E$6)*Baseline!Q57+'History Y-1'!$G$58*(1+Assumptions!$E$7)*Baseline!R57+J57</f>
        <v>150608.447302008</v>
      </c>
      <c r="J57" s="21" t="n">
        <f aca="false">'History Y-1'!$H$58*(1+Assumptions!$E$8)*Baseline!S57</f>
        <v>17965.2006148152</v>
      </c>
      <c r="K57" s="55" t="n">
        <f aca="false">D57+F57+H57+I57</f>
        <v>265329.545719702</v>
      </c>
      <c r="L57" s="21" t="n">
        <f aca="false">K57*Baseline!B57*(1+Assumptions!$E$18)*(1+Calendar!G57)</f>
        <v>6051.31927066546</v>
      </c>
      <c r="M57" s="20" t="n">
        <f aca="false">L57*Baseline!C57*(1+Assumptions!$E$19)</f>
        <v>472441.526424298</v>
      </c>
      <c r="N57" s="31" t="n">
        <f aca="false">MAX(0,MIN(0.9,Baseline!E57+Assumptions!$E$20))</f>
        <v>0.066088875518101</v>
      </c>
      <c r="O57" s="31" t="n">
        <f aca="false">MAX(0,Baseline!F57+Assumptions!$E$21)</f>
        <v>0.248966830327399</v>
      </c>
      <c r="P57" s="49" t="n">
        <f aca="false">M57*O57</f>
        <v>117622.269348895</v>
      </c>
      <c r="Q57" s="49" t="n">
        <f aca="false">M57-P57</f>
        <v>354819.257075402</v>
      </c>
      <c r="R57" s="21" t="n">
        <f aca="false">L57*Baseline!D57</f>
        <v>11637.7101487886</v>
      </c>
      <c r="S57" s="21" t="n">
        <f aca="false">IFERROR(P57/(Baseline!C57*(1+Assumptions!$E$19)),0)</f>
        <v>1506.57777811668</v>
      </c>
      <c r="T57" s="20" t="n">
        <f aca="false">Q57/(1-N57)*(1-Assumptions!$E$23)</f>
        <v>144372.750419321</v>
      </c>
      <c r="U57" s="20" t="n">
        <f aca="false">P57/(1-N57)*(1-Assumptions!$E$23)*Assumptions!$E$24</f>
        <v>1914.37755396163</v>
      </c>
      <c r="V57" s="49" t="n">
        <f aca="false">Q57-T57-U57</f>
        <v>208532.129102119</v>
      </c>
      <c r="W57" s="20" t="n">
        <f aca="false">T57*Assumptions!$E$25+L57*(Assumptions!$E$27-Assumptions!$E$28+Assumptions!$E$29+Assumptions!$E$36*Assumptions!$E$37)+R57*Assumptions!$E$30+S57*(Assumptions!$E$31+Assumptions!$E$32)+M57*(Assumptions!$E$33+Assumptions!$E$38)+IFERROR(M57*J57/K57,0)*Assumptions!$E$35*Assumptions!$E$34</f>
        <v>52864.4722107031</v>
      </c>
      <c r="X57" s="49" t="n">
        <f aca="false">V57-W57</f>
        <v>155667.656891416</v>
      </c>
      <c r="Y57" s="49" t="n">
        <f aca="false">C57+E57+G57</f>
        <v>45322.4016618914</v>
      </c>
      <c r="Z57" s="49" t="n">
        <f aca="false">X57-Y57</f>
        <v>110345.255229525</v>
      </c>
      <c r="AA57" s="20" t="n">
        <f aca="false">'Fixed Costs'!$G$31/52</f>
        <v>25332.6923076923</v>
      </c>
      <c r="AB57" s="49" t="n">
        <f aca="false">Z57-AA57</f>
        <v>85012.5629218326</v>
      </c>
      <c r="AC57" s="21" t="n">
        <f aca="false">L57*Baseline!G57</f>
        <v>2205.71846217131</v>
      </c>
    </row>
    <row r="58" customFormat="false" ht="15" hidden="false" customHeight="false" outlineLevel="0" collapsed="false">
      <c r="A58" s="60" t="s">
        <v>483</v>
      </c>
      <c r="B58" s="61"/>
      <c r="C58" s="63" t="n">
        <f aca="false">SUM(C6:C57)</f>
        <v>1900000</v>
      </c>
      <c r="D58" s="62" t="n">
        <f aca="false">SUM(D6:D57)</f>
        <v>4082745.69818108</v>
      </c>
      <c r="E58" s="63" t="n">
        <f aca="false">SUM(E6:E57)</f>
        <v>950000</v>
      </c>
      <c r="F58" s="62" t="n">
        <f aca="false">SUM(F6:F57)</f>
        <v>2652471.64398529</v>
      </c>
      <c r="G58" s="63" t="n">
        <f aca="false">SUM(G6:G57)</f>
        <v>200000</v>
      </c>
      <c r="H58" s="62" t="n">
        <f aca="false">SUM(H6:H57)</f>
        <v>860976.139883078</v>
      </c>
      <c r="I58" s="62" t="n">
        <f aca="false">SUM(I6:I57)</f>
        <v>10271618.84</v>
      </c>
      <c r="J58" s="62" t="n">
        <f aca="false">SUM(J6:J57)</f>
        <v>1178840.15</v>
      </c>
      <c r="K58" s="62" t="n">
        <f aca="false">SUM(K6:K57)</f>
        <v>17867812.3220495</v>
      </c>
      <c r="L58" s="62" t="n">
        <f aca="false">SUM(L6:L57)</f>
        <v>422060.341404364</v>
      </c>
      <c r="M58" s="63" t="n">
        <f aca="false">SUM(M6:M57)</f>
        <v>32375956.6909756</v>
      </c>
      <c r="N58" s="76"/>
      <c r="O58" s="76"/>
      <c r="P58" s="63" t="n">
        <f aca="false">SUM(P6:P57)</f>
        <v>8064567.1133993</v>
      </c>
      <c r="Q58" s="63" t="n">
        <f aca="false">SUM(Q6:Q57)</f>
        <v>24311389.5775763</v>
      </c>
      <c r="R58" s="62" t="n">
        <f aca="false">SUM(R6:R57)</f>
        <v>802413.642210164</v>
      </c>
      <c r="S58" s="62" t="n">
        <f aca="false">SUM(S6:S57)</f>
        <v>104959.795753419</v>
      </c>
      <c r="T58" s="63" t="n">
        <f aca="false">SUM(T6:T57)</f>
        <v>10660260.3982538</v>
      </c>
      <c r="U58" s="63" t="n">
        <f aca="false">SUM(U6:U57)</f>
        <v>140933.372519598</v>
      </c>
      <c r="V58" s="63" t="n">
        <f aca="false">SUM(V6:V57)</f>
        <v>13510195.8068029</v>
      </c>
      <c r="W58" s="63" t="n">
        <f aca="false">SUM(W6:W57)</f>
        <v>3680395.55274319</v>
      </c>
      <c r="X58" s="63" t="n">
        <f aca="false">SUM(X6:X57)</f>
        <v>9829800.25405976</v>
      </c>
      <c r="Y58" s="63" t="n">
        <f aca="false">SUM(Y6:Y57)</f>
        <v>3050000</v>
      </c>
      <c r="Z58" s="63" t="n">
        <f aca="false">SUM(Z6:Z57)</f>
        <v>6779800.25405976</v>
      </c>
      <c r="AA58" s="63" t="n">
        <f aca="false">SUM(AA6:AA57)</f>
        <v>1317300</v>
      </c>
      <c r="AB58" s="63" t="n">
        <f aca="false">SUM(AB6:AB57)</f>
        <v>5462500.25405976</v>
      </c>
      <c r="AC58" s="62" t="n">
        <f aca="false">SUM(AC6:AC57)</f>
        <v>159960.354830466</v>
      </c>
    </row>
  </sheetData>
  <sheetProtection sheet="true" formatColumns="false" formatRows="false"/>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C5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7.35" hidden="false" customHeight="false" outlineLevel="0" collapsed="false">
      <c r="A1" s="1" t="s">
        <v>812</v>
      </c>
    </row>
    <row r="2" customFormat="false" ht="15" hidden="false" customHeight="false" outlineLevel="0" collapsed="false">
      <c r="A2" s="2" t="s">
        <v>802</v>
      </c>
    </row>
    <row r="5" customFormat="false" ht="42" hidden="false" customHeight="true" outlineLevel="0" collapsed="false">
      <c r="A5" s="19" t="s">
        <v>410</v>
      </c>
      <c r="B5" s="19" t="s">
        <v>413</v>
      </c>
      <c r="C5" s="19" t="s">
        <v>803</v>
      </c>
      <c r="D5" s="19" t="s">
        <v>551</v>
      </c>
      <c r="E5" s="19" t="s">
        <v>804</v>
      </c>
      <c r="F5" s="19" t="s">
        <v>557</v>
      </c>
      <c r="G5" s="19" t="s">
        <v>805</v>
      </c>
      <c r="H5" s="19" t="s">
        <v>563</v>
      </c>
      <c r="I5" s="19" t="s">
        <v>806</v>
      </c>
      <c r="J5" s="19" t="s">
        <v>807</v>
      </c>
      <c r="K5" s="19" t="s">
        <v>663</v>
      </c>
      <c r="L5" s="19" t="s">
        <v>454</v>
      </c>
      <c r="M5" s="19" t="s">
        <v>601</v>
      </c>
      <c r="N5" s="19" t="s">
        <v>467</v>
      </c>
      <c r="O5" s="19" t="s">
        <v>468</v>
      </c>
      <c r="P5" s="19" t="s">
        <v>603</v>
      </c>
      <c r="Q5" s="19" t="s">
        <v>87</v>
      </c>
      <c r="R5" s="19" t="s">
        <v>456</v>
      </c>
      <c r="S5" s="19" t="s">
        <v>576</v>
      </c>
      <c r="T5" s="19" t="s">
        <v>604</v>
      </c>
      <c r="U5" s="19" t="s">
        <v>605</v>
      </c>
      <c r="V5" s="19" t="s">
        <v>606</v>
      </c>
      <c r="W5" s="19" t="s">
        <v>608</v>
      </c>
      <c r="X5" s="19" t="s">
        <v>596</v>
      </c>
      <c r="Y5" s="19" t="s">
        <v>808</v>
      </c>
      <c r="Z5" s="19" t="s">
        <v>89</v>
      </c>
      <c r="AA5" s="19" t="s">
        <v>490</v>
      </c>
      <c r="AB5" s="19" t="s">
        <v>90</v>
      </c>
      <c r="AC5" s="19" t="s">
        <v>91</v>
      </c>
    </row>
    <row r="6" customFormat="false" ht="15" hidden="false" customHeight="false" outlineLevel="0" collapsed="false">
      <c r="A6" s="13" t="n">
        <v>1</v>
      </c>
      <c r="B6" s="14" t="str">
        <f aca="false">Calendar!D6</f>
        <v>P1</v>
      </c>
      <c r="C6" s="20" t="n">
        <f aca="false">IF('Media Plan'!D6&lt;&gt;"",'Media Plan'!D6,Assumptions!$D$10*Baseline!T6)</f>
        <v>29843.9706136967</v>
      </c>
      <c r="D6" s="21" t="n">
        <f aca="false">IFERROR(C6/(Baseline!H6*(1+Assumptions!$F$13)*IFERROR(MAX(0,C6)/'History Y-1'!P6,1)^Assumptions!$F$14),0)</f>
        <v>60656.771442765</v>
      </c>
      <c r="E6" s="20" t="n">
        <f aca="false">IF('Media Plan'!J6&lt;&gt;"",'Media Plan'!J6,Assumptions!$D$11*Baseline!U6)</f>
        <v>14158.9060511355</v>
      </c>
      <c r="F6" s="21" t="n">
        <f aca="false">IFERROR(E6/(Baseline!I6*(1+Assumptions!$F$13)*IFERROR(MAX(0,E6)/'History Y-1'!Q6,1)^Assumptions!$F$15),0)</f>
        <v>36716.130202913</v>
      </c>
      <c r="G6" s="20" t="n">
        <f aca="false">IF('Media Plan'!P6&lt;&gt;"",'Media Plan'!P6,Assumptions!$D$12*Baseline!V6)</f>
        <v>3261.09273756347</v>
      </c>
      <c r="H6" s="21" t="n">
        <f aca="false">IFERROR(G6/(Baseline!J6*(1+Assumptions!$F$13)*IFERROR(MAX(0,G6)/'History Y-1'!R6,1)^Assumptions!$F$16),0)</f>
        <v>11719.4404275237</v>
      </c>
      <c r="I6" s="21" t="n">
        <f aca="false">'History Y-1'!$F$58*(1+Assumptions!$F$6)*Baseline!Q6+'History Y-1'!$G$58*(1+Assumptions!$F$7)*Baseline!R6+J6</f>
        <v>149914.774605866</v>
      </c>
      <c r="J6" s="21" t="n">
        <f aca="false">'History Y-1'!$H$58*(1+Assumptions!$F$8)*Baseline!S6</f>
        <v>16502.2925919853</v>
      </c>
      <c r="K6" s="55" t="n">
        <f aca="false">D6+F6+H6+I6</f>
        <v>259007.116679067</v>
      </c>
      <c r="L6" s="21" t="n">
        <f aca="false">K6*Baseline!B6*(1+Assumptions!$F$18)*(1+Calendar!G6)</f>
        <v>5287.67692976273</v>
      </c>
      <c r="M6" s="20" t="n">
        <f aca="false">L6*Baseline!C6*(1+Assumptions!$F$19)</f>
        <v>398484.967707865</v>
      </c>
      <c r="N6" s="31" t="n">
        <f aca="false">MAX(0,MIN(0.9,Baseline!E6+Assumptions!$F$20))</f>
        <v>0.097110324454184</v>
      </c>
      <c r="O6" s="31" t="n">
        <f aca="false">MAX(0,Baseline!F6+Assumptions!$F$21)</f>
        <v>0.269153851431718</v>
      </c>
      <c r="P6" s="49" t="n">
        <f aca="false">M6*O6</f>
        <v>107253.763796215</v>
      </c>
      <c r="Q6" s="49" t="n">
        <f aca="false">M6-P6</f>
        <v>291231.203911649</v>
      </c>
      <c r="R6" s="21" t="n">
        <f aca="false">L6*Baseline!D6</f>
        <v>10108.6051678606</v>
      </c>
      <c r="S6" s="21" t="n">
        <f aca="false">IFERROR(P6/(Baseline!C6*(1+Assumptions!$F$19)),0)</f>
        <v>1423.19861077228</v>
      </c>
      <c r="T6" s="20" t="n">
        <f aca="false">Q6/(1-N6)*(1-Assumptions!$F$23)</f>
        <v>122570.742011781</v>
      </c>
      <c r="U6" s="20" t="n">
        <f aca="false">P6/(1-N6)*(1-Assumptions!$F$23)*Assumptions!$F$24</f>
        <v>3159.79924707264</v>
      </c>
      <c r="V6" s="49" t="n">
        <f aca="false">Q6-T6-U6</f>
        <v>165500.662652796</v>
      </c>
      <c r="W6" s="20" t="n">
        <f aca="false">T6*Assumptions!$F$25+L6*(Assumptions!$F$27-Assumptions!$F$28+Assumptions!$F$29+Assumptions!$F$36*Assumptions!$F$37)+R6*Assumptions!$F$30+S6*(Assumptions!$F$31+Assumptions!$F$32)+M6*(Assumptions!$F$33+Assumptions!$F$38)+IFERROR(M6*J6/K6,0)*Assumptions!$F$35*Assumptions!$F$34</f>
        <v>52532.0451609968</v>
      </c>
      <c r="X6" s="49" t="n">
        <f aca="false">V6-W6</f>
        <v>112968.617491799</v>
      </c>
      <c r="Y6" s="49" t="n">
        <f aca="false">C6+E6+G6</f>
        <v>47263.9694023958</v>
      </c>
      <c r="Z6" s="49" t="n">
        <f aca="false">X6-Y6</f>
        <v>65704.6480894033</v>
      </c>
      <c r="AA6" s="20" t="n">
        <f aca="false">'Fixed Costs'!$G$31/52</f>
        <v>25332.6923076923</v>
      </c>
      <c r="AB6" s="49" t="n">
        <f aca="false">Z6-AA6</f>
        <v>40371.9557817109</v>
      </c>
      <c r="AC6" s="21" t="n">
        <f aca="false">L6*Baseline!G6</f>
        <v>1887.56040994096</v>
      </c>
    </row>
    <row r="7" customFormat="false" ht="15" hidden="false" customHeight="false" outlineLevel="0" collapsed="false">
      <c r="A7" s="13" t="n">
        <v>2</v>
      </c>
      <c r="B7" s="14" t="str">
        <f aca="false">Calendar!D7</f>
        <v>P1</v>
      </c>
      <c r="C7" s="20" t="n">
        <f aca="false">IF('Media Plan'!D7&lt;&gt;"",'Media Plan'!D7,Assumptions!$D$10*Baseline!T7)</f>
        <v>31667.3056326564</v>
      </c>
      <c r="D7" s="21" t="n">
        <f aca="false">IFERROR(C7/(Baseline!H7*(1+Assumptions!$F$13)*IFERROR(MAX(0,C7)/'History Y-1'!P7,1)^Assumptions!$F$14),0)</f>
        <v>66022.0895222111</v>
      </c>
      <c r="E7" s="20" t="n">
        <f aca="false">IF('Media Plan'!J7&lt;&gt;"",'Media Plan'!J7,Assumptions!$D$11*Baseline!U7)</f>
        <v>15621.4411940626</v>
      </c>
      <c r="F7" s="21" t="n">
        <f aca="false">IFERROR(E7/(Baseline!I7*(1+Assumptions!$F$13)*IFERROR(MAX(0,E7)/'History Y-1'!Q7,1)^Assumptions!$F$15),0)</f>
        <v>40725.7414552396</v>
      </c>
      <c r="G7" s="20" t="n">
        <f aca="false">IF('Media Plan'!P7&lt;&gt;"",'Media Plan'!P7,Assumptions!$D$12*Baseline!V7)</f>
        <v>3290.79568627744</v>
      </c>
      <c r="H7" s="21" t="n">
        <f aca="false">IFERROR(G7/(Baseline!J7*(1+Assumptions!$F$13)*IFERROR(MAX(0,G7)/'History Y-1'!R7,1)^Assumptions!$F$16),0)</f>
        <v>12132.7565533448</v>
      </c>
      <c r="I7" s="21" t="n">
        <f aca="false">'History Y-1'!$F$58*(1+Assumptions!$F$6)*Baseline!Q7+'History Y-1'!$G$58*(1+Assumptions!$F$7)*Baseline!R7+J7</f>
        <v>154933.514093678</v>
      </c>
      <c r="J7" s="21" t="n">
        <f aca="false">'History Y-1'!$H$58*(1+Assumptions!$F$8)*Baseline!S7</f>
        <v>18044.3286581344</v>
      </c>
      <c r="K7" s="55" t="n">
        <f aca="false">D7+F7+H7+I7</f>
        <v>273814.101624473</v>
      </c>
      <c r="L7" s="21" t="n">
        <f aca="false">K7*Baseline!B7*(1+Assumptions!$F$18)*(1+Calendar!G7)</f>
        <v>5678.10267563941</v>
      </c>
      <c r="M7" s="20" t="n">
        <f aca="false">L7*Baseline!C7*(1+Assumptions!$F$19)</f>
        <v>427150.741535144</v>
      </c>
      <c r="N7" s="31" t="n">
        <f aca="false">MAX(0,MIN(0.9,Baseline!E7+Assumptions!$F$20))</f>
        <v>0.0963282292155085</v>
      </c>
      <c r="O7" s="31" t="n">
        <f aca="false">MAX(0,Baseline!F7+Assumptions!$F$21)</f>
        <v>0.275498513514979</v>
      </c>
      <c r="P7" s="49" t="n">
        <f aca="false">M7*O7</f>
        <v>117679.394339753</v>
      </c>
      <c r="Q7" s="49" t="n">
        <f aca="false">M7-P7</f>
        <v>309471.347195391</v>
      </c>
      <c r="R7" s="21" t="n">
        <f aca="false">L7*Baseline!D7</f>
        <v>10973.2005560711</v>
      </c>
      <c r="S7" s="21" t="n">
        <f aca="false">IFERROR(P7/(Baseline!C7*(1+Assumptions!$F$19)),0)</f>
        <v>1564.30884672408</v>
      </c>
      <c r="T7" s="20" t="n">
        <f aca="false">Q7/(1-N7)*(1-Assumptions!$F$23)</f>
        <v>130134.763236168</v>
      </c>
      <c r="U7" s="20" t="n">
        <f aca="false">P7/(1-N7)*(1-Assumptions!$F$23)*Assumptions!$F$24</f>
        <v>3463.94785212776</v>
      </c>
      <c r="V7" s="49" t="n">
        <f aca="false">Q7-T7-U7</f>
        <v>175872.636107095</v>
      </c>
      <c r="W7" s="20" t="n">
        <f aca="false">T7*Assumptions!$F$25+L7*(Assumptions!$F$27-Assumptions!$F$28+Assumptions!$F$29+Assumptions!$F$36*Assumptions!$F$37)+R7*Assumptions!$F$30+S7*(Assumptions!$F$31+Assumptions!$F$32)+M7*(Assumptions!$F$33+Assumptions!$F$38)+IFERROR(M7*J7/K7,0)*Assumptions!$F$35*Assumptions!$F$34</f>
        <v>56705.6390992997</v>
      </c>
      <c r="X7" s="49" t="n">
        <f aca="false">V7-W7</f>
        <v>119166.997007795</v>
      </c>
      <c r="Y7" s="49" t="n">
        <f aca="false">C7+E7+G7</f>
        <v>50579.5425129965</v>
      </c>
      <c r="Z7" s="49" t="n">
        <f aca="false">X7-Y7</f>
        <v>68587.4544947988</v>
      </c>
      <c r="AA7" s="20" t="n">
        <f aca="false">'Fixed Costs'!$G$31/52</f>
        <v>25332.6923076923</v>
      </c>
      <c r="AB7" s="49" t="n">
        <f aca="false">Z7-AA7</f>
        <v>43254.7621871065</v>
      </c>
      <c r="AC7" s="21" t="n">
        <f aca="false">L7*Baseline!G7</f>
        <v>2045.99513550715</v>
      </c>
    </row>
    <row r="8" customFormat="false" ht="15" hidden="false" customHeight="false" outlineLevel="0" collapsed="false">
      <c r="A8" s="13" t="n">
        <v>3</v>
      </c>
      <c r="B8" s="14" t="str">
        <f aca="false">Calendar!D8</f>
        <v>P1</v>
      </c>
      <c r="C8" s="20" t="n">
        <f aca="false">IF('Media Plan'!D8&lt;&gt;"",'Media Plan'!D8,Assumptions!$D$10*Baseline!T8)</f>
        <v>32378.0219160128</v>
      </c>
      <c r="D8" s="21" t="n">
        <f aca="false">IFERROR(C8/(Baseline!H8*(1+Assumptions!$F$13)*IFERROR(MAX(0,C8)/'History Y-1'!P8,1)^Assumptions!$F$14),0)</f>
        <v>67033.7598192071</v>
      </c>
      <c r="E8" s="20" t="n">
        <f aca="false">IF('Media Plan'!J8&lt;&gt;"",'Media Plan'!J8,Assumptions!$D$11*Baseline!U8)</f>
        <v>15731.2873382783</v>
      </c>
      <c r="F8" s="21" t="n">
        <f aca="false">IFERROR(E8/(Baseline!I8*(1+Assumptions!$F$13)*IFERROR(MAX(0,E8)/'History Y-1'!Q8,1)^Assumptions!$F$15),0)</f>
        <v>39896.0792431976</v>
      </c>
      <c r="G8" s="20" t="n">
        <f aca="false">IF('Media Plan'!P8&lt;&gt;"",'Media Plan'!P8,Assumptions!$D$12*Baseline!V8)</f>
        <v>3358.8378536477</v>
      </c>
      <c r="H8" s="21" t="n">
        <f aca="false">IFERROR(G8/(Baseline!J8*(1+Assumptions!$F$13)*IFERROR(MAX(0,G8)/'History Y-1'!R8,1)^Assumptions!$F$16),0)</f>
        <v>12396.4294051501</v>
      </c>
      <c r="I8" s="21" t="n">
        <f aca="false">'History Y-1'!$F$58*(1+Assumptions!$F$6)*Baseline!Q8+'History Y-1'!$G$58*(1+Assumptions!$F$7)*Baseline!R8+J8</f>
        <v>157072.50932104</v>
      </c>
      <c r="J8" s="21" t="n">
        <f aca="false">'History Y-1'!$H$58*(1+Assumptions!$F$8)*Baseline!S8</f>
        <v>18681.2896574653</v>
      </c>
      <c r="K8" s="55" t="n">
        <f aca="false">D8+F8+H8+I8</f>
        <v>276398.777788595</v>
      </c>
      <c r="L8" s="21" t="n">
        <f aca="false">K8*Baseline!B8*(1+Assumptions!$F$18)*(1+Calendar!G8)</f>
        <v>5793.61620464342</v>
      </c>
      <c r="M8" s="20" t="n">
        <f aca="false">L8*Baseline!C8*(1+Assumptions!$F$19)</f>
        <v>442358.023888119</v>
      </c>
      <c r="N8" s="31" t="n">
        <f aca="false">MAX(0,MIN(0.9,Baseline!E8+Assumptions!$F$20))</f>
        <v>0.102500023906191</v>
      </c>
      <c r="O8" s="31" t="n">
        <f aca="false">MAX(0,Baseline!F8+Assumptions!$F$21)</f>
        <v>0.268393127812901</v>
      </c>
      <c r="P8" s="49" t="n">
        <f aca="false">M8*O8</f>
        <v>118725.853644466</v>
      </c>
      <c r="Q8" s="49" t="n">
        <f aca="false">M8-P8</f>
        <v>323632.170243653</v>
      </c>
      <c r="R8" s="21" t="n">
        <f aca="false">L8*Baseline!D8</f>
        <v>10958.6645786569</v>
      </c>
      <c r="S8" s="21" t="n">
        <f aca="false">IFERROR(P8/(Baseline!C8*(1+Assumptions!$F$19)),0)</f>
        <v>1554.96677451176</v>
      </c>
      <c r="T8" s="20" t="n">
        <f aca="false">Q8/(1-N8)*(1-Assumptions!$F$23)</f>
        <v>137025.323641606</v>
      </c>
      <c r="U8" s="20" t="n">
        <f aca="false">P8/(1-N8)*(1-Assumptions!$F$23)*Assumptions!$F$24</f>
        <v>3518.78305410975</v>
      </c>
      <c r="V8" s="49" t="n">
        <f aca="false">Q8-T8-U8</f>
        <v>183088.063547937</v>
      </c>
      <c r="W8" s="20" t="n">
        <f aca="false">T8*Assumptions!$F$25+L8*(Assumptions!$F$27-Assumptions!$F$28+Assumptions!$F$29+Assumptions!$F$36*Assumptions!$F$37)+R8*Assumptions!$F$30+S8*(Assumptions!$F$31+Assumptions!$F$32)+M8*(Assumptions!$F$33+Assumptions!$F$38)+IFERROR(M8*J8/K8,0)*Assumptions!$F$35*Assumptions!$F$34</f>
        <v>57788.764731595</v>
      </c>
      <c r="X8" s="49" t="n">
        <f aca="false">V8-W8</f>
        <v>125299.298816342</v>
      </c>
      <c r="Y8" s="49" t="n">
        <f aca="false">C8+E8+G8</f>
        <v>51468.1471079387</v>
      </c>
      <c r="Z8" s="49" t="n">
        <f aca="false">X8-Y8</f>
        <v>73831.1517084032</v>
      </c>
      <c r="AA8" s="20" t="n">
        <f aca="false">'Fixed Costs'!$G$31/52</f>
        <v>25332.6923076923</v>
      </c>
      <c r="AB8" s="49" t="n">
        <f aca="false">Z8-AA8</f>
        <v>48498.4594007109</v>
      </c>
      <c r="AC8" s="21" t="n">
        <f aca="false">L8*Baseline!G8</f>
        <v>2085.08012034095</v>
      </c>
    </row>
    <row r="9" customFormat="false" ht="15" hidden="false" customHeight="false" outlineLevel="0" collapsed="false">
      <c r="A9" s="13" t="n">
        <v>4</v>
      </c>
      <c r="B9" s="14" t="str">
        <f aca="false">Calendar!D9</f>
        <v>P1</v>
      </c>
      <c r="C9" s="20" t="n">
        <f aca="false">IF('Media Plan'!D9&lt;&gt;"",'Media Plan'!D9,Assumptions!$D$10*Baseline!T9)</f>
        <v>29692.201959479</v>
      </c>
      <c r="D9" s="21" t="n">
        <f aca="false">IFERROR(C9/(Baseline!H9*(1+Assumptions!$F$13)*IFERROR(MAX(0,C9)/'History Y-1'!P9,1)^Assumptions!$F$14),0)</f>
        <v>58458.7358863939</v>
      </c>
      <c r="E9" s="20" t="n">
        <f aca="false">IF('Media Plan'!J9&lt;&gt;"",'Media Plan'!J9,Assumptions!$D$11*Baseline!U9)</f>
        <v>14429.7250475181</v>
      </c>
      <c r="F9" s="21" t="n">
        <f aca="false">IFERROR(E9/(Baseline!I9*(1+Assumptions!$F$13)*IFERROR(MAX(0,E9)/'History Y-1'!Q9,1)^Assumptions!$F$15),0)</f>
        <v>36962.3760229042</v>
      </c>
      <c r="G9" s="20" t="n">
        <f aca="false">IF('Media Plan'!P9&lt;&gt;"",'Media Plan'!P9,Assumptions!$D$12*Baseline!V9)</f>
        <v>3161.0594073568</v>
      </c>
      <c r="H9" s="21" t="n">
        <f aca="false">IFERROR(G9/(Baseline!J9*(1+Assumptions!$F$13)*IFERROR(MAX(0,G9)/'History Y-1'!R9,1)^Assumptions!$F$16),0)</f>
        <v>11340.2111225892</v>
      </c>
      <c r="I9" s="21" t="n">
        <f aca="false">'History Y-1'!$F$58*(1+Assumptions!$F$6)*Baseline!Q9+'History Y-1'!$G$58*(1+Assumptions!$F$7)*Baseline!R9+J9</f>
        <v>146733.685791243</v>
      </c>
      <c r="J9" s="21" t="n">
        <f aca="false">'History Y-1'!$H$58*(1+Assumptions!$F$8)*Baseline!S9</f>
        <v>16802.7441146368</v>
      </c>
      <c r="K9" s="55" t="n">
        <f aca="false">D9+F9+H9+I9</f>
        <v>253495.008823131</v>
      </c>
      <c r="L9" s="21" t="n">
        <f aca="false">K9*Baseline!B9*(1+Assumptions!$F$18)*(1+Calendar!G9)</f>
        <v>5175.39787181715</v>
      </c>
      <c r="M9" s="20" t="n">
        <f aca="false">L9*Baseline!C9*(1+Assumptions!$F$19)</f>
        <v>395885.882536597</v>
      </c>
      <c r="N9" s="31" t="n">
        <f aca="false">MAX(0,MIN(0.9,Baseline!E9+Assumptions!$F$20))</f>
        <v>0.103361954433716</v>
      </c>
      <c r="O9" s="31" t="n">
        <f aca="false">MAX(0,Baseline!F9+Assumptions!$F$21)</f>
        <v>0.266372841126127</v>
      </c>
      <c r="P9" s="49" t="n">
        <f aca="false">M9*O9</f>
        <v>105453.247292998</v>
      </c>
      <c r="Q9" s="49" t="n">
        <f aca="false">M9-P9</f>
        <v>290432.6352436</v>
      </c>
      <c r="R9" s="21" t="n">
        <f aca="false">L9*Baseline!D9</f>
        <v>9956.48384117995</v>
      </c>
      <c r="S9" s="21" t="n">
        <f aca="false">IFERROR(P9/(Baseline!C9*(1+Assumptions!$F$19)),0)</f>
        <v>1378.58543507405</v>
      </c>
      <c r="T9" s="20" t="n">
        <f aca="false">Q9/(1-N9)*(1-Assumptions!$F$23)</f>
        <v>123086.90439615</v>
      </c>
      <c r="U9" s="20" t="n">
        <f aca="false">P9/(1-N9)*(1-Assumptions!$F$23)*Assumptions!$F$24</f>
        <v>3128.41552047033</v>
      </c>
      <c r="V9" s="49" t="n">
        <f aca="false">Q9-T9-U9</f>
        <v>164217.315326979</v>
      </c>
      <c r="W9" s="20" t="n">
        <f aca="false">T9*Assumptions!$F$25+L9*(Assumptions!$F$27-Assumptions!$F$28+Assumptions!$F$29+Assumptions!$F$36*Assumptions!$F$37)+R9*Assumptions!$F$30+S9*(Assumptions!$F$31+Assumptions!$F$32)+M9*(Assumptions!$F$33+Assumptions!$F$38)+IFERROR(M9*J9/K9,0)*Assumptions!$F$35*Assumptions!$F$34</f>
        <v>51718.5693597099</v>
      </c>
      <c r="X9" s="49" t="n">
        <f aca="false">V9-W9</f>
        <v>112498.745967269</v>
      </c>
      <c r="Y9" s="49" t="n">
        <f aca="false">C9+E9+G9</f>
        <v>47282.9864143538</v>
      </c>
      <c r="Z9" s="49" t="n">
        <f aca="false">X9-Y9</f>
        <v>65215.7595529156</v>
      </c>
      <c r="AA9" s="20" t="n">
        <f aca="false">'Fixed Costs'!$G$31/52</f>
        <v>25332.6923076923</v>
      </c>
      <c r="AB9" s="49" t="n">
        <f aca="false">Z9-AA9</f>
        <v>39883.0672452233</v>
      </c>
      <c r="AC9" s="21" t="n">
        <f aca="false">L9*Baseline!G9</f>
        <v>1764.65353070297</v>
      </c>
    </row>
    <row r="10" customFormat="false" ht="15" hidden="false" customHeight="false" outlineLevel="0" collapsed="false">
      <c r="A10" s="13" t="n">
        <v>5</v>
      </c>
      <c r="B10" s="14" t="str">
        <f aca="false">Calendar!D10</f>
        <v>P2</v>
      </c>
      <c r="C10" s="20" t="n">
        <f aca="false">IF('Media Plan'!D10&lt;&gt;"",'Media Plan'!D10,Assumptions!$D$10*Baseline!T10)</f>
        <v>30559.1759165065</v>
      </c>
      <c r="D10" s="21" t="n">
        <f aca="false">IFERROR(C10/(Baseline!H10*(1+Assumptions!$F$13)*IFERROR(MAX(0,C10)/'History Y-1'!P10,1)^Assumptions!$F$14),0)</f>
        <v>64774.4305470867</v>
      </c>
      <c r="E10" s="20" t="n">
        <f aca="false">IF('Media Plan'!J10&lt;&gt;"",'Media Plan'!J10,Assumptions!$D$11*Baseline!U10)</f>
        <v>15326.2258797078</v>
      </c>
      <c r="F10" s="21" t="n">
        <f aca="false">IFERROR(E10/(Baseline!I10*(1+Assumptions!$F$13)*IFERROR(MAX(0,E10)/'History Y-1'!Q10,1)^Assumptions!$F$15),0)</f>
        <v>39146.058058188</v>
      </c>
      <c r="G10" s="20" t="n">
        <f aca="false">IF('Media Plan'!P10&lt;&gt;"",'Media Plan'!P10,Assumptions!$D$12*Baseline!V10)</f>
        <v>3351.2699990457</v>
      </c>
      <c r="H10" s="21" t="n">
        <f aca="false">IFERROR(G10/(Baseline!J10*(1+Assumptions!$F$13)*IFERROR(MAX(0,G10)/'History Y-1'!R10,1)^Assumptions!$F$16),0)</f>
        <v>12185.2728161903</v>
      </c>
      <c r="I10" s="21" t="n">
        <f aca="false">'History Y-1'!$F$58*(1+Assumptions!$F$6)*Baseline!Q10+'History Y-1'!$G$58*(1+Assumptions!$F$7)*Baseline!R10+J10</f>
        <v>148922.965483861</v>
      </c>
      <c r="J10" s="21" t="n">
        <f aca="false">'History Y-1'!$H$58*(1+Assumptions!$F$8)*Baseline!S10</f>
        <v>17505.4961774224</v>
      </c>
      <c r="K10" s="55" t="n">
        <f aca="false">D10+F10+H10+I10</f>
        <v>265028.726905326</v>
      </c>
      <c r="L10" s="21" t="n">
        <f aca="false">K10*Baseline!B10*(1+Assumptions!$F$18)*(1+Calendar!G10)</f>
        <v>5421.47209108345</v>
      </c>
      <c r="M10" s="20" t="n">
        <f aca="false">L10*Baseline!C10*(1+Assumptions!$F$19)</f>
        <v>400861.835290547</v>
      </c>
      <c r="N10" s="31" t="n">
        <f aca="false">MAX(0,MIN(0.9,Baseline!E10+Assumptions!$F$20))</f>
        <v>0.10290634071471</v>
      </c>
      <c r="O10" s="31" t="n">
        <f aca="false">MAX(0,Baseline!F10+Assumptions!$F$21)</f>
        <v>0.277005503131197</v>
      </c>
      <c r="P10" s="49" t="n">
        <f aca="false">M10*O10</f>
        <v>111040.934370753</v>
      </c>
      <c r="Q10" s="49" t="n">
        <f aca="false">M10-P10</f>
        <v>289820.900919794</v>
      </c>
      <c r="R10" s="21" t="n">
        <f aca="false">L10*Baseline!D10</f>
        <v>10204.9920371439</v>
      </c>
      <c r="S10" s="21" t="n">
        <f aca="false">IFERROR(P10/(Baseline!C10*(1+Assumptions!$F$19)),0)</f>
        <v>1501.77760430231</v>
      </c>
      <c r="T10" s="20" t="n">
        <f aca="false">Q10/(1-N10)*(1-Assumptions!$F$23)</f>
        <v>122765.266713916</v>
      </c>
      <c r="U10" s="20" t="n">
        <f aca="false">P10/(1-N10)*(1-Assumptions!$F$23)*Assumptions!$F$24</f>
        <v>3292.50889657967</v>
      </c>
      <c r="V10" s="49" t="n">
        <f aca="false">Q10-T10-U10</f>
        <v>163763.125309298</v>
      </c>
      <c r="W10" s="20" t="n">
        <f aca="false">T10*Assumptions!$F$25+L10*(Assumptions!$F$27-Assumptions!$F$28+Assumptions!$F$29+Assumptions!$F$36*Assumptions!$F$37)+R10*Assumptions!$F$30+S10*(Assumptions!$F$31+Assumptions!$F$32)+M10*(Assumptions!$F$33+Assumptions!$F$38)+IFERROR(M10*J10/K10,0)*Assumptions!$F$35*Assumptions!$F$34</f>
        <v>53728.4657526579</v>
      </c>
      <c r="X10" s="49" t="n">
        <f aca="false">V10-W10</f>
        <v>110034.65955664</v>
      </c>
      <c r="Y10" s="49" t="n">
        <f aca="false">C10+E10+G10</f>
        <v>49236.6717952601</v>
      </c>
      <c r="Z10" s="49" t="n">
        <f aca="false">X10-Y10</f>
        <v>60797.9877613802</v>
      </c>
      <c r="AA10" s="20" t="n">
        <f aca="false">'Fixed Costs'!$G$31/52</f>
        <v>25332.6923076923</v>
      </c>
      <c r="AB10" s="49" t="n">
        <f aca="false">Z10-AA10</f>
        <v>35465.2954536879</v>
      </c>
      <c r="AC10" s="21" t="n">
        <f aca="false">L10*Baseline!G10</f>
        <v>1933.60557158898</v>
      </c>
    </row>
    <row r="11" customFormat="false" ht="15" hidden="false" customHeight="false" outlineLevel="0" collapsed="false">
      <c r="A11" s="13" t="n">
        <v>6</v>
      </c>
      <c r="B11" s="14" t="str">
        <f aca="false">Calendar!D11</f>
        <v>P2</v>
      </c>
      <c r="C11" s="20" t="n">
        <f aca="false">IF('Media Plan'!D11&lt;&gt;"",'Media Plan'!D11,Assumptions!$D$10*Baseline!T11)</f>
        <v>31124.0544495008</v>
      </c>
      <c r="D11" s="21" t="n">
        <f aca="false">IFERROR(C11/(Baseline!H11*(1+Assumptions!$F$13)*IFERROR(MAX(0,C11)/'History Y-1'!P11,1)^Assumptions!$F$14),0)</f>
        <v>63324.5521731565</v>
      </c>
      <c r="E11" s="20" t="n">
        <f aca="false">IF('Media Plan'!J11&lt;&gt;"",'Media Plan'!J11,Assumptions!$D$11*Baseline!U11)</f>
        <v>15099.6506677947</v>
      </c>
      <c r="F11" s="21" t="n">
        <f aca="false">IFERROR(E11/(Baseline!I11*(1+Assumptions!$F$13)*IFERROR(MAX(0,E11)/'History Y-1'!Q11,1)^Assumptions!$F$15),0)</f>
        <v>38877.4489709978</v>
      </c>
      <c r="G11" s="20" t="n">
        <f aca="false">IF('Media Plan'!P11&lt;&gt;"",'Media Plan'!P11,Assumptions!$D$12*Baseline!V11)</f>
        <v>3185.85643170693</v>
      </c>
      <c r="H11" s="21" t="n">
        <f aca="false">IFERROR(G11/(Baseline!J11*(1+Assumptions!$F$13)*IFERROR(MAX(0,G11)/'History Y-1'!R11,1)^Assumptions!$F$16),0)</f>
        <v>11794.3469925848</v>
      </c>
      <c r="I11" s="21" t="n">
        <f aca="false">'History Y-1'!$F$58*(1+Assumptions!$F$6)*Baseline!Q11+'History Y-1'!$G$58*(1+Assumptions!$F$7)*Baseline!R11+J11</f>
        <v>152122.494834704</v>
      </c>
      <c r="J11" s="21" t="n">
        <f aca="false">'History Y-1'!$H$58*(1+Assumptions!$F$8)*Baseline!S11</f>
        <v>17922.3392496079</v>
      </c>
      <c r="K11" s="55" t="n">
        <f aca="false">D11+F11+H11+I11</f>
        <v>266118.842971444</v>
      </c>
      <c r="L11" s="21" t="n">
        <f aca="false">K11*Baseline!B11*(1+Assumptions!$F$18)*(1+Calendar!G11)</f>
        <v>5669.75255287333</v>
      </c>
      <c r="M11" s="20" t="n">
        <f aca="false">L11*Baseline!C11*(1+Assumptions!$F$19)</f>
        <v>430692.218902805</v>
      </c>
      <c r="N11" s="31" t="n">
        <f aca="false">MAX(0,MIN(0.9,Baseline!E11+Assumptions!$F$20))</f>
        <v>0.0982325313472703</v>
      </c>
      <c r="O11" s="31" t="n">
        <f aca="false">MAX(0,Baseline!F11+Assumptions!$F$21)</f>
        <v>0.272710082310919</v>
      </c>
      <c r="P11" s="49" t="n">
        <f aca="false">M11*O11</f>
        <v>117454.110467656</v>
      </c>
      <c r="Q11" s="49" t="n">
        <f aca="false">M11-P11</f>
        <v>313238.108435149</v>
      </c>
      <c r="R11" s="21" t="n">
        <f aca="false">L11*Baseline!D11</f>
        <v>10991.3692041775</v>
      </c>
      <c r="S11" s="21" t="n">
        <f aca="false">IFERROR(P11/(Baseline!C11*(1+Assumptions!$F$19)),0)</f>
        <v>1546.19868537663</v>
      </c>
      <c r="T11" s="20" t="n">
        <f aca="false">Q11/(1-N11)*(1-Assumptions!$F$23)</f>
        <v>131996.867643931</v>
      </c>
      <c r="U11" s="20" t="n">
        <f aca="false">P11/(1-N11)*(1-Assumptions!$F$23)*Assumptions!$F$24</f>
        <v>3464.61748404767</v>
      </c>
      <c r="V11" s="49" t="n">
        <f aca="false">Q11-T11-U11</f>
        <v>177776.623307171</v>
      </c>
      <c r="W11" s="20" t="n">
        <f aca="false">T11*Assumptions!$F$25+L11*(Assumptions!$F$27-Assumptions!$F$28+Assumptions!$F$29+Assumptions!$F$36*Assumptions!$F$37)+R11*Assumptions!$F$30+S11*(Assumptions!$F$31+Assumptions!$F$32)+M11*(Assumptions!$F$33+Assumptions!$F$38)+IFERROR(M11*J11/K11,0)*Assumptions!$F$35*Assumptions!$F$34</f>
        <v>56788.3298732006</v>
      </c>
      <c r="X11" s="49" t="n">
        <f aca="false">V11-W11</f>
        <v>120988.29343397</v>
      </c>
      <c r="Y11" s="49" t="n">
        <f aca="false">C11+E11+G11</f>
        <v>49409.5615490024</v>
      </c>
      <c r="Z11" s="49" t="n">
        <f aca="false">X11-Y11</f>
        <v>71578.731884968</v>
      </c>
      <c r="AA11" s="20" t="n">
        <f aca="false">'Fixed Costs'!$G$31/52</f>
        <v>25332.6923076923</v>
      </c>
      <c r="AB11" s="49" t="n">
        <f aca="false">Z11-AA11</f>
        <v>46246.0395772757</v>
      </c>
      <c r="AC11" s="21" t="n">
        <f aca="false">L11*Baseline!G11</f>
        <v>1964.59979089031</v>
      </c>
    </row>
    <row r="12" customFormat="false" ht="15" hidden="false" customHeight="false" outlineLevel="0" collapsed="false">
      <c r="A12" s="13" t="n">
        <v>7</v>
      </c>
      <c r="B12" s="14" t="str">
        <f aca="false">Calendar!D12</f>
        <v>P2</v>
      </c>
      <c r="C12" s="20" t="n">
        <f aca="false">IF('Media Plan'!D12&lt;&gt;"",'Media Plan'!D12,Assumptions!$D$10*Baseline!T12)</f>
        <v>29790.698918644</v>
      </c>
      <c r="D12" s="21" t="n">
        <f aca="false">IFERROR(C12/(Baseline!H12*(1+Assumptions!$F$13)*IFERROR(MAX(0,C12)/'History Y-1'!P12,1)^Assumptions!$F$14),0)</f>
        <v>62717.7874275825</v>
      </c>
      <c r="E12" s="20" t="n">
        <f aca="false">IF('Media Plan'!J12&lt;&gt;"",'Media Plan'!J12,Assumptions!$D$11*Baseline!U12)</f>
        <v>15753.121148499</v>
      </c>
      <c r="F12" s="21" t="n">
        <f aca="false">IFERROR(E12/(Baseline!I12*(1+Assumptions!$F$13)*IFERROR(MAX(0,E12)/'History Y-1'!Q12,1)^Assumptions!$F$15),0)</f>
        <v>40367.3334135347</v>
      </c>
      <c r="G12" s="20" t="n">
        <f aca="false">IF('Media Plan'!P12&lt;&gt;"",'Media Plan'!P12,Assumptions!$D$12*Baseline!V12)</f>
        <v>3189.21514235856</v>
      </c>
      <c r="H12" s="21" t="n">
        <f aca="false">IFERROR(G12/(Baseline!J12*(1+Assumptions!$F$13)*IFERROR(MAX(0,G12)/'History Y-1'!R12,1)^Assumptions!$F$16),0)</f>
        <v>12380.9699025556</v>
      </c>
      <c r="I12" s="21" t="n">
        <f aca="false">'History Y-1'!$F$58*(1+Assumptions!$F$6)*Baseline!Q12+'History Y-1'!$G$58*(1+Assumptions!$F$7)*Baseline!R12+J12</f>
        <v>155150.082208736</v>
      </c>
      <c r="J12" s="21" t="n">
        <f aca="false">'History Y-1'!$H$58*(1+Assumptions!$F$8)*Baseline!S12</f>
        <v>17870.5089053319</v>
      </c>
      <c r="K12" s="55" t="n">
        <f aca="false">D12+F12+H12+I12</f>
        <v>270616.172952408</v>
      </c>
      <c r="L12" s="21" t="n">
        <f aca="false">K12*Baseline!B12*(1+Assumptions!$F$18)*(1+Calendar!G12)</f>
        <v>5567.67131711148</v>
      </c>
      <c r="M12" s="20" t="n">
        <f aca="false">L12*Baseline!C12*(1+Assumptions!$F$19)</f>
        <v>415161.598671538</v>
      </c>
      <c r="N12" s="31" t="n">
        <f aca="false">MAX(0,MIN(0.9,Baseline!E12+Assumptions!$F$20))</f>
        <v>0.0996188438534107</v>
      </c>
      <c r="O12" s="31" t="n">
        <f aca="false">MAX(0,Baseline!F12+Assumptions!$F$21)</f>
        <v>0.274534122550686</v>
      </c>
      <c r="P12" s="49" t="n">
        <f aca="false">M12*O12</f>
        <v>113976.025208031</v>
      </c>
      <c r="Q12" s="49" t="n">
        <f aca="false">M12-P12</f>
        <v>301185.573463507</v>
      </c>
      <c r="R12" s="21" t="n">
        <f aca="false">L12*Baseline!D12</f>
        <v>10622.5273635304</v>
      </c>
      <c r="S12" s="21" t="n">
        <f aca="false">IFERROR(P12/(Baseline!C12*(1+Assumptions!$F$19)),0)</f>
        <v>1528.51575969382</v>
      </c>
      <c r="T12" s="20" t="n">
        <f aca="false">Q12/(1-N12)*(1-Assumptions!$F$23)</f>
        <v>127113.408732312</v>
      </c>
      <c r="U12" s="20" t="n">
        <f aca="false">P12/(1-N12)*(1-Assumptions!$F$23)*Assumptions!$F$24</f>
        <v>3367.1987133858</v>
      </c>
      <c r="V12" s="49" t="n">
        <f aca="false">Q12-T12-U12</f>
        <v>170704.96601781</v>
      </c>
      <c r="W12" s="20" t="n">
        <f aca="false">T12*Assumptions!$F$25+L12*(Assumptions!$F$27-Assumptions!$F$28+Assumptions!$F$29+Assumptions!$F$36*Assumptions!$F$37)+R12*Assumptions!$F$30+S12*(Assumptions!$F$31+Assumptions!$F$32)+M12*(Assumptions!$F$33+Assumptions!$F$38)+IFERROR(M12*J12/K12,0)*Assumptions!$F$35*Assumptions!$F$34</f>
        <v>55353.4066351886</v>
      </c>
      <c r="X12" s="49" t="n">
        <f aca="false">V12-W12</f>
        <v>115351.559382621</v>
      </c>
      <c r="Y12" s="49" t="n">
        <f aca="false">C12+E12+G12</f>
        <v>48733.0352095015</v>
      </c>
      <c r="Z12" s="49" t="n">
        <f aca="false">X12-Y12</f>
        <v>66618.5241731194</v>
      </c>
      <c r="AA12" s="20" t="n">
        <f aca="false">'Fixed Costs'!$G$31/52</f>
        <v>25332.6923076923</v>
      </c>
      <c r="AB12" s="49" t="n">
        <f aca="false">Z12-AA12</f>
        <v>41285.8318654271</v>
      </c>
      <c r="AC12" s="21" t="n">
        <f aca="false">L12*Baseline!G12</f>
        <v>1918.79892875202</v>
      </c>
    </row>
    <row r="13" customFormat="false" ht="15" hidden="false" customHeight="false" outlineLevel="0" collapsed="false">
      <c r="A13" s="13" t="n">
        <v>8</v>
      </c>
      <c r="B13" s="14" t="str">
        <f aca="false">Calendar!D13</f>
        <v>P2</v>
      </c>
      <c r="C13" s="20" t="n">
        <f aca="false">IF('Media Plan'!D13&lt;&gt;"",'Media Plan'!D13,Assumptions!$D$10*Baseline!T13)</f>
        <v>29139.3401526713</v>
      </c>
      <c r="D13" s="21" t="n">
        <f aca="false">IFERROR(C13/(Baseline!H13*(1+Assumptions!$F$13)*IFERROR(MAX(0,C13)/'History Y-1'!P13,1)^Assumptions!$F$14),0)</f>
        <v>59637.4582171949</v>
      </c>
      <c r="E13" s="20" t="n">
        <f aca="false">IF('Media Plan'!J13&lt;&gt;"",'Media Plan'!J13,Assumptions!$D$11*Baseline!U13)</f>
        <v>15069.5675376726</v>
      </c>
      <c r="F13" s="21" t="n">
        <f aca="false">IFERROR(E13/(Baseline!I13*(1+Assumptions!$F$13)*IFERROR(MAX(0,E13)/'History Y-1'!Q13,1)^Assumptions!$F$15),0)</f>
        <v>38802.2383772958</v>
      </c>
      <c r="G13" s="20" t="n">
        <f aca="false">IF('Media Plan'!P13&lt;&gt;"",'Media Plan'!P13,Assumptions!$D$12*Baseline!V13)</f>
        <v>3285.21753493564</v>
      </c>
      <c r="H13" s="21" t="n">
        <f aca="false">IFERROR(G13/(Baseline!J13*(1+Assumptions!$F$13)*IFERROR(MAX(0,G13)/'History Y-1'!R13,1)^Assumptions!$F$16),0)</f>
        <v>11895.4205554726</v>
      </c>
      <c r="I13" s="21" t="n">
        <f aca="false">'History Y-1'!$F$58*(1+Assumptions!$F$6)*Baseline!Q13+'History Y-1'!$G$58*(1+Assumptions!$F$7)*Baseline!R13+J13</f>
        <v>147813.465134031</v>
      </c>
      <c r="J13" s="21" t="n">
        <f aca="false">'History Y-1'!$H$58*(1+Assumptions!$F$8)*Baseline!S13</f>
        <v>17684.3560643728</v>
      </c>
      <c r="K13" s="55" t="n">
        <f aca="false">D13+F13+H13+I13</f>
        <v>258148.582283995</v>
      </c>
      <c r="L13" s="21" t="n">
        <f aca="false">K13*Baseline!B13*(1+Assumptions!$F$18)*(1+Calendar!G13)</f>
        <v>5340.52623959045</v>
      </c>
      <c r="M13" s="20" t="n">
        <f aca="false">L13*Baseline!C13*(1+Assumptions!$F$19)</f>
        <v>403905.317246628</v>
      </c>
      <c r="N13" s="31" t="n">
        <f aca="false">MAX(0,MIN(0.9,Baseline!E13+Assumptions!$F$20))</f>
        <v>0.0994971979963994</v>
      </c>
      <c r="O13" s="31" t="n">
        <f aca="false">MAX(0,Baseline!F13+Assumptions!$F$21)</f>
        <v>0.269978271906444</v>
      </c>
      <c r="P13" s="49" t="n">
        <f aca="false">M13*O13</f>
        <v>109045.659564069</v>
      </c>
      <c r="Q13" s="49" t="n">
        <f aca="false">M13-P13</f>
        <v>294859.657682559</v>
      </c>
      <c r="R13" s="21" t="n">
        <f aca="false">L13*Baseline!D13</f>
        <v>9942.41862323617</v>
      </c>
      <c r="S13" s="21" t="n">
        <f aca="false">IFERROR(P13/(Baseline!C13*(1+Assumptions!$F$19)),0)</f>
        <v>1441.82604523565</v>
      </c>
      <c r="T13" s="20" t="n">
        <f aca="false">Q13/(1-N13)*(1-Assumptions!$F$23)</f>
        <v>124426.786535334</v>
      </c>
      <c r="U13" s="20" t="n">
        <f aca="false">P13/(1-N13)*(1-Assumptions!$F$23)*Assumptions!$F$24</f>
        <v>3221.10551788447</v>
      </c>
      <c r="V13" s="49" t="n">
        <f aca="false">Q13-T13-U13</f>
        <v>167211.76562934</v>
      </c>
      <c r="W13" s="20" t="n">
        <f aca="false">T13*Assumptions!$F$25+L13*(Assumptions!$F$27-Assumptions!$F$28+Assumptions!$F$29+Assumptions!$F$36*Assumptions!$F$37)+R13*Assumptions!$F$30+S13*(Assumptions!$F$31+Assumptions!$F$32)+M13*(Assumptions!$F$33+Assumptions!$F$38)+IFERROR(M13*J13/K13,0)*Assumptions!$F$35*Assumptions!$F$34</f>
        <v>53046.5446515703</v>
      </c>
      <c r="X13" s="49" t="n">
        <f aca="false">V13-W13</f>
        <v>114165.22097777</v>
      </c>
      <c r="Y13" s="49" t="n">
        <f aca="false">C13+E13+G13</f>
        <v>47494.1252252796</v>
      </c>
      <c r="Z13" s="49" t="n">
        <f aca="false">X13-Y13</f>
        <v>66671.0957524903</v>
      </c>
      <c r="AA13" s="20" t="n">
        <f aca="false">'Fixed Costs'!$G$31/52</f>
        <v>25332.6923076923</v>
      </c>
      <c r="AB13" s="49" t="n">
        <f aca="false">Z13-AA13</f>
        <v>41338.403444798</v>
      </c>
      <c r="AC13" s="21" t="n">
        <f aca="false">L13*Baseline!G13</f>
        <v>1936.57647928356</v>
      </c>
    </row>
    <row r="14" customFormat="false" ht="15" hidden="false" customHeight="false" outlineLevel="0" collapsed="false">
      <c r="A14" s="13" t="n">
        <v>9</v>
      </c>
      <c r="B14" s="14" t="str">
        <f aca="false">Calendar!D14</f>
        <v>P3</v>
      </c>
      <c r="C14" s="20" t="n">
        <f aca="false">IF('Media Plan'!D14&lt;&gt;"",'Media Plan'!D14,Assumptions!$D$10*Baseline!T14)</f>
        <v>35373.2913586265</v>
      </c>
      <c r="D14" s="21" t="n">
        <f aca="false">IFERROR(C14/(Baseline!H14*(1+Assumptions!$F$13)*IFERROR(MAX(0,C14)/'History Y-1'!P14,1)^Assumptions!$F$14),0)</f>
        <v>71587.4299501003</v>
      </c>
      <c r="E14" s="20" t="n">
        <f aca="false">IF('Media Plan'!J14&lt;&gt;"",'Media Plan'!J14,Assumptions!$D$11*Baseline!U14)</f>
        <v>17349.9960567643</v>
      </c>
      <c r="F14" s="21" t="n">
        <f aca="false">IFERROR(E14/(Baseline!I14*(1+Assumptions!$F$13)*IFERROR(MAX(0,E14)/'History Y-1'!Q14,1)^Assumptions!$F$15),0)</f>
        <v>45109.041402142</v>
      </c>
      <c r="G14" s="20" t="n">
        <f aca="false">IF('Media Plan'!P14&lt;&gt;"",'Media Plan'!P14,Assumptions!$D$12*Baseline!V14)</f>
        <v>3597.61209854914</v>
      </c>
      <c r="H14" s="21" t="n">
        <f aca="false">IFERROR(G14/(Baseline!J14*(1+Assumptions!$F$13)*IFERROR(MAX(0,G14)/'History Y-1'!R14,1)^Assumptions!$F$16),0)</f>
        <v>13030.9615787735</v>
      </c>
      <c r="I14" s="21" t="n">
        <f aca="false">'History Y-1'!$F$58*(1+Assumptions!$F$6)*Baseline!Q14+'History Y-1'!$G$58*(1+Assumptions!$F$7)*Baseline!R14+J14</f>
        <v>175950.828062251</v>
      </c>
      <c r="J14" s="21" t="n">
        <f aca="false">'History Y-1'!$H$58*(1+Assumptions!$F$8)*Baseline!S14</f>
        <v>20456.8487731326</v>
      </c>
      <c r="K14" s="55" t="n">
        <f aca="false">D14+F14+H14+I14</f>
        <v>305678.260993267</v>
      </c>
      <c r="L14" s="21" t="n">
        <f aca="false">K14*Baseline!B14*(1+Assumptions!$F$18)*(1+Calendar!G14)</f>
        <v>6352.94956255049</v>
      </c>
      <c r="M14" s="20" t="n">
        <f aca="false">L14*Baseline!C14*(1+Assumptions!$F$19)</f>
        <v>475197.117523199</v>
      </c>
      <c r="N14" s="31" t="n">
        <f aca="false">MAX(0,MIN(0.9,Baseline!E14+Assumptions!$F$20))</f>
        <v>0.102405820674153</v>
      </c>
      <c r="O14" s="31" t="n">
        <f aca="false">MAX(0,Baseline!F14+Assumptions!$F$21)</f>
        <v>0.268287307330355</v>
      </c>
      <c r="P14" s="49" t="n">
        <f aca="false">M14*O14</f>
        <v>127489.355111445</v>
      </c>
      <c r="Q14" s="49" t="n">
        <f aca="false">M14-P14</f>
        <v>347707.762411754</v>
      </c>
      <c r="R14" s="21" t="n">
        <f aca="false">L14*Baseline!D14</f>
        <v>12152.4473532215</v>
      </c>
      <c r="S14" s="21" t="n">
        <f aca="false">IFERROR(P14/(Baseline!C14*(1+Assumptions!$F$19)),0)</f>
        <v>1704.41573174222</v>
      </c>
      <c r="T14" s="20" t="n">
        <f aca="false">Q14/(1-N14)*(1-Assumptions!$F$23)</f>
        <v>147203.43865833</v>
      </c>
      <c r="U14" s="20" t="n">
        <f aca="false">P14/(1-N14)*(1-Assumptions!$F$23)*Assumptions!$F$24</f>
        <v>3778.1181340898</v>
      </c>
      <c r="V14" s="49" t="n">
        <f aca="false">Q14-T14-U14</f>
        <v>196726.205619334</v>
      </c>
      <c r="W14" s="20" t="n">
        <f aca="false">T14*Assumptions!$F$25+L14*(Assumptions!$F$27-Assumptions!$F$28+Assumptions!$F$29+Assumptions!$F$36*Assumptions!$F$37)+R14*Assumptions!$F$30+S14*(Assumptions!$F$31+Assumptions!$F$32)+M14*(Assumptions!$F$33+Assumptions!$F$38)+IFERROR(M14*J14/K14,0)*Assumptions!$F$35*Assumptions!$F$34</f>
        <v>63129.1411646007</v>
      </c>
      <c r="X14" s="49" t="n">
        <f aca="false">V14-W14</f>
        <v>133597.064454733</v>
      </c>
      <c r="Y14" s="49" t="n">
        <f aca="false">C14+E14+G14</f>
        <v>56320.8995139399</v>
      </c>
      <c r="Z14" s="49" t="n">
        <f aca="false">X14-Y14</f>
        <v>77276.1649407931</v>
      </c>
      <c r="AA14" s="20" t="n">
        <f aca="false">'Fixed Costs'!$G$31/52</f>
        <v>25332.6923076923</v>
      </c>
      <c r="AB14" s="49" t="n">
        <f aca="false">Z14-AA14</f>
        <v>51943.4726331008</v>
      </c>
      <c r="AC14" s="21" t="n">
        <f aca="false">L14*Baseline!G14</f>
        <v>2188.64183607096</v>
      </c>
    </row>
    <row r="15" customFormat="false" ht="15" hidden="false" customHeight="false" outlineLevel="0" collapsed="false">
      <c r="A15" s="13" t="n">
        <v>10</v>
      </c>
      <c r="B15" s="14" t="str">
        <f aca="false">Calendar!D15</f>
        <v>P3</v>
      </c>
      <c r="C15" s="20" t="n">
        <f aca="false">IF('Media Plan'!D15&lt;&gt;"",'Media Plan'!D15,Assumptions!$D$10*Baseline!T15)</f>
        <v>33783.5581494527</v>
      </c>
      <c r="D15" s="21" t="n">
        <f aca="false">IFERROR(C15/(Baseline!H15*(1+Assumptions!$F$13)*IFERROR(MAX(0,C15)/'History Y-1'!P15,1)^Assumptions!$F$14),0)</f>
        <v>69154.2763228991</v>
      </c>
      <c r="E15" s="20" t="n">
        <f aca="false">IF('Media Plan'!J15&lt;&gt;"",'Media Plan'!J15,Assumptions!$D$11*Baseline!U15)</f>
        <v>17395.15141007</v>
      </c>
      <c r="F15" s="21" t="n">
        <f aca="false">IFERROR(E15/(Baseline!I15*(1+Assumptions!$F$13)*IFERROR(MAX(0,E15)/'History Y-1'!Q15,1)^Assumptions!$F$15),0)</f>
        <v>44694.4839496841</v>
      </c>
      <c r="G15" s="20" t="n">
        <f aca="false">IF('Media Plan'!P15&lt;&gt;"",'Media Plan'!P15,Assumptions!$D$12*Baseline!V15)</f>
        <v>3661.9743122712</v>
      </c>
      <c r="H15" s="21" t="n">
        <f aca="false">IFERROR(G15/(Baseline!J15*(1+Assumptions!$F$13)*IFERROR(MAX(0,G15)/'History Y-1'!R15,1)^Assumptions!$F$16),0)</f>
        <v>13890.1417474738</v>
      </c>
      <c r="I15" s="21" t="n">
        <f aca="false">'History Y-1'!$F$58*(1+Assumptions!$F$6)*Baseline!Q15+'History Y-1'!$G$58*(1+Assumptions!$F$7)*Baseline!R15+J15</f>
        <v>166112.910001432</v>
      </c>
      <c r="J15" s="21" t="n">
        <f aca="false">'History Y-1'!$H$58*(1+Assumptions!$F$8)*Baseline!S15</f>
        <v>19136.8654991851</v>
      </c>
      <c r="K15" s="55" t="n">
        <f aca="false">D15+F15+H15+I15</f>
        <v>293851.812021489</v>
      </c>
      <c r="L15" s="21" t="n">
        <f aca="false">K15*Baseline!B15*(1+Assumptions!$F$18)*(1+Calendar!G15)</f>
        <v>6158.13196616663</v>
      </c>
      <c r="M15" s="20" t="n">
        <f aca="false">L15*Baseline!C15*(1+Assumptions!$F$19)</f>
        <v>465649.453559248</v>
      </c>
      <c r="N15" s="31" t="n">
        <f aca="false">MAX(0,MIN(0.9,Baseline!E15+Assumptions!$F$20))</f>
        <v>0.0989715642970281</v>
      </c>
      <c r="O15" s="31" t="n">
        <f aca="false">MAX(0,Baseline!F15+Assumptions!$F$21)</f>
        <v>0.274779330718454</v>
      </c>
      <c r="P15" s="49" t="n">
        <f aca="false">M15*O15</f>
        <v>127950.845198424</v>
      </c>
      <c r="Q15" s="49" t="n">
        <f aca="false">M15-P15</f>
        <v>337698.608360824</v>
      </c>
      <c r="R15" s="21" t="n">
        <f aca="false">L15*Baseline!D15</f>
        <v>11888.3570876482</v>
      </c>
      <c r="S15" s="21" t="n">
        <f aca="false">IFERROR(P15/(Baseline!C15*(1+Assumptions!$F$19)),0)</f>
        <v>1692.12738013918</v>
      </c>
      <c r="T15" s="20" t="n">
        <f aca="false">Q15/(1-N15)*(1-Assumptions!$F$23)</f>
        <v>142421.111357041</v>
      </c>
      <c r="U15" s="20" t="n">
        <f aca="false">P15/(1-N15)*(1-Assumptions!$F$23)*Assumptions!$F$24</f>
        <v>3777.34192109343</v>
      </c>
      <c r="V15" s="49" t="n">
        <f aca="false">Q15-T15-U15</f>
        <v>191500.15508269</v>
      </c>
      <c r="W15" s="20" t="n">
        <f aca="false">T15*Assumptions!$F$25+L15*(Assumptions!$F$27-Assumptions!$F$28+Assumptions!$F$29+Assumptions!$F$36*Assumptions!$F$37)+R15*Assumptions!$F$30+S15*(Assumptions!$F$31+Assumptions!$F$32)+M15*(Assumptions!$F$33+Assumptions!$F$38)+IFERROR(M15*J15/K15,0)*Assumptions!$F$35*Assumptions!$F$34</f>
        <v>61534.1730587402</v>
      </c>
      <c r="X15" s="49" t="n">
        <f aca="false">V15-W15</f>
        <v>129965.98202395</v>
      </c>
      <c r="Y15" s="49" t="n">
        <f aca="false">C15+E15+G15</f>
        <v>54840.6838717939</v>
      </c>
      <c r="Z15" s="49" t="n">
        <f aca="false">X15-Y15</f>
        <v>75125.2981521557</v>
      </c>
      <c r="AA15" s="20" t="n">
        <f aca="false">'Fixed Costs'!$G$31/52</f>
        <v>25332.6923076923</v>
      </c>
      <c r="AB15" s="49" t="n">
        <f aca="false">Z15-AA15</f>
        <v>49792.6058444634</v>
      </c>
      <c r="AC15" s="21" t="n">
        <f aca="false">L15*Baseline!G15</f>
        <v>2839.14231161005</v>
      </c>
    </row>
    <row r="16" customFormat="false" ht="15" hidden="false" customHeight="false" outlineLevel="0" collapsed="false">
      <c r="A16" s="13" t="n">
        <v>11</v>
      </c>
      <c r="B16" s="14" t="str">
        <f aca="false">Calendar!D16</f>
        <v>P3</v>
      </c>
      <c r="C16" s="20" t="n">
        <f aca="false">IF('Media Plan'!D16&lt;&gt;"",'Media Plan'!D16,Assumptions!$D$10*Baseline!T16)</f>
        <v>35511.5735769819</v>
      </c>
      <c r="D16" s="21" t="n">
        <f aca="false">IFERROR(C16/(Baseline!H16*(1+Assumptions!$F$13)*IFERROR(MAX(0,C16)/'History Y-1'!P16,1)^Assumptions!$F$14),0)</f>
        <v>74398.0696548071</v>
      </c>
      <c r="E16" s="20" t="n">
        <f aca="false">IF('Media Plan'!J16&lt;&gt;"",'Media Plan'!J16,Assumptions!$D$11*Baseline!U16)</f>
        <v>16870.3018746646</v>
      </c>
      <c r="F16" s="21" t="n">
        <f aca="false">IFERROR(E16/(Baseline!I16*(1+Assumptions!$F$13)*IFERROR(MAX(0,E16)/'History Y-1'!Q16,1)^Assumptions!$F$15),0)</f>
        <v>44343.4795372324</v>
      </c>
      <c r="G16" s="20" t="n">
        <f aca="false">IF('Media Plan'!P16&lt;&gt;"",'Media Plan'!P16,Assumptions!$D$12*Baseline!V16)</f>
        <v>3733.38962982644</v>
      </c>
      <c r="H16" s="21" t="n">
        <f aca="false">IFERROR(G16/(Baseline!J16*(1+Assumptions!$F$13)*IFERROR(MAX(0,G16)/'History Y-1'!R16,1)^Assumptions!$F$16),0)</f>
        <v>13690.4715261101</v>
      </c>
      <c r="I16" s="21" t="n">
        <f aca="false">'History Y-1'!$F$58*(1+Assumptions!$F$6)*Baseline!Q16+'History Y-1'!$G$58*(1+Assumptions!$F$7)*Baseline!R16+J16</f>
        <v>172873.082804917</v>
      </c>
      <c r="J16" s="21" t="n">
        <f aca="false">'History Y-1'!$H$58*(1+Assumptions!$F$8)*Baseline!S16</f>
        <v>20313.3337943177</v>
      </c>
      <c r="K16" s="55" t="n">
        <f aca="false">D16+F16+H16+I16</f>
        <v>305305.103523067</v>
      </c>
      <c r="L16" s="21" t="n">
        <f aca="false">K16*Baseline!B16*(1+Assumptions!$F$18)*(1+Calendar!G16)</f>
        <v>6461.14669458867</v>
      </c>
      <c r="M16" s="20" t="n">
        <f aca="false">L16*Baseline!C16*(1+Assumptions!$F$19)</f>
        <v>480610.06472841</v>
      </c>
      <c r="N16" s="31" t="n">
        <f aca="false">MAX(0,MIN(0.9,Baseline!E16+Assumptions!$F$20))</f>
        <v>0.0997780632675516</v>
      </c>
      <c r="O16" s="31" t="n">
        <f aca="false">MAX(0,Baseline!F16+Assumptions!$F$21)</f>
        <v>0.282338092206024</v>
      </c>
      <c r="P16" s="49" t="n">
        <f aca="false">M16*O16</f>
        <v>135694.528770433</v>
      </c>
      <c r="Q16" s="49" t="n">
        <f aca="false">M16-P16</f>
        <v>344915.535957977</v>
      </c>
      <c r="R16" s="21" t="n">
        <f aca="false">L16*Baseline!D16</f>
        <v>12043.1721640216</v>
      </c>
      <c r="S16" s="21" t="n">
        <f aca="false">IFERROR(P16/(Baseline!C16*(1+Assumptions!$F$19)),0)</f>
        <v>1824.22783121342</v>
      </c>
      <c r="T16" s="20" t="n">
        <f aca="false">Q16/(1-N16)*(1-Assumptions!$F$23)</f>
        <v>145595.100847876</v>
      </c>
      <c r="U16" s="20" t="n">
        <f aca="false">P16/(1-N16)*(1-Assumptions!$F$23)*Assumptions!$F$24</f>
        <v>4009.53844603575</v>
      </c>
      <c r="V16" s="49" t="n">
        <f aca="false">Q16-T16-U16</f>
        <v>195310.896664065</v>
      </c>
      <c r="W16" s="20" t="n">
        <f aca="false">T16*Assumptions!$F$25+L16*(Assumptions!$F$27-Assumptions!$F$28+Assumptions!$F$29+Assumptions!$F$36*Assumptions!$F$37)+R16*Assumptions!$F$30+S16*(Assumptions!$F$31+Assumptions!$F$32)+M16*(Assumptions!$F$33+Assumptions!$F$38)+IFERROR(M16*J16/K16,0)*Assumptions!$F$35*Assumptions!$F$34</f>
        <v>64160.8561466988</v>
      </c>
      <c r="X16" s="49" t="n">
        <f aca="false">V16-W16</f>
        <v>131150.040517366</v>
      </c>
      <c r="Y16" s="49" t="n">
        <f aca="false">C16+E16+G16</f>
        <v>56115.2650814729</v>
      </c>
      <c r="Z16" s="49" t="n">
        <f aca="false">X16-Y16</f>
        <v>75034.7754358933</v>
      </c>
      <c r="AA16" s="20" t="n">
        <f aca="false">'Fixed Costs'!$G$31/52</f>
        <v>25332.6923076923</v>
      </c>
      <c r="AB16" s="49" t="n">
        <f aca="false">Z16-AA16</f>
        <v>49702.083128201</v>
      </c>
      <c r="AC16" s="21" t="n">
        <f aca="false">L16*Baseline!G16</f>
        <v>2262.60684237765</v>
      </c>
    </row>
    <row r="17" customFormat="false" ht="15" hidden="false" customHeight="false" outlineLevel="0" collapsed="false">
      <c r="A17" s="13" t="n">
        <v>12</v>
      </c>
      <c r="B17" s="14" t="str">
        <f aca="false">Calendar!D17</f>
        <v>P3</v>
      </c>
      <c r="C17" s="20" t="n">
        <f aca="false">IF('Media Plan'!D17&lt;&gt;"",'Media Plan'!D17,Assumptions!$D$10*Baseline!T17)</f>
        <v>31340.8478779938</v>
      </c>
      <c r="D17" s="21" t="n">
        <f aca="false">IFERROR(C17/(Baseline!H17*(1+Assumptions!$F$13)*IFERROR(MAX(0,C17)/'History Y-1'!P17,1)^Assumptions!$F$14),0)</f>
        <v>74338.8844480744</v>
      </c>
      <c r="E17" s="20" t="n">
        <f aca="false">IF('Media Plan'!J17&lt;&gt;"",'Media Plan'!J17,Assumptions!$D$11*Baseline!U17)</f>
        <v>17774.0249623235</v>
      </c>
      <c r="F17" s="21" t="n">
        <f aca="false">IFERROR(E17/(Baseline!I17*(1+Assumptions!$F$13)*IFERROR(MAX(0,E17)/'History Y-1'!Q17,1)^Assumptions!$F$15),0)</f>
        <v>48624.9178205918</v>
      </c>
      <c r="G17" s="20" t="n">
        <f aca="false">IF('Media Plan'!P17&lt;&gt;"",'Media Plan'!P17,Assumptions!$D$12*Baseline!V17)</f>
        <v>3600.97822408256</v>
      </c>
      <c r="H17" s="21" t="n">
        <f aca="false">IFERROR(G17/(Baseline!J17*(1+Assumptions!$F$13)*IFERROR(MAX(0,G17)/'History Y-1'!R17,1)^Assumptions!$F$16),0)</f>
        <v>14264.9670038731</v>
      </c>
      <c r="I17" s="21" t="n">
        <f aca="false">'History Y-1'!$F$58*(1+Assumptions!$F$6)*Baseline!Q17+'History Y-1'!$G$58*(1+Assumptions!$F$7)*Baseline!R17+J17</f>
        <v>168130.320483024</v>
      </c>
      <c r="J17" s="21" t="n">
        <f aca="false">'History Y-1'!$H$58*(1+Assumptions!$F$8)*Baseline!S17</f>
        <v>19248.7079352211</v>
      </c>
      <c r="K17" s="55" t="n">
        <f aca="false">D17+F17+H17+I17</f>
        <v>305359.089755563</v>
      </c>
      <c r="L17" s="21" t="n">
        <f aca="false">K17*Baseline!B17*(1+Assumptions!$F$18)*(1+Calendar!G17)</f>
        <v>6318.28458436699</v>
      </c>
      <c r="M17" s="20" t="n">
        <f aca="false">L17*Baseline!C17*(1+Assumptions!$F$19)</f>
        <v>459534.156565657</v>
      </c>
      <c r="N17" s="31" t="n">
        <f aca="false">MAX(0,MIN(0.9,Baseline!E17+Assumptions!$F$20))</f>
        <v>0.102085891490112</v>
      </c>
      <c r="O17" s="31" t="n">
        <f aca="false">MAX(0,Baseline!F17+Assumptions!$F$21)</f>
        <v>0.282646799119499</v>
      </c>
      <c r="P17" s="49" t="n">
        <f aca="false">M17*O17</f>
        <v>129885.858439362</v>
      </c>
      <c r="Q17" s="49" t="n">
        <f aca="false">M17-P17</f>
        <v>329648.298126295</v>
      </c>
      <c r="R17" s="21" t="n">
        <f aca="false">L17*Baseline!D17</f>
        <v>11860.6323949839</v>
      </c>
      <c r="S17" s="21" t="n">
        <f aca="false">IFERROR(P17/(Baseline!C17*(1+Assumptions!$F$19)),0)</f>
        <v>1785.8429136974</v>
      </c>
      <c r="T17" s="20" t="n">
        <f aca="false">Q17/(1-N17)*(1-Assumptions!$F$23)</f>
        <v>139508.169100801</v>
      </c>
      <c r="U17" s="20" t="n">
        <f aca="false">P17/(1-N17)*(1-Assumptions!$F$23)*Assumptions!$F$24</f>
        <v>3847.76650878181</v>
      </c>
      <c r="V17" s="49" t="n">
        <f aca="false">Q17-T17-U17</f>
        <v>186292.362516713</v>
      </c>
      <c r="W17" s="20" t="n">
        <f aca="false">T17*Assumptions!$F$25+L17*(Assumptions!$F$27-Assumptions!$F$28+Assumptions!$F$29+Assumptions!$F$36*Assumptions!$F$37)+R17*Assumptions!$F$30+S17*(Assumptions!$F$31+Assumptions!$F$32)+M17*(Assumptions!$F$33+Assumptions!$F$38)+IFERROR(M17*J17/K17,0)*Assumptions!$F$35*Assumptions!$F$34</f>
        <v>62358.3398242924</v>
      </c>
      <c r="X17" s="49" t="n">
        <f aca="false">V17-W17</f>
        <v>123934.02269242</v>
      </c>
      <c r="Y17" s="49" t="n">
        <f aca="false">C17+E17+G17</f>
        <v>52715.8510643999</v>
      </c>
      <c r="Z17" s="49" t="n">
        <f aca="false">X17-Y17</f>
        <v>71218.1716280203</v>
      </c>
      <c r="AA17" s="20" t="n">
        <f aca="false">'Fixed Costs'!$G$31/52</f>
        <v>25332.6923076923</v>
      </c>
      <c r="AB17" s="49" t="n">
        <f aca="false">Z17-AA17</f>
        <v>45885.479320328</v>
      </c>
      <c r="AC17" s="21" t="n">
        <f aca="false">L17*Baseline!G17</f>
        <v>2138.22580598703</v>
      </c>
    </row>
    <row r="18" customFormat="false" ht="15" hidden="false" customHeight="false" outlineLevel="0" collapsed="false">
      <c r="A18" s="13" t="n">
        <v>13</v>
      </c>
      <c r="B18" s="14" t="str">
        <f aca="false">Calendar!D18</f>
        <v>P3</v>
      </c>
      <c r="C18" s="20" t="n">
        <f aca="false">IF('Media Plan'!D18&lt;&gt;"",'Media Plan'!D18,Assumptions!$D$10*Baseline!T18)</f>
        <v>34773.3477515073</v>
      </c>
      <c r="D18" s="21" t="n">
        <f aca="false">IFERROR(C18/(Baseline!H18*(1+Assumptions!$F$13)*IFERROR(MAX(0,C18)/'History Y-1'!P18,1)^Assumptions!$F$14),0)</f>
        <v>67935.8948886212</v>
      </c>
      <c r="E18" s="20" t="n">
        <f aca="false">IF('Media Plan'!J18&lt;&gt;"",'Media Plan'!J18,Assumptions!$D$11*Baseline!U18)</f>
        <v>17448.7378308273</v>
      </c>
      <c r="F18" s="21" t="n">
        <f aca="false">IFERROR(E18/(Baseline!I18*(1+Assumptions!$F$13)*IFERROR(MAX(0,E18)/'History Y-1'!Q18,1)^Assumptions!$F$15),0)</f>
        <v>45723.497722229</v>
      </c>
      <c r="G18" s="20" t="n">
        <f aca="false">IF('Media Plan'!P18&lt;&gt;"",'Media Plan'!P18,Assumptions!$D$12*Baseline!V18)</f>
        <v>3523.00338888481</v>
      </c>
      <c r="H18" s="21" t="n">
        <f aca="false">IFERROR(G18/(Baseline!J18*(1+Assumptions!$F$13)*IFERROR(MAX(0,G18)/'History Y-1'!R18,1)^Assumptions!$F$16),0)</f>
        <v>13161.5290233831</v>
      </c>
      <c r="I18" s="21" t="n">
        <f aca="false">'History Y-1'!$F$58*(1+Assumptions!$F$6)*Baseline!Q18+'History Y-1'!$G$58*(1+Assumptions!$F$7)*Baseline!R18+J18</f>
        <v>170408.113819051</v>
      </c>
      <c r="J18" s="21" t="n">
        <f aca="false">'History Y-1'!$H$58*(1+Assumptions!$F$8)*Baseline!S18</f>
        <v>20222.6820567587</v>
      </c>
      <c r="K18" s="55" t="n">
        <f aca="false">D18+F18+H18+I18</f>
        <v>297229.035453284</v>
      </c>
      <c r="L18" s="21" t="n">
        <f aca="false">K18*Baseline!B18*(1+Assumptions!$F$18)*(1+Calendar!G18)</f>
        <v>6128.62909384259</v>
      </c>
      <c r="M18" s="20" t="n">
        <f aca="false">L18*Baseline!C18*(1+Assumptions!$F$19)</f>
        <v>461202.156410403</v>
      </c>
      <c r="N18" s="31" t="n">
        <f aca="false">MAX(0,MIN(0.9,Baseline!E18+Assumptions!$F$20))</f>
        <v>0.102636863571165</v>
      </c>
      <c r="O18" s="31" t="n">
        <f aca="false">MAX(0,Baseline!F18+Assumptions!$F$21)</f>
        <v>0.271998513757347</v>
      </c>
      <c r="P18" s="49" t="n">
        <f aca="false">M18*O18</f>
        <v>125446.301085313</v>
      </c>
      <c r="Q18" s="49" t="n">
        <f aca="false">M18-P18</f>
        <v>335755.85532509</v>
      </c>
      <c r="R18" s="21" t="n">
        <f aca="false">L18*Baseline!D18</f>
        <v>11535.4862932465</v>
      </c>
      <c r="S18" s="21" t="n">
        <f aca="false">IFERROR(P18/(Baseline!C18*(1+Assumptions!$F$19)),0)</f>
        <v>1666.97800489522</v>
      </c>
      <c r="T18" s="20" t="n">
        <f aca="false">Q18/(1-N18)*(1-Assumptions!$F$23)</f>
        <v>142180.149645196</v>
      </c>
      <c r="U18" s="20" t="n">
        <f aca="false">P18/(1-N18)*(1-Assumptions!$F$23)*Assumptions!$F$24</f>
        <v>3718.52984974267</v>
      </c>
      <c r="V18" s="49" t="n">
        <f aca="false">Q18-T18-U18</f>
        <v>189857.175830151</v>
      </c>
      <c r="W18" s="20" t="n">
        <f aca="false">T18*Assumptions!$F$25+L18*(Assumptions!$F$27-Assumptions!$F$28+Assumptions!$F$29+Assumptions!$F$36*Assumptions!$F$37)+R18*Assumptions!$F$30+S18*(Assumptions!$F$31+Assumptions!$F$32)+M18*(Assumptions!$F$33+Assumptions!$F$38)+IFERROR(M18*J18/K18,0)*Assumptions!$F$35*Assumptions!$F$34</f>
        <v>60956.6038617467</v>
      </c>
      <c r="X18" s="49" t="n">
        <f aca="false">V18-W18</f>
        <v>128900.571968405</v>
      </c>
      <c r="Y18" s="49" t="n">
        <f aca="false">C18+E18+G18</f>
        <v>55745.0889712194</v>
      </c>
      <c r="Z18" s="49" t="n">
        <f aca="false">X18-Y18</f>
        <v>73155.4829971852</v>
      </c>
      <c r="AA18" s="20" t="n">
        <f aca="false">'Fixed Costs'!$G$31/52</f>
        <v>25332.6923076923</v>
      </c>
      <c r="AB18" s="49" t="n">
        <f aca="false">Z18-AA18</f>
        <v>47822.7906894929</v>
      </c>
      <c r="AC18" s="21" t="n">
        <f aca="false">L18*Baseline!G18</f>
        <v>2134.36505630174</v>
      </c>
    </row>
    <row r="19" customFormat="false" ht="15" hidden="false" customHeight="false" outlineLevel="0" collapsed="false">
      <c r="A19" s="13" t="n">
        <v>14</v>
      </c>
      <c r="B19" s="14" t="str">
        <f aca="false">Calendar!D19</f>
        <v>P4</v>
      </c>
      <c r="C19" s="20" t="n">
        <f aca="false">IF('Media Plan'!D19&lt;&gt;"",'Media Plan'!D19,Assumptions!$D$10*Baseline!T19)</f>
        <v>36839.1504478545</v>
      </c>
      <c r="D19" s="21" t="n">
        <f aca="false">IFERROR(C19/(Baseline!H19*(1+Assumptions!$F$13)*IFERROR(MAX(0,C19)/'History Y-1'!P19,1)^Assumptions!$F$14),0)</f>
        <v>75941.8115173174</v>
      </c>
      <c r="E19" s="20" t="n">
        <f aca="false">IF('Media Plan'!J19&lt;&gt;"",'Media Plan'!J19,Assumptions!$D$11*Baseline!U19)</f>
        <v>18327.7336585697</v>
      </c>
      <c r="F19" s="21" t="n">
        <f aca="false">IFERROR(E19/(Baseline!I19*(1+Assumptions!$F$13)*IFERROR(MAX(0,E19)/'History Y-1'!Q19,1)^Assumptions!$F$15),0)</f>
        <v>46233.6419243586</v>
      </c>
      <c r="G19" s="20" t="n">
        <f aca="false">IF('Media Plan'!P19&lt;&gt;"",'Media Plan'!P19,Assumptions!$D$12*Baseline!V19)</f>
        <v>3854.86851213136</v>
      </c>
      <c r="H19" s="21" t="n">
        <f aca="false">IFERROR(G19/(Baseline!J19*(1+Assumptions!$F$13)*IFERROR(MAX(0,G19)/'History Y-1'!R19,1)^Assumptions!$F$16),0)</f>
        <v>14019.2837142294</v>
      </c>
      <c r="I19" s="21" t="n">
        <f aca="false">'History Y-1'!$F$58*(1+Assumptions!$F$6)*Baseline!Q19+'History Y-1'!$G$58*(1+Assumptions!$F$7)*Baseline!R19+J19</f>
        <v>180779.711636611</v>
      </c>
      <c r="J19" s="21" t="n">
        <f aca="false">'History Y-1'!$H$58*(1+Assumptions!$F$8)*Baseline!S19</f>
        <v>21241.1886106576</v>
      </c>
      <c r="K19" s="55" t="n">
        <f aca="false">D19+F19+H19+I19</f>
        <v>316974.448792517</v>
      </c>
      <c r="L19" s="21" t="n">
        <f aca="false">K19*Baseline!B19*(1+Assumptions!$F$18)*(1+Calendar!G19)</f>
        <v>6681.40647176278</v>
      </c>
      <c r="M19" s="20" t="n">
        <f aca="false">L19*Baseline!C19*(1+Assumptions!$F$19)</f>
        <v>503952.011990282</v>
      </c>
      <c r="N19" s="31" t="n">
        <f aca="false">MAX(0,MIN(0.9,Baseline!E19+Assumptions!$F$20))</f>
        <v>0.0982264682320803</v>
      </c>
      <c r="O19" s="31" t="n">
        <f aca="false">MAX(0,Baseline!F19+Assumptions!$F$21)</f>
        <v>0.273401284826854</v>
      </c>
      <c r="P19" s="49" t="n">
        <f aca="false">M19*O19</f>
        <v>137781.127569221</v>
      </c>
      <c r="Q19" s="49" t="n">
        <f aca="false">M19-P19</f>
        <v>366170.88442106</v>
      </c>
      <c r="R19" s="21" t="n">
        <f aca="false">L19*Baseline!D19</f>
        <v>12463.8486687842</v>
      </c>
      <c r="S19" s="21" t="n">
        <f aca="false">IFERROR(P19/(Baseline!C19*(1+Assumptions!$F$19)),0)</f>
        <v>1826.7051138304</v>
      </c>
      <c r="T19" s="20" t="n">
        <f aca="false">Q19/(1-N19)*(1-Assumptions!$F$23)</f>
        <v>154301.419567295</v>
      </c>
      <c r="U19" s="20" t="n">
        <f aca="false">P19/(1-N19)*(1-Assumptions!$F$23)*Assumptions!$F$24</f>
        <v>4064.18891687376</v>
      </c>
      <c r="V19" s="49" t="n">
        <f aca="false">Q19-T19-U19</f>
        <v>207805.275936892</v>
      </c>
      <c r="W19" s="20" t="n">
        <f aca="false">T19*Assumptions!$F$25+L19*(Assumptions!$F$27-Assumptions!$F$28+Assumptions!$F$29+Assumptions!$F$36*Assumptions!$F$37)+R19*Assumptions!$F$30+S19*(Assumptions!$F$31+Assumptions!$F$32)+M19*(Assumptions!$F$33+Assumptions!$F$38)+IFERROR(M19*J19/K19,0)*Assumptions!$F$35*Assumptions!$F$34</f>
        <v>66365.4145430909</v>
      </c>
      <c r="X19" s="49" t="n">
        <f aca="false">V19-W19</f>
        <v>141439.861393801</v>
      </c>
      <c r="Y19" s="49" t="n">
        <f aca="false">C19+E19+G19</f>
        <v>59021.7526185556</v>
      </c>
      <c r="Z19" s="49" t="n">
        <f aca="false">X19-Y19</f>
        <v>82418.1087752455</v>
      </c>
      <c r="AA19" s="20" t="n">
        <f aca="false">'Fixed Costs'!$G$31/52</f>
        <v>25332.6923076923</v>
      </c>
      <c r="AB19" s="49" t="n">
        <f aca="false">Z19-AA19</f>
        <v>57085.4164675532</v>
      </c>
      <c r="AC19" s="21" t="n">
        <f aca="false">L19*Baseline!G19</f>
        <v>2331.39620281075</v>
      </c>
    </row>
    <row r="20" customFormat="false" ht="15" hidden="false" customHeight="false" outlineLevel="0" collapsed="false">
      <c r="A20" s="13" t="n">
        <v>15</v>
      </c>
      <c r="B20" s="14" t="str">
        <f aca="false">Calendar!D20</f>
        <v>P4</v>
      </c>
      <c r="C20" s="20" t="n">
        <f aca="false">IF('Media Plan'!D20&lt;&gt;"",'Media Plan'!D20,Assumptions!$D$10*Baseline!T20)</f>
        <v>37396.5265824609</v>
      </c>
      <c r="D20" s="21" t="n">
        <f aca="false">IFERROR(C20/(Baseline!H20*(1+Assumptions!$F$13)*IFERROR(MAX(0,C20)/'History Y-1'!P20,1)^Assumptions!$F$14),0)</f>
        <v>76581.9381841032</v>
      </c>
      <c r="E20" s="20" t="n">
        <f aca="false">IF('Media Plan'!J20&lt;&gt;"",'Media Plan'!J20,Assumptions!$D$11*Baseline!U20)</f>
        <v>17031.9175038038</v>
      </c>
      <c r="F20" s="21" t="n">
        <f aca="false">IFERROR(E20/(Baseline!I20*(1+Assumptions!$F$13)*IFERROR(MAX(0,E20)/'History Y-1'!Q20,1)^Assumptions!$F$15),0)</f>
        <v>45681.611199679</v>
      </c>
      <c r="G20" s="20" t="n">
        <f aca="false">IF('Media Plan'!P20&lt;&gt;"",'Media Plan'!P20,Assumptions!$D$12*Baseline!V20)</f>
        <v>3796.08339136316</v>
      </c>
      <c r="H20" s="21" t="n">
        <f aca="false">IFERROR(G20/(Baseline!J20*(1+Assumptions!$F$13)*IFERROR(MAX(0,G20)/'History Y-1'!R20,1)^Assumptions!$F$16),0)</f>
        <v>14064.4047613439</v>
      </c>
      <c r="I20" s="21" t="n">
        <f aca="false">'History Y-1'!$F$58*(1+Assumptions!$F$6)*Baseline!Q20+'History Y-1'!$G$58*(1+Assumptions!$F$7)*Baseline!R20+J20</f>
        <v>176116.309672742</v>
      </c>
      <c r="J20" s="21" t="n">
        <f aca="false">'History Y-1'!$H$58*(1+Assumptions!$F$8)*Baseline!S20</f>
        <v>20382.4708039253</v>
      </c>
      <c r="K20" s="55" t="n">
        <f aca="false">D20+F20+H20+I20</f>
        <v>312444.263817868</v>
      </c>
      <c r="L20" s="21" t="n">
        <f aca="false">K20*Baseline!B20*(1+Assumptions!$F$18)*(1+Calendar!G20)</f>
        <v>6483.69723846167</v>
      </c>
      <c r="M20" s="20" t="n">
        <f aca="false">L20*Baseline!C20*(1+Assumptions!$F$19)</f>
        <v>494008.882280668</v>
      </c>
      <c r="N20" s="31" t="n">
        <f aca="false">MAX(0,MIN(0.9,Baseline!E20+Assumptions!$F$20))</f>
        <v>0.0975871775762531</v>
      </c>
      <c r="O20" s="31" t="n">
        <f aca="false">MAX(0,Baseline!F20+Assumptions!$F$21)</f>
        <v>0.272247648462997</v>
      </c>
      <c r="P20" s="49" t="n">
        <f aca="false">M20*O20</f>
        <v>134492.756520745</v>
      </c>
      <c r="Q20" s="49" t="n">
        <f aca="false">M20-P20</f>
        <v>359516.125759922</v>
      </c>
      <c r="R20" s="21" t="n">
        <f aca="false">L20*Baseline!D20</f>
        <v>12352.7479643639</v>
      </c>
      <c r="S20" s="21" t="n">
        <f aca="false">IFERROR(P20/(Baseline!C20*(1+Assumptions!$F$19)),0)</f>
        <v>1765.17132651722</v>
      </c>
      <c r="T20" s="20" t="n">
        <f aca="false">Q20/(1-N20)*(1-Assumptions!$F$23)</f>
        <v>151389.834446102</v>
      </c>
      <c r="U20" s="20" t="n">
        <f aca="false">P20/(1-N20)*(1-Assumptions!$F$23)*Assumptions!$F$24</f>
        <v>3964.37997616564</v>
      </c>
      <c r="V20" s="49" t="n">
        <f aca="false">Q20-T20-U20</f>
        <v>204161.911337655</v>
      </c>
      <c r="W20" s="20" t="n">
        <f aca="false">T20*Assumptions!$F$25+L20*(Assumptions!$F$27-Assumptions!$F$28+Assumptions!$F$29+Assumptions!$F$36*Assumptions!$F$37)+R20*Assumptions!$F$30+S20*(Assumptions!$F$31+Assumptions!$F$32)+M20*(Assumptions!$F$33+Assumptions!$F$38)+IFERROR(M20*J20/K20,0)*Assumptions!$F$35*Assumptions!$F$34</f>
        <v>64697.3601215515</v>
      </c>
      <c r="X20" s="49" t="n">
        <f aca="false">V20-W20</f>
        <v>139464.551216103</v>
      </c>
      <c r="Y20" s="49" t="n">
        <f aca="false">C20+E20+G20</f>
        <v>58224.5274776279</v>
      </c>
      <c r="Z20" s="49" t="n">
        <f aca="false">X20-Y20</f>
        <v>81240.0237384754</v>
      </c>
      <c r="AA20" s="20" t="n">
        <f aca="false">'Fixed Costs'!$G$31/52</f>
        <v>25332.6923076923</v>
      </c>
      <c r="AB20" s="49" t="n">
        <f aca="false">Z20-AA20</f>
        <v>55907.3314307831</v>
      </c>
      <c r="AC20" s="21" t="n">
        <f aca="false">L20*Baseline!G20</f>
        <v>2244.40735919896</v>
      </c>
    </row>
    <row r="21" customFormat="false" ht="15" hidden="false" customHeight="false" outlineLevel="0" collapsed="false">
      <c r="A21" s="13" t="n">
        <v>16</v>
      </c>
      <c r="B21" s="14" t="str">
        <f aca="false">Calendar!D21</f>
        <v>P4</v>
      </c>
      <c r="C21" s="20" t="n">
        <f aca="false">IF('Media Plan'!D21&lt;&gt;"",'Media Plan'!D21,Assumptions!$D$10*Baseline!T21)</f>
        <v>36175.2427582191</v>
      </c>
      <c r="D21" s="21" t="n">
        <f aca="false">IFERROR(C21/(Baseline!H21*(1+Assumptions!$F$13)*IFERROR(MAX(0,C21)/'History Y-1'!P21,1)^Assumptions!$F$14),0)</f>
        <v>73699.9159909703</v>
      </c>
      <c r="E21" s="20" t="n">
        <f aca="false">IF('Media Plan'!J21&lt;&gt;"",'Media Plan'!J21,Assumptions!$D$11*Baseline!U21)</f>
        <v>17641.3661056998</v>
      </c>
      <c r="F21" s="21" t="n">
        <f aca="false">IFERROR(E21/(Baseline!I21*(1+Assumptions!$F$13)*IFERROR(MAX(0,E21)/'History Y-1'!Q21,1)^Assumptions!$F$15),0)</f>
        <v>46837.7807477442</v>
      </c>
      <c r="G21" s="20" t="n">
        <f aca="false">IF('Media Plan'!P21&lt;&gt;"",'Media Plan'!P21,Assumptions!$D$12*Baseline!V21)</f>
        <v>3985.89591871715</v>
      </c>
      <c r="H21" s="21" t="n">
        <f aca="false">IFERROR(G21/(Baseline!J21*(1+Assumptions!$F$13)*IFERROR(MAX(0,G21)/'History Y-1'!R21,1)^Assumptions!$F$16),0)</f>
        <v>14942.1073624325</v>
      </c>
      <c r="I21" s="21" t="n">
        <f aca="false">'History Y-1'!$F$58*(1+Assumptions!$F$6)*Baseline!Q21+'History Y-1'!$G$58*(1+Assumptions!$F$7)*Baseline!R21+J21</f>
        <v>182849.089573741</v>
      </c>
      <c r="J21" s="21" t="n">
        <f aca="false">'History Y-1'!$H$58*(1+Assumptions!$F$8)*Baseline!S21</f>
        <v>21712.1133389339</v>
      </c>
      <c r="K21" s="55" t="n">
        <f aca="false">D21+F21+H21+I21</f>
        <v>318328.893674888</v>
      </c>
      <c r="L21" s="21" t="n">
        <f aca="false">K21*Baseline!B21*(1+Assumptions!$F$18)*(1+Calendar!G21)</f>
        <v>6648.7167733559</v>
      </c>
      <c r="M21" s="20" t="n">
        <f aca="false">L21*Baseline!C21*(1+Assumptions!$F$19)</f>
        <v>506861.219752934</v>
      </c>
      <c r="N21" s="31" t="n">
        <f aca="false">MAX(0,MIN(0.9,Baseline!E21+Assumptions!$F$20))</f>
        <v>0.102466677565907</v>
      </c>
      <c r="O21" s="31" t="n">
        <f aca="false">MAX(0,Baseline!F21+Assumptions!$F$21)</f>
        <v>0.272869977537873</v>
      </c>
      <c r="P21" s="49" t="n">
        <f aca="false">M21*O21</f>
        <v>138307.209648802</v>
      </c>
      <c r="Q21" s="49" t="n">
        <f aca="false">M21-P21</f>
        <v>368554.010104132</v>
      </c>
      <c r="R21" s="21" t="n">
        <f aca="false">L21*Baseline!D21</f>
        <v>12741.94498638</v>
      </c>
      <c r="S21" s="21" t="n">
        <f aca="false">IFERROR(P21/(Baseline!C21*(1+Assumptions!$F$19)),0)</f>
        <v>1814.2351966013</v>
      </c>
      <c r="T21" s="20" t="n">
        <f aca="false">Q21/(1-N21)*(1-Assumptions!$F$23)</f>
        <v>156039.358471679</v>
      </c>
      <c r="U21" s="20" t="n">
        <f aca="false">P21/(1-N21)*(1-Assumptions!$F$23)*Assumptions!$F$24</f>
        <v>4098.98071158052</v>
      </c>
      <c r="V21" s="49" t="n">
        <f aca="false">Q21-T21-U21</f>
        <v>208415.670920873</v>
      </c>
      <c r="W21" s="20" t="n">
        <f aca="false">T21*Assumptions!$F$25+L21*(Assumptions!$F$27-Assumptions!$F$28+Assumptions!$F$29+Assumptions!$F$36*Assumptions!$F$37)+R21*Assumptions!$F$30+S21*(Assumptions!$F$31+Assumptions!$F$32)+M21*(Assumptions!$F$33+Assumptions!$F$38)+IFERROR(M21*J21/K21,0)*Assumptions!$F$35*Assumptions!$F$34</f>
        <v>66582.7213368052</v>
      </c>
      <c r="X21" s="49" t="n">
        <f aca="false">V21-W21</f>
        <v>141832.949584068</v>
      </c>
      <c r="Y21" s="49" t="n">
        <f aca="false">C21+E21+G21</f>
        <v>57802.5047826361</v>
      </c>
      <c r="Z21" s="49" t="n">
        <f aca="false">X21-Y21</f>
        <v>84030.4448014317</v>
      </c>
      <c r="AA21" s="20" t="n">
        <f aca="false">'Fixed Costs'!$G$31/52</f>
        <v>25332.6923076923</v>
      </c>
      <c r="AB21" s="49" t="n">
        <f aca="false">Z21-AA21</f>
        <v>58697.7524937394</v>
      </c>
      <c r="AC21" s="21" t="n">
        <f aca="false">L21*Baseline!G21</f>
        <v>2294.13746425376</v>
      </c>
    </row>
    <row r="22" customFormat="false" ht="15" hidden="false" customHeight="false" outlineLevel="0" collapsed="false">
      <c r="A22" s="13" t="n">
        <v>17</v>
      </c>
      <c r="B22" s="14" t="str">
        <f aca="false">Calendar!D22</f>
        <v>P4</v>
      </c>
      <c r="C22" s="20" t="n">
        <f aca="false">IF('Media Plan'!D22&lt;&gt;"",'Media Plan'!D22,Assumptions!$D$10*Baseline!T22)</f>
        <v>36458.8665688794</v>
      </c>
      <c r="D22" s="21" t="n">
        <f aca="false">IFERROR(C22/(Baseline!H22*(1+Assumptions!$F$13)*IFERROR(MAX(0,C22)/'History Y-1'!P22,1)^Assumptions!$F$14),0)</f>
        <v>77781.1538805718</v>
      </c>
      <c r="E22" s="20" t="n">
        <f aca="false">IF('Media Plan'!J22&lt;&gt;"",'Media Plan'!J22,Assumptions!$D$11*Baseline!U22)</f>
        <v>18917.4757844456</v>
      </c>
      <c r="F22" s="21" t="n">
        <f aca="false">IFERROR(E22/(Baseline!I22*(1+Assumptions!$F$13)*IFERROR(MAX(0,E22)/'History Y-1'!Q22,1)^Assumptions!$F$15),0)</f>
        <v>49674.5784646268</v>
      </c>
      <c r="G22" s="20" t="n">
        <f aca="false">IF('Media Plan'!P22&lt;&gt;"",'Media Plan'!P22,Assumptions!$D$12*Baseline!V22)</f>
        <v>3722.98701959104</v>
      </c>
      <c r="H22" s="21" t="n">
        <f aca="false">IFERROR(G22/(Baseline!J22*(1+Assumptions!$F$13)*IFERROR(MAX(0,G22)/'History Y-1'!R22,1)^Assumptions!$F$16),0)</f>
        <v>13909.967718844</v>
      </c>
      <c r="I22" s="21" t="n">
        <f aca="false">'History Y-1'!$F$58*(1+Assumptions!$F$6)*Baseline!Q22+'History Y-1'!$G$58*(1+Assumptions!$F$7)*Baseline!R22+J22</f>
        <v>180058.706807583</v>
      </c>
      <c r="J22" s="21" t="n">
        <f aca="false">'History Y-1'!$H$58*(1+Assumptions!$F$8)*Baseline!S22</f>
        <v>21264.4838898672</v>
      </c>
      <c r="K22" s="55" t="n">
        <f aca="false">D22+F22+H22+I22</f>
        <v>321424.406871626</v>
      </c>
      <c r="L22" s="21" t="n">
        <f aca="false">K22*Baseline!B22*(1+Assumptions!$F$18)*(1+Calendar!G22)</f>
        <v>6506.98730321909</v>
      </c>
      <c r="M22" s="20" t="n">
        <f aca="false">L22*Baseline!C22*(1+Assumptions!$F$19)</f>
        <v>484363.267981589</v>
      </c>
      <c r="N22" s="31" t="n">
        <f aca="false">MAX(0,MIN(0.9,Baseline!E22+Assumptions!$F$20))</f>
        <v>0.0991205885732181</v>
      </c>
      <c r="O22" s="31" t="n">
        <f aca="false">MAX(0,Baseline!F22+Assumptions!$F$21)</f>
        <v>0.28126757724974</v>
      </c>
      <c r="P22" s="49" t="n">
        <f aca="false">M22*O22</f>
        <v>136235.682893948</v>
      </c>
      <c r="Q22" s="49" t="n">
        <f aca="false">M22-P22</f>
        <v>348127.585087641</v>
      </c>
      <c r="R22" s="21" t="n">
        <f aca="false">L22*Baseline!D22</f>
        <v>12523.4335390964</v>
      </c>
      <c r="S22" s="21" t="n">
        <f aca="false">IFERROR(P22/(Baseline!C22*(1+Assumptions!$F$19)),0)</f>
        <v>1830.20455397125</v>
      </c>
      <c r="T22" s="20" t="n">
        <f aca="false">Q22/(1-N22)*(1-Assumptions!$F$23)</f>
        <v>146843.718099617</v>
      </c>
      <c r="U22" s="20" t="n">
        <f aca="false">P22/(1-N22)*(1-Assumptions!$F$23)*Assumptions!$F$24</f>
        <v>4022.59072525552</v>
      </c>
      <c r="V22" s="49" t="n">
        <f aca="false">Q22-T22-U22</f>
        <v>197261.276262768</v>
      </c>
      <c r="W22" s="20" t="n">
        <f aca="false">T22*Assumptions!$F$25+L22*(Assumptions!$F$27-Assumptions!$F$28+Assumptions!$F$29+Assumptions!$F$36*Assumptions!$F$37)+R22*Assumptions!$F$30+S22*(Assumptions!$F$31+Assumptions!$F$32)+M22*(Assumptions!$F$33+Assumptions!$F$38)+IFERROR(M22*J22/K22,0)*Assumptions!$F$35*Assumptions!$F$34</f>
        <v>64937.461262933</v>
      </c>
      <c r="X22" s="49" t="n">
        <f aca="false">V22-W22</f>
        <v>132323.814999835</v>
      </c>
      <c r="Y22" s="49" t="n">
        <f aca="false">C22+E22+G22</f>
        <v>59099.3293729161</v>
      </c>
      <c r="Z22" s="49" t="n">
        <f aca="false">X22-Y22</f>
        <v>73224.4856269188</v>
      </c>
      <c r="AA22" s="20" t="n">
        <f aca="false">'Fixed Costs'!$G$31/52</f>
        <v>25332.6923076923</v>
      </c>
      <c r="AB22" s="49" t="n">
        <f aca="false">Z22-AA22</f>
        <v>47891.7933192264</v>
      </c>
      <c r="AC22" s="21" t="n">
        <f aca="false">L22*Baseline!G22</f>
        <v>2335.75989394652</v>
      </c>
    </row>
    <row r="23" customFormat="false" ht="15" hidden="false" customHeight="false" outlineLevel="0" collapsed="false">
      <c r="A23" s="13" t="n">
        <v>18</v>
      </c>
      <c r="B23" s="14" t="str">
        <f aca="false">Calendar!D23</f>
        <v>P5</v>
      </c>
      <c r="C23" s="20" t="n">
        <f aca="false">IF('Media Plan'!D23&lt;&gt;"",'Media Plan'!D23,Assumptions!$D$10*Baseline!T23)</f>
        <v>35608.171067611</v>
      </c>
      <c r="D23" s="21" t="n">
        <f aca="false">IFERROR(C23/(Baseline!H23*(1+Assumptions!$F$13)*IFERROR(MAX(0,C23)/'History Y-1'!P23,1)^Assumptions!$F$14),0)</f>
        <v>72293.1344412892</v>
      </c>
      <c r="E23" s="20" t="n">
        <f aca="false">IF('Media Plan'!J23&lt;&gt;"",'Media Plan'!J23,Assumptions!$D$11*Baseline!U23)</f>
        <v>17665.1448513091</v>
      </c>
      <c r="F23" s="21" t="n">
        <f aca="false">IFERROR(E23/(Baseline!I23*(1+Assumptions!$F$13)*IFERROR(MAX(0,E23)/'History Y-1'!Q23,1)^Assumptions!$F$15),0)</f>
        <v>44849.1729999797</v>
      </c>
      <c r="G23" s="20" t="n">
        <f aca="false">IF('Media Plan'!P23&lt;&gt;"",'Media Plan'!P23,Assumptions!$D$12*Baseline!V23)</f>
        <v>3832.09939394209</v>
      </c>
      <c r="H23" s="21" t="n">
        <f aca="false">IFERROR(G23/(Baseline!J23*(1+Assumptions!$F$13)*IFERROR(MAX(0,G23)/'History Y-1'!R23,1)^Assumptions!$F$16),0)</f>
        <v>13818.5605007355</v>
      </c>
      <c r="I23" s="21" t="n">
        <f aca="false">'History Y-1'!$F$58*(1+Assumptions!$F$6)*Baseline!Q23+'History Y-1'!$G$58*(1+Assumptions!$F$7)*Baseline!R23+J23</f>
        <v>178127.093840098</v>
      </c>
      <c r="J23" s="21" t="n">
        <f aca="false">'History Y-1'!$H$58*(1+Assumptions!$F$8)*Baseline!S23</f>
        <v>20220.8610361239</v>
      </c>
      <c r="K23" s="55" t="n">
        <f aca="false">D23+F23+H23+I23</f>
        <v>309087.961782103</v>
      </c>
      <c r="L23" s="21" t="n">
        <f aca="false">K23*Baseline!B23*(1+Assumptions!$F$18)*(1+Calendar!G23)</f>
        <v>6271.38409402742</v>
      </c>
      <c r="M23" s="20" t="n">
        <f aca="false">L23*Baseline!C23*(1+Assumptions!$F$19)</f>
        <v>478249.395370375</v>
      </c>
      <c r="N23" s="31" t="n">
        <f aca="false">MAX(0,MIN(0.9,Baseline!E23+Assumptions!$F$20))</f>
        <v>0.0987994209704977</v>
      </c>
      <c r="O23" s="31" t="n">
        <f aca="false">MAX(0,Baseline!F23+Assumptions!$F$21)</f>
        <v>0.270407042600766</v>
      </c>
      <c r="P23" s="49" t="n">
        <f aca="false">M23*O23</f>
        <v>129322.004627707</v>
      </c>
      <c r="Q23" s="49" t="n">
        <f aca="false">M23-P23</f>
        <v>348927.390742667</v>
      </c>
      <c r="R23" s="21" t="n">
        <f aca="false">L23*Baseline!D23</f>
        <v>12074.8196806353</v>
      </c>
      <c r="S23" s="21" t="n">
        <f aca="false">IFERROR(P23/(Baseline!C23*(1+Assumptions!$F$19)),0)</f>
        <v>1695.82642587944</v>
      </c>
      <c r="T23" s="20" t="n">
        <f aca="false">Q23/(1-N23)*(1-Assumptions!$F$23)</f>
        <v>147128.632146466</v>
      </c>
      <c r="U23" s="20" t="n">
        <f aca="false">P23/(1-N23)*(1-Assumptions!$F$23)*Assumptions!$F$24</f>
        <v>3817.09178083474</v>
      </c>
      <c r="V23" s="49" t="n">
        <f aca="false">Q23-T23-U23</f>
        <v>197981.666815367</v>
      </c>
      <c r="W23" s="20" t="n">
        <f aca="false">T23*Assumptions!$F$25+L23*(Assumptions!$F$27-Assumptions!$F$28+Assumptions!$F$29+Assumptions!$F$36*Assumptions!$F$37)+R23*Assumptions!$F$30+S23*(Assumptions!$F$31+Assumptions!$F$32)+M23*(Assumptions!$F$33+Assumptions!$F$38)+IFERROR(M23*J23/K23,0)*Assumptions!$F$35*Assumptions!$F$34</f>
        <v>62674.2390043607</v>
      </c>
      <c r="X23" s="49" t="n">
        <f aca="false">V23-W23</f>
        <v>135307.427811006</v>
      </c>
      <c r="Y23" s="49" t="n">
        <f aca="false">C23+E23+G23</f>
        <v>57105.4153128622</v>
      </c>
      <c r="Z23" s="49" t="n">
        <f aca="false">X23-Y23</f>
        <v>78202.0124981437</v>
      </c>
      <c r="AA23" s="20" t="n">
        <f aca="false">'Fixed Costs'!$G$31/52</f>
        <v>25332.6923076923</v>
      </c>
      <c r="AB23" s="49" t="n">
        <f aca="false">Z23-AA23</f>
        <v>52869.3201904514</v>
      </c>
      <c r="AC23" s="21" t="n">
        <f aca="false">L23*Baseline!G23</f>
        <v>2214.67385088223</v>
      </c>
    </row>
    <row r="24" customFormat="false" ht="15" hidden="false" customHeight="false" outlineLevel="0" collapsed="false">
      <c r="A24" s="13" t="n">
        <v>19</v>
      </c>
      <c r="B24" s="14" t="str">
        <f aca="false">Calendar!D24</f>
        <v>P5</v>
      </c>
      <c r="C24" s="20" t="n">
        <f aca="false">IF('Media Plan'!D24&lt;&gt;"",'Media Plan'!D24,Assumptions!$D$10*Baseline!T24)</f>
        <v>37785.5943594168</v>
      </c>
      <c r="D24" s="21" t="n">
        <f aca="false">IFERROR(C24/(Baseline!H24*(1+Assumptions!$F$13)*IFERROR(MAX(0,C24)/'History Y-1'!P24,1)^Assumptions!$F$14),0)</f>
        <v>75557.350296865</v>
      </c>
      <c r="E24" s="20" t="n">
        <f aca="false">IF('Media Plan'!J24&lt;&gt;"",'Media Plan'!J24,Assumptions!$D$11*Baseline!U24)</f>
        <v>18324.959207282</v>
      </c>
      <c r="F24" s="21" t="n">
        <f aca="false">IFERROR(E24/(Baseline!I24*(1+Assumptions!$F$13)*IFERROR(MAX(0,E24)/'History Y-1'!Q24,1)^Assumptions!$F$15),0)</f>
        <v>49340.649771401</v>
      </c>
      <c r="G24" s="20" t="n">
        <f aca="false">IF('Media Plan'!P24&lt;&gt;"",'Media Plan'!P24,Assumptions!$D$12*Baseline!V24)</f>
        <v>4064.82739976494</v>
      </c>
      <c r="H24" s="21" t="n">
        <f aca="false">IFERROR(G24/(Baseline!J24*(1+Assumptions!$F$13)*IFERROR(MAX(0,G24)/'History Y-1'!R24,1)^Assumptions!$F$16),0)</f>
        <v>14693.2911202982</v>
      </c>
      <c r="I24" s="21" t="n">
        <f aca="false">'History Y-1'!$F$58*(1+Assumptions!$F$6)*Baseline!Q24+'History Y-1'!$G$58*(1+Assumptions!$F$7)*Baseline!R24+J24</f>
        <v>183143.74660654</v>
      </c>
      <c r="J24" s="21" t="n">
        <f aca="false">'History Y-1'!$H$58*(1+Assumptions!$F$8)*Baseline!S24</f>
        <v>20790.5509551373</v>
      </c>
      <c r="K24" s="55" t="n">
        <f aca="false">D24+F24+H24+I24</f>
        <v>322735.037795105</v>
      </c>
      <c r="L24" s="21" t="n">
        <f aca="false">K24*Baseline!B24*(1+Assumptions!$F$18)*(1+Calendar!G24)</f>
        <v>6851.69853324398</v>
      </c>
      <c r="M24" s="20" t="n">
        <f aca="false">L24*Baseline!C24*(1+Assumptions!$F$19)</f>
        <v>519369.413861911</v>
      </c>
      <c r="N24" s="31" t="n">
        <f aca="false">MAX(0,MIN(0.9,Baseline!E24+Assumptions!$F$20))</f>
        <v>0.09985340933346</v>
      </c>
      <c r="O24" s="31" t="n">
        <f aca="false">MAX(0,Baseline!F24+Assumptions!$F$21)</f>
        <v>0.279483437794478</v>
      </c>
      <c r="P24" s="49" t="n">
        <f aca="false">M24*O24</f>
        <v>145155.14927143</v>
      </c>
      <c r="Q24" s="49" t="n">
        <f aca="false">M24-P24</f>
        <v>374214.264590481</v>
      </c>
      <c r="R24" s="21" t="n">
        <f aca="false">L24*Baseline!D24</f>
        <v>13322.3526703619</v>
      </c>
      <c r="S24" s="21" t="n">
        <f aca="false">IFERROR(P24/(Baseline!C24*(1+Assumptions!$F$19)),0)</f>
        <v>1914.93626080241</v>
      </c>
      <c r="T24" s="20" t="n">
        <f aca="false">Q24/(1-N24)*(1-Assumptions!$F$23)</f>
        <v>157975.847510666</v>
      </c>
      <c r="U24" s="20" t="n">
        <f aca="false">P24/(1-N24)*(1-Assumptions!$F$23)*Assumptions!$F$24</f>
        <v>4289.44242044061</v>
      </c>
      <c r="V24" s="49" t="n">
        <f aca="false">Q24-T24-U24</f>
        <v>211948.974659375</v>
      </c>
      <c r="W24" s="20" t="n">
        <f aca="false">T24*Assumptions!$F$25+L24*(Assumptions!$F$27-Assumptions!$F$28+Assumptions!$F$29+Assumptions!$F$36*Assumptions!$F$37)+R24*Assumptions!$F$30+S24*(Assumptions!$F$31+Assumptions!$F$32)+M24*(Assumptions!$F$33+Assumptions!$F$38)+IFERROR(M24*J24/K24,0)*Assumptions!$F$35*Assumptions!$F$34</f>
        <v>68695.0627781693</v>
      </c>
      <c r="X24" s="49" t="n">
        <f aca="false">V24-W24</f>
        <v>143253.911881206</v>
      </c>
      <c r="Y24" s="49" t="n">
        <f aca="false">C24+E24+G24</f>
        <v>60175.3809664637</v>
      </c>
      <c r="Z24" s="49" t="n">
        <f aca="false">X24-Y24</f>
        <v>83078.530914742</v>
      </c>
      <c r="AA24" s="20" t="n">
        <f aca="false">'Fixed Costs'!$G$31/52</f>
        <v>25332.6923076923</v>
      </c>
      <c r="AB24" s="49" t="n">
        <f aca="false">Z24-AA24</f>
        <v>57745.8386070497</v>
      </c>
      <c r="AC24" s="21" t="n">
        <f aca="false">L24*Baseline!G24</f>
        <v>2398.2648913283</v>
      </c>
    </row>
    <row r="25" customFormat="false" ht="15" hidden="false" customHeight="false" outlineLevel="0" collapsed="false">
      <c r="A25" s="13" t="n">
        <v>20</v>
      </c>
      <c r="B25" s="14" t="str">
        <f aca="false">Calendar!D25</f>
        <v>P5</v>
      </c>
      <c r="C25" s="20" t="n">
        <f aca="false">IF('Media Plan'!D25&lt;&gt;"",'Media Plan'!D25,Assumptions!$D$10*Baseline!T25)</f>
        <v>37429.8542762415</v>
      </c>
      <c r="D25" s="21" t="n">
        <f aca="false">IFERROR(C25/(Baseline!H25*(1+Assumptions!$F$13)*IFERROR(MAX(0,C25)/'History Y-1'!P25,1)^Assumptions!$F$14),0)</f>
        <v>77777.9175528583</v>
      </c>
      <c r="E25" s="20" t="n">
        <f aca="false">IF('Media Plan'!J25&lt;&gt;"",'Media Plan'!J25,Assumptions!$D$11*Baseline!U25)</f>
        <v>18047.0114458024</v>
      </c>
      <c r="F25" s="21" t="n">
        <f aca="false">IFERROR(E25/(Baseline!I25*(1+Assumptions!$F$13)*IFERROR(MAX(0,E25)/'History Y-1'!Q25,1)^Assumptions!$F$15),0)</f>
        <v>48274.8137073219</v>
      </c>
      <c r="G25" s="20" t="n">
        <f aca="false">IF('Media Plan'!P25&lt;&gt;"",'Media Plan'!P25,Assumptions!$D$12*Baseline!V25)</f>
        <v>3893.98815671425</v>
      </c>
      <c r="H25" s="21" t="n">
        <f aca="false">IFERROR(G25/(Baseline!J25*(1+Assumptions!$F$13)*IFERROR(MAX(0,G25)/'History Y-1'!R25,1)^Assumptions!$F$16),0)</f>
        <v>14652.322707964</v>
      </c>
      <c r="I25" s="21" t="n">
        <f aca="false">'History Y-1'!$F$58*(1+Assumptions!$F$6)*Baseline!Q25+'History Y-1'!$G$58*(1+Assumptions!$F$7)*Baseline!R25+J25</f>
        <v>182822.695208224</v>
      </c>
      <c r="J25" s="21" t="n">
        <f aca="false">'History Y-1'!$H$58*(1+Assumptions!$F$8)*Baseline!S25</f>
        <v>20977.6981755937</v>
      </c>
      <c r="K25" s="55" t="n">
        <f aca="false">D25+F25+H25+I25</f>
        <v>323527.749176369</v>
      </c>
      <c r="L25" s="21" t="n">
        <f aca="false">K25*Baseline!B25*(1+Assumptions!$F$18)*(1+Calendar!G25)</f>
        <v>6751.8506111447</v>
      </c>
      <c r="M25" s="20" t="n">
        <f aca="false">L25*Baseline!C25*(1+Assumptions!$F$19)</f>
        <v>503841.478541372</v>
      </c>
      <c r="N25" s="31" t="n">
        <f aca="false">MAX(0,MIN(0.9,Baseline!E25+Assumptions!$F$20))</f>
        <v>0.100617645741281</v>
      </c>
      <c r="O25" s="31" t="n">
        <f aca="false">MAX(0,Baseline!F25+Assumptions!$F$21)</f>
        <v>0.277434612603968</v>
      </c>
      <c r="P25" s="49" t="n">
        <f aca="false">M25*O25</f>
        <v>139783.065412936</v>
      </c>
      <c r="Q25" s="49" t="n">
        <f aca="false">M25-P25</f>
        <v>364058.413128436</v>
      </c>
      <c r="R25" s="21" t="n">
        <f aca="false">L25*Baseline!D25</f>
        <v>13142.2383611108</v>
      </c>
      <c r="S25" s="21" t="n">
        <f aca="false">IFERROR(P25/(Baseline!C25*(1+Assumptions!$F$19)),0)</f>
        <v>1873.19705866279</v>
      </c>
      <c r="T25" s="20" t="n">
        <f aca="false">Q25/(1-N25)*(1-Assumptions!$F$23)</f>
        <v>153819.114121745</v>
      </c>
      <c r="U25" s="20" t="n">
        <f aca="false">P25/(1-N25)*(1-Assumptions!$F$23)*Assumptions!$F$24</f>
        <v>4134.20334786166</v>
      </c>
      <c r="V25" s="49" t="n">
        <f aca="false">Q25-T25-U25</f>
        <v>206105.095658829</v>
      </c>
      <c r="W25" s="20" t="n">
        <f aca="false">T25*Assumptions!$F$25+L25*(Assumptions!$F$27-Assumptions!$F$28+Assumptions!$F$29+Assumptions!$F$36*Assumptions!$F$37)+R25*Assumptions!$F$30+S25*(Assumptions!$F$31+Assumptions!$F$32)+M25*(Assumptions!$F$33+Assumptions!$F$38)+IFERROR(M25*J25/K25,0)*Assumptions!$F$35*Assumptions!$F$34</f>
        <v>67407.9010243589</v>
      </c>
      <c r="X25" s="49" t="n">
        <f aca="false">V25-W25</f>
        <v>138697.19463447</v>
      </c>
      <c r="Y25" s="49" t="n">
        <f aca="false">C25+E25+G25</f>
        <v>59370.8538787582</v>
      </c>
      <c r="Z25" s="49" t="n">
        <f aca="false">X25-Y25</f>
        <v>79326.3407557122</v>
      </c>
      <c r="AA25" s="20" t="n">
        <f aca="false">'Fixed Costs'!$G$31/52</f>
        <v>25332.6923076923</v>
      </c>
      <c r="AB25" s="49" t="n">
        <f aca="false">Z25-AA25</f>
        <v>53993.6484480199</v>
      </c>
      <c r="AC25" s="21" t="n">
        <f aca="false">L25*Baseline!G25</f>
        <v>2402.08011689684</v>
      </c>
    </row>
    <row r="26" customFormat="false" ht="15" hidden="false" customHeight="false" outlineLevel="0" collapsed="false">
      <c r="A26" s="13" t="n">
        <v>21</v>
      </c>
      <c r="B26" s="14" t="str">
        <f aca="false">Calendar!D26</f>
        <v>P5</v>
      </c>
      <c r="C26" s="20" t="n">
        <f aca="false">IF('Media Plan'!D26&lt;&gt;"",'Media Plan'!D26,Assumptions!$D$10*Baseline!T26)</f>
        <v>49411.3190344789</v>
      </c>
      <c r="D26" s="21" t="n">
        <f aca="false">IFERROR(C26/(Baseline!H26*(1+Assumptions!$F$13)*IFERROR(MAX(0,C26)/'History Y-1'!P26,1)^Assumptions!$F$14),0)</f>
        <v>102746.704566326</v>
      </c>
      <c r="E26" s="20" t="n">
        <f aca="false">IF('Media Plan'!J26&lt;&gt;"",'Media Plan'!J26,Assumptions!$D$11*Baseline!U26)</f>
        <v>25159.1957167359</v>
      </c>
      <c r="F26" s="21" t="n">
        <f aca="false">IFERROR(E26/(Baseline!I26*(1+Assumptions!$F$13)*IFERROR(MAX(0,E26)/'History Y-1'!Q26,1)^Assumptions!$F$15),0)</f>
        <v>66811.3215364149</v>
      </c>
      <c r="G26" s="20" t="n">
        <f aca="false">IF('Media Plan'!P26&lt;&gt;"",'Media Plan'!P26,Assumptions!$D$12*Baseline!V26)</f>
        <v>5018.22270921336</v>
      </c>
      <c r="H26" s="21" t="n">
        <f aca="false">IFERROR(G26/(Baseline!J26*(1+Assumptions!$F$13)*IFERROR(MAX(0,G26)/'History Y-1'!R26,1)^Assumptions!$F$16),0)</f>
        <v>18734.6595450933</v>
      </c>
      <c r="I26" s="21" t="n">
        <f aca="false">'History Y-1'!$F$58*(1+Assumptions!$F$6)*Baseline!Q26+'History Y-1'!$G$58*(1+Assumptions!$F$7)*Baseline!R26+J26</f>
        <v>274925.211455272</v>
      </c>
      <c r="J26" s="21" t="n">
        <f aca="false">'History Y-1'!$H$58*(1+Assumptions!$F$8)*Baseline!S26</f>
        <v>28199.5707823984</v>
      </c>
      <c r="K26" s="55" t="n">
        <f aca="false">D26+F26+H26+I26</f>
        <v>463217.897103106</v>
      </c>
      <c r="L26" s="21" t="n">
        <f aca="false">K26*Baseline!B26*(1+Assumptions!$F$18)*(1+Calendar!G26)</f>
        <v>11674.3520997019</v>
      </c>
      <c r="M26" s="20" t="n">
        <f aca="false">L26*Baseline!C26*(1+Assumptions!$F$19)</f>
        <v>787829.172902321</v>
      </c>
      <c r="N26" s="31" t="n">
        <f aca="false">MAX(0,MIN(0.9,Baseline!E26+Assumptions!$F$20))</f>
        <v>0.335129204534006</v>
      </c>
      <c r="O26" s="31" t="n">
        <f aca="false">MAX(0,Baseline!F26+Assumptions!$F$21)</f>
        <v>0.244097918862144</v>
      </c>
      <c r="P26" s="49" t="n">
        <f aca="false">M26*O26</f>
        <v>192307.461524341</v>
      </c>
      <c r="Q26" s="49" t="n">
        <f aca="false">M26-P26</f>
        <v>595521.71137798</v>
      </c>
      <c r="R26" s="21" t="n">
        <f aca="false">L26*Baseline!D26</f>
        <v>22283.0962631297</v>
      </c>
      <c r="S26" s="21" t="n">
        <f aca="false">IFERROR(P26/(Baseline!C26*(1+Assumptions!$F$19)),0)</f>
        <v>2849.68505160114</v>
      </c>
      <c r="T26" s="20" t="n">
        <f aca="false">Q26/(1-N26)*(1-Assumptions!$F$23)</f>
        <v>340364.251019666</v>
      </c>
      <c r="U26" s="20" t="n">
        <f aca="false">P26/(1-N26)*(1-Assumptions!$F$23)*Assumptions!$F$24</f>
        <v>7693.79330755866</v>
      </c>
      <c r="V26" s="49" t="n">
        <f aca="false">Q26-T26-U26</f>
        <v>247463.667050756</v>
      </c>
      <c r="W26" s="20" t="n">
        <f aca="false">T26*Assumptions!$F$25+L26*(Assumptions!$F$27-Assumptions!$F$28+Assumptions!$F$29+Assumptions!$F$36*Assumptions!$F$37)+R26*Assumptions!$F$30+S26*(Assumptions!$F$31+Assumptions!$F$32)+M26*(Assumptions!$F$33+Assumptions!$F$38)+IFERROR(M26*J26/K26,0)*Assumptions!$F$35*Assumptions!$F$34</f>
        <v>114215.173612004</v>
      </c>
      <c r="X26" s="49" t="n">
        <f aca="false">V26-W26</f>
        <v>133248.493438752</v>
      </c>
      <c r="Y26" s="49" t="n">
        <f aca="false">C26+E26+G26</f>
        <v>79588.7374604282</v>
      </c>
      <c r="Z26" s="49" t="n">
        <f aca="false">X26-Y26</f>
        <v>53659.7559783238</v>
      </c>
      <c r="AA26" s="20" t="n">
        <f aca="false">'Fixed Costs'!$G$31/52</f>
        <v>25332.6923076923</v>
      </c>
      <c r="AB26" s="49" t="n">
        <f aca="false">Z26-AA26</f>
        <v>28327.0636706315</v>
      </c>
      <c r="AC26" s="21" t="n">
        <f aca="false">L26*Baseline!G26</f>
        <v>5194.0887983032</v>
      </c>
    </row>
    <row r="27" customFormat="false" ht="15" hidden="false" customHeight="false" outlineLevel="0" collapsed="false">
      <c r="A27" s="13" t="n">
        <v>22</v>
      </c>
      <c r="B27" s="14" t="str">
        <f aca="false">Calendar!D27</f>
        <v>P6</v>
      </c>
      <c r="C27" s="20" t="n">
        <f aca="false">IF('Media Plan'!D27&lt;&gt;"",'Media Plan'!D27,Assumptions!$D$10*Baseline!T27)</f>
        <v>45813.3709669873</v>
      </c>
      <c r="D27" s="21" t="n">
        <f aca="false">IFERROR(C27/(Baseline!H27*(1+Assumptions!$F$13)*IFERROR(MAX(0,C27)/'History Y-1'!P27,1)^Assumptions!$F$14),0)</f>
        <v>89329.9402577843</v>
      </c>
      <c r="E27" s="20" t="n">
        <f aca="false">IF('Media Plan'!J27&lt;&gt;"",'Media Plan'!J27,Assumptions!$D$11*Baseline!U27)</f>
        <v>22389.3460286985</v>
      </c>
      <c r="F27" s="21" t="n">
        <f aca="false">IFERROR(E27/(Baseline!I27*(1+Assumptions!$F$13)*IFERROR(MAX(0,E27)/'History Y-1'!Q27,1)^Assumptions!$F$15),0)</f>
        <v>56736.8034698314</v>
      </c>
      <c r="G27" s="20" t="n">
        <f aca="false">IF('Media Plan'!P27&lt;&gt;"",'Media Plan'!P27,Assumptions!$D$12*Baseline!V27)</f>
        <v>4798.97861117782</v>
      </c>
      <c r="H27" s="21" t="n">
        <f aca="false">IFERROR(G27/(Baseline!J27*(1+Assumptions!$F$13)*IFERROR(MAX(0,G27)/'History Y-1'!R27,1)^Assumptions!$F$16),0)</f>
        <v>17922.1165093528</v>
      </c>
      <c r="I27" s="21" t="n">
        <f aca="false">'History Y-1'!$F$58*(1+Assumptions!$F$6)*Baseline!Q27+'History Y-1'!$G$58*(1+Assumptions!$F$7)*Baseline!R27+J27</f>
        <v>232970.912135441</v>
      </c>
      <c r="J27" s="21" t="n">
        <f aca="false">'History Y-1'!$H$58*(1+Assumptions!$F$8)*Baseline!S27</f>
        <v>27222.6459681563</v>
      </c>
      <c r="K27" s="55" t="n">
        <f aca="false">D27+F27+H27+I27</f>
        <v>396959.77237241</v>
      </c>
      <c r="L27" s="21" t="n">
        <f aca="false">K27*Baseline!B27*(1+Assumptions!$F$18)*(1+Calendar!G27)</f>
        <v>9993.95614573906</v>
      </c>
      <c r="M27" s="20" t="n">
        <f aca="false">L27*Baseline!C27*(1+Assumptions!$F$19)</f>
        <v>664511.739099403</v>
      </c>
      <c r="N27" s="31" t="n">
        <f aca="false">MAX(0,MIN(0.9,Baseline!E27+Assumptions!$F$20))</f>
        <v>0.326191373705647</v>
      </c>
      <c r="O27" s="31" t="n">
        <f aca="false">MAX(0,Baseline!F27+Assumptions!$F$21)</f>
        <v>0.249700919176987</v>
      </c>
      <c r="P27" s="49" t="n">
        <f aca="false">M27*O27</f>
        <v>165929.192057019</v>
      </c>
      <c r="Q27" s="49" t="n">
        <f aca="false">M27-P27</f>
        <v>498582.547042383</v>
      </c>
      <c r="R27" s="21" t="n">
        <f aca="false">L27*Baseline!D27</f>
        <v>18502.6766251717</v>
      </c>
      <c r="S27" s="21" t="n">
        <f aca="false">IFERROR(P27/(Baseline!C27*(1+Assumptions!$F$19)),0)</f>
        <v>2495.50003580554</v>
      </c>
      <c r="T27" s="20" t="n">
        <f aca="false">Q27/(1-N27)*(1-Assumptions!$F$23)</f>
        <v>281179.789754338</v>
      </c>
      <c r="U27" s="20" t="n">
        <f aca="false">P27/(1-N27)*(1-Assumptions!$F$23)*Assumptions!$F$24</f>
        <v>6550.40071687741</v>
      </c>
      <c r="V27" s="49" t="n">
        <f aca="false">Q27-T27-U27</f>
        <v>210852.356571168</v>
      </c>
      <c r="W27" s="20" t="n">
        <f aca="false">T27*Assumptions!$F$25+L27*(Assumptions!$F$27-Assumptions!$F$28+Assumptions!$F$29+Assumptions!$F$36*Assumptions!$F$37)+R27*Assumptions!$F$30+S27*(Assumptions!$F$31+Assumptions!$F$32)+M27*(Assumptions!$F$33+Assumptions!$F$38)+IFERROR(M27*J27/K27,0)*Assumptions!$F$35*Assumptions!$F$34</f>
        <v>97400.6422905338</v>
      </c>
      <c r="X27" s="49" t="n">
        <f aca="false">V27-W27</f>
        <v>113451.714280634</v>
      </c>
      <c r="Y27" s="49" t="n">
        <f aca="false">C27+E27+G27</f>
        <v>73001.6956068636</v>
      </c>
      <c r="Z27" s="49" t="n">
        <f aca="false">X27-Y27</f>
        <v>40450.0186737703</v>
      </c>
      <c r="AA27" s="20" t="n">
        <f aca="false">'Fixed Costs'!$G$31/52</f>
        <v>25332.6923076923</v>
      </c>
      <c r="AB27" s="49" t="n">
        <f aca="false">Z27-AA27</f>
        <v>15117.326366078</v>
      </c>
      <c r="AC27" s="21" t="n">
        <f aca="false">L27*Baseline!G27</f>
        <v>4401.28940733016</v>
      </c>
    </row>
    <row r="28" customFormat="false" ht="15" hidden="false" customHeight="false" outlineLevel="0" collapsed="false">
      <c r="A28" s="13" t="n">
        <v>23</v>
      </c>
      <c r="B28" s="14" t="str">
        <f aca="false">Calendar!D28</f>
        <v>P6</v>
      </c>
      <c r="C28" s="20" t="n">
        <f aca="false">IF('Media Plan'!D28&lt;&gt;"",'Media Plan'!D28,Assumptions!$D$10*Baseline!T28)</f>
        <v>43207.1989202558</v>
      </c>
      <c r="D28" s="21" t="n">
        <f aca="false">IFERROR(C28/(Baseline!H28*(1+Assumptions!$F$13)*IFERROR(MAX(0,C28)/'History Y-1'!P28,1)^Assumptions!$F$14),0)</f>
        <v>85537.2844929085</v>
      </c>
      <c r="E28" s="20" t="n">
        <f aca="false">IF('Media Plan'!J28&lt;&gt;"",'Media Plan'!J28,Assumptions!$D$11*Baseline!U28)</f>
        <v>21451.1279316274</v>
      </c>
      <c r="F28" s="21" t="n">
        <f aca="false">IFERROR(E28/(Baseline!I28*(1+Assumptions!$F$13)*IFERROR(MAX(0,E28)/'History Y-1'!Q28,1)^Assumptions!$F$15),0)</f>
        <v>53954.5467052733</v>
      </c>
      <c r="G28" s="20" t="n">
        <f aca="false">IF('Media Plan'!P28&lt;&gt;"",'Media Plan'!P28,Assumptions!$D$12*Baseline!V28)</f>
        <v>4482.24269793049</v>
      </c>
      <c r="H28" s="21" t="n">
        <f aca="false">IFERROR(G28/(Baseline!J28*(1+Assumptions!$F$13)*IFERROR(MAX(0,G28)/'History Y-1'!R28,1)^Assumptions!$F$16),0)</f>
        <v>17065.7405555185</v>
      </c>
      <c r="I28" s="21" t="n">
        <f aca="false">'History Y-1'!$F$58*(1+Assumptions!$F$6)*Baseline!Q28+'History Y-1'!$G$58*(1+Assumptions!$F$7)*Baseline!R28+J28</f>
        <v>209832.293866754</v>
      </c>
      <c r="J28" s="21" t="n">
        <f aca="false">'History Y-1'!$H$58*(1+Assumptions!$F$8)*Baseline!S28</f>
        <v>23788.153648637</v>
      </c>
      <c r="K28" s="55" t="n">
        <f aca="false">D28+F28+H28+I28</f>
        <v>366389.865620455</v>
      </c>
      <c r="L28" s="21" t="n">
        <f aca="false">K28*Baseline!B28*(1+Assumptions!$F$18)*(1+Calendar!G28)</f>
        <v>8450.43821628731</v>
      </c>
      <c r="M28" s="20" t="n">
        <f aca="false">L28*Baseline!C28*(1+Assumptions!$F$19)</f>
        <v>573302.043514801</v>
      </c>
      <c r="N28" s="31" t="n">
        <f aca="false">MAX(0,MIN(0.9,Baseline!E28+Assumptions!$F$20))</f>
        <v>0.2994697297588</v>
      </c>
      <c r="O28" s="31" t="n">
        <f aca="false">MAX(0,Baseline!F28+Assumptions!$F$21)</f>
        <v>0.256339203714735</v>
      </c>
      <c r="P28" s="49" t="n">
        <f aca="false">M28*O28</f>
        <v>146959.789322614</v>
      </c>
      <c r="Q28" s="49" t="n">
        <f aca="false">M28-P28</f>
        <v>426342.254192186</v>
      </c>
      <c r="R28" s="21" t="n">
        <f aca="false">L28*Baseline!D28</f>
        <v>16102.7972466392</v>
      </c>
      <c r="S28" s="21" t="n">
        <f aca="false">IFERROR(P28/(Baseline!C28*(1+Assumptions!$F$19)),0)</f>
        <v>2166.17860340365</v>
      </c>
      <c r="T28" s="20" t="n">
        <f aca="false">Q28/(1-N28)*(1-Assumptions!$F$23)</f>
        <v>231267.745985122</v>
      </c>
      <c r="U28" s="20" t="n">
        <f aca="false">P28/(1-N28)*(1-Assumptions!$F$23)*Assumptions!$F$24</f>
        <v>5580.2447974669</v>
      </c>
      <c r="V28" s="49" t="n">
        <f aca="false">Q28-T28-U28</f>
        <v>189494.263409597</v>
      </c>
      <c r="W28" s="20" t="n">
        <f aca="false">T28*Assumptions!$F$25+L28*(Assumptions!$F$27-Assumptions!$F$28+Assumptions!$F$29+Assumptions!$F$36*Assumptions!$F$37)+R28*Assumptions!$F$30+S28*(Assumptions!$F$31+Assumptions!$F$32)+M28*(Assumptions!$F$33+Assumptions!$F$38)+IFERROR(M28*J28/K28,0)*Assumptions!$F$35*Assumptions!$F$34</f>
        <v>82962.0523441894</v>
      </c>
      <c r="X28" s="49" t="n">
        <f aca="false">V28-W28</f>
        <v>106532.211065408</v>
      </c>
      <c r="Y28" s="49" t="n">
        <f aca="false">C28+E28+G28</f>
        <v>69140.5695498138</v>
      </c>
      <c r="Z28" s="49" t="n">
        <f aca="false">X28-Y28</f>
        <v>37391.6415155941</v>
      </c>
      <c r="AA28" s="20" t="n">
        <f aca="false">'Fixed Costs'!$G$31/52</f>
        <v>25332.6923076923</v>
      </c>
      <c r="AB28" s="49" t="n">
        <f aca="false">Z28-AA28</f>
        <v>12058.9492079018</v>
      </c>
      <c r="AC28" s="21" t="n">
        <f aca="false">L28*Baseline!G28</f>
        <v>3845.1640676747</v>
      </c>
    </row>
    <row r="29" customFormat="false" ht="15" hidden="false" customHeight="false" outlineLevel="0" collapsed="false">
      <c r="A29" s="13" t="n">
        <v>24</v>
      </c>
      <c r="B29" s="14" t="str">
        <f aca="false">Calendar!D29</f>
        <v>P6</v>
      </c>
      <c r="C29" s="20" t="n">
        <f aca="false">IF('Media Plan'!D29&lt;&gt;"",'Media Plan'!D29,Assumptions!$D$10*Baseline!T29)</f>
        <v>33639.186052896</v>
      </c>
      <c r="D29" s="21" t="n">
        <f aca="false">IFERROR(C29/(Baseline!H29*(1+Assumptions!$F$13)*IFERROR(MAX(0,C29)/'History Y-1'!P29,1)^Assumptions!$F$14),0)</f>
        <v>66977.9897326763</v>
      </c>
      <c r="E29" s="20" t="n">
        <f aca="false">IF('Media Plan'!J29&lt;&gt;"",'Media Plan'!J29,Assumptions!$D$11*Baseline!U29)</f>
        <v>17685.7348941447</v>
      </c>
      <c r="F29" s="21" t="n">
        <f aca="false">IFERROR(E29/(Baseline!I29*(1+Assumptions!$F$13)*IFERROR(MAX(0,E29)/'History Y-1'!Q29,1)^Assumptions!$F$15),0)</f>
        <v>45614.1372091016</v>
      </c>
      <c r="G29" s="20" t="n">
        <f aca="false">IF('Media Plan'!P29&lt;&gt;"",'Media Plan'!P29,Assumptions!$D$12*Baseline!V29)</f>
        <v>3676.43249287437</v>
      </c>
      <c r="H29" s="21" t="n">
        <f aca="false">IFERROR(G29/(Baseline!J29*(1+Assumptions!$F$13)*IFERROR(MAX(0,G29)/'History Y-1'!R29,1)^Assumptions!$F$16),0)</f>
        <v>13465.1524560889</v>
      </c>
      <c r="I29" s="21" t="n">
        <f aca="false">'History Y-1'!$F$58*(1+Assumptions!$F$6)*Baseline!Q29+'History Y-1'!$G$58*(1+Assumptions!$F$7)*Baseline!R29+J29</f>
        <v>168786.799907633</v>
      </c>
      <c r="J29" s="21" t="n">
        <f aca="false">'History Y-1'!$H$58*(1+Assumptions!$F$8)*Baseline!S29</f>
        <v>20420.9755758662</v>
      </c>
      <c r="K29" s="55" t="n">
        <f aca="false">D29+F29+H29+I29</f>
        <v>294844.079305499</v>
      </c>
      <c r="L29" s="21" t="n">
        <f aca="false">K29*Baseline!B29*(1+Assumptions!$F$18)*(1+Calendar!G29)</f>
        <v>6091.28928026978</v>
      </c>
      <c r="M29" s="20" t="n">
        <f aca="false">L29*Baseline!C29*(1+Assumptions!$F$19)</f>
        <v>457686.154286738</v>
      </c>
      <c r="N29" s="31" t="n">
        <f aca="false">MAX(0,MIN(0.9,Baseline!E29+Assumptions!$F$20))</f>
        <v>0.0993164676105139</v>
      </c>
      <c r="O29" s="31" t="n">
        <f aca="false">MAX(0,Baseline!F29+Assumptions!$F$21)</f>
        <v>0.280305443688819</v>
      </c>
      <c r="P29" s="49" t="n">
        <f aca="false">M29*O29</f>
        <v>128291.920547573</v>
      </c>
      <c r="Q29" s="49" t="n">
        <f aca="false">M29-P29</f>
        <v>329394.233739165</v>
      </c>
      <c r="R29" s="21" t="n">
        <f aca="false">L29*Baseline!D29</f>
        <v>11537.215205737</v>
      </c>
      <c r="S29" s="21" t="n">
        <f aca="false">IFERROR(P29/(Baseline!C29*(1+Assumptions!$F$19)),0)</f>
        <v>1707.42154434297</v>
      </c>
      <c r="T29" s="20" t="n">
        <f aca="false">Q29/(1-N29)*(1-Assumptions!$F$23)</f>
        <v>138972.018827535</v>
      </c>
      <c r="U29" s="20" t="n">
        <f aca="false">P29/(1-N29)*(1-Assumptions!$F$23)*Assumptions!$F$24</f>
        <v>3788.86141896258</v>
      </c>
      <c r="V29" s="49" t="n">
        <f aca="false">Q29-T29-U29</f>
        <v>186633.353492667</v>
      </c>
      <c r="W29" s="20" t="n">
        <f aca="false">T29*Assumptions!$F$25+L29*(Assumptions!$F$27-Assumptions!$F$28+Assumptions!$F$29+Assumptions!$F$36*Assumptions!$F$37)+R29*Assumptions!$F$30+S29*(Assumptions!$F$31+Assumptions!$F$32)+M29*(Assumptions!$F$33+Assumptions!$F$38)+IFERROR(M29*J29/K29,0)*Assumptions!$F$35*Assumptions!$F$34</f>
        <v>60855.2256665734</v>
      </c>
      <c r="X29" s="49" t="n">
        <f aca="false">V29-W29</f>
        <v>125778.127826094</v>
      </c>
      <c r="Y29" s="49" t="n">
        <f aca="false">C29+E29+G29</f>
        <v>55001.353439915</v>
      </c>
      <c r="Z29" s="49" t="n">
        <f aca="false">X29-Y29</f>
        <v>70776.7743861785</v>
      </c>
      <c r="AA29" s="20" t="n">
        <f aca="false">'Fixed Costs'!$G$31/52</f>
        <v>25332.6923076923</v>
      </c>
      <c r="AB29" s="49" t="n">
        <f aca="false">Z29-AA29</f>
        <v>45444.0820784862</v>
      </c>
      <c r="AC29" s="21" t="n">
        <f aca="false">L29*Baseline!G29</f>
        <v>2131.56690315221</v>
      </c>
    </row>
    <row r="30" customFormat="false" ht="15" hidden="false" customHeight="false" outlineLevel="0" collapsed="false">
      <c r="A30" s="13" t="n">
        <v>25</v>
      </c>
      <c r="B30" s="14" t="str">
        <f aca="false">Calendar!D30</f>
        <v>P6</v>
      </c>
      <c r="C30" s="20" t="n">
        <f aca="false">IF('Media Plan'!D30&lt;&gt;"",'Media Plan'!D30,Assumptions!$D$10*Baseline!T30)</f>
        <v>33630.7318701755</v>
      </c>
      <c r="D30" s="21" t="n">
        <f aca="false">IFERROR(C30/(Baseline!H30*(1+Assumptions!$F$13)*IFERROR(MAX(0,C30)/'History Y-1'!P30,1)^Assumptions!$F$14),0)</f>
        <v>65067.2649453837</v>
      </c>
      <c r="E30" s="20" t="n">
        <f aca="false">IF('Media Plan'!J30&lt;&gt;"",'Media Plan'!J30,Assumptions!$D$11*Baseline!U30)</f>
        <v>16557.862598784</v>
      </c>
      <c r="F30" s="21" t="n">
        <f aca="false">IFERROR(E30/(Baseline!I30*(1+Assumptions!$F$13)*IFERROR(MAX(0,E30)/'History Y-1'!Q30,1)^Assumptions!$F$15),0)</f>
        <v>42859.4965865637</v>
      </c>
      <c r="G30" s="20" t="n">
        <f aca="false">IF('Media Plan'!P30&lt;&gt;"",'Media Plan'!P30,Assumptions!$D$12*Baseline!V30)</f>
        <v>3312.94132658682</v>
      </c>
      <c r="H30" s="21" t="n">
        <f aca="false">IFERROR(G30/(Baseline!J30*(1+Assumptions!$F$13)*IFERROR(MAX(0,G30)/'History Y-1'!R30,1)^Assumptions!$F$16),0)</f>
        <v>12219.2259246797</v>
      </c>
      <c r="I30" s="21" t="n">
        <f aca="false">'History Y-1'!$F$58*(1+Assumptions!$F$6)*Baseline!Q30+'History Y-1'!$G$58*(1+Assumptions!$F$7)*Baseline!R30+J30</f>
        <v>156308.223533201</v>
      </c>
      <c r="J30" s="21" t="n">
        <f aca="false">'History Y-1'!$H$58*(1+Assumptions!$F$8)*Baseline!S30</f>
        <v>18591.1379572221</v>
      </c>
      <c r="K30" s="55" t="n">
        <f aca="false">D30+F30+H30+I30</f>
        <v>276454.210989828</v>
      </c>
      <c r="L30" s="21" t="n">
        <f aca="false">K30*Baseline!B30*(1+Assumptions!$F$18)*(1+Calendar!G30)</f>
        <v>5684.04884933137</v>
      </c>
      <c r="M30" s="20" t="n">
        <f aca="false">L30*Baseline!C30*(1+Assumptions!$F$19)</f>
        <v>422984.591909843</v>
      </c>
      <c r="N30" s="31" t="n">
        <f aca="false">MAX(0,MIN(0.9,Baseline!E30+Assumptions!$F$20))</f>
        <v>0.100343438945994</v>
      </c>
      <c r="O30" s="31" t="n">
        <f aca="false">MAX(0,Baseline!F30+Assumptions!$F$21)</f>
        <v>0.277845116516355</v>
      </c>
      <c r="P30" s="49" t="n">
        <f aca="false">M30*O30</f>
        <v>117524.203223813</v>
      </c>
      <c r="Q30" s="49" t="n">
        <f aca="false">M30-P30</f>
        <v>305460.38868603</v>
      </c>
      <c r="R30" s="21" t="n">
        <f aca="false">L30*Baseline!D30</f>
        <v>10561.4076357937</v>
      </c>
      <c r="S30" s="21" t="n">
        <f aca="false">IFERROR(P30/(Baseline!C30*(1+Assumptions!$F$19)),0)</f>
        <v>1579.28521482713</v>
      </c>
      <c r="T30" s="20" t="n">
        <f aca="false">Q30/(1-N30)*(1-Assumptions!$F$23)</f>
        <v>129021.398526458</v>
      </c>
      <c r="U30" s="20" t="n">
        <f aca="false">P30/(1-N30)*(1-Assumptions!$F$23)*Assumptions!$F$24</f>
        <v>3474.81910440463</v>
      </c>
      <c r="V30" s="49" t="n">
        <f aca="false">Q30-T30-U30</f>
        <v>172964.171055167</v>
      </c>
      <c r="W30" s="20" t="n">
        <f aca="false">T30*Assumptions!$F$25+L30*(Assumptions!$F$27-Assumptions!$F$28+Assumptions!$F$29+Assumptions!$F$36*Assumptions!$F$37)+R30*Assumptions!$F$30+S30*(Assumptions!$F$31+Assumptions!$F$32)+M30*(Assumptions!$F$33+Assumptions!$F$38)+IFERROR(M30*J30/K30,0)*Assumptions!$F$35*Assumptions!$F$34</f>
        <v>56345.5909793755</v>
      </c>
      <c r="X30" s="49" t="n">
        <f aca="false">V30-W30</f>
        <v>116618.580075792</v>
      </c>
      <c r="Y30" s="49" t="n">
        <f aca="false">C30+E30+G30</f>
        <v>53501.5357955463</v>
      </c>
      <c r="Z30" s="49" t="n">
        <f aca="false">X30-Y30</f>
        <v>63117.0442802456</v>
      </c>
      <c r="AA30" s="20" t="n">
        <f aca="false">'Fixed Costs'!$G$31/52</f>
        <v>25332.6923076923</v>
      </c>
      <c r="AB30" s="49" t="n">
        <f aca="false">Z30-AA30</f>
        <v>37784.3519725533</v>
      </c>
      <c r="AC30" s="21" t="n">
        <f aca="false">L30*Baseline!G30</f>
        <v>2025.99507431463</v>
      </c>
    </row>
    <row r="31" customFormat="false" ht="15" hidden="false" customHeight="false" outlineLevel="0" collapsed="false">
      <c r="A31" s="13" t="n">
        <v>26</v>
      </c>
      <c r="B31" s="14" t="str">
        <f aca="false">Calendar!D31</f>
        <v>P6</v>
      </c>
      <c r="C31" s="20" t="n">
        <f aca="false">IF('Media Plan'!D31&lt;&gt;"",'Media Plan'!D31,Assumptions!$D$10*Baseline!T31)</f>
        <v>31796.9707762656</v>
      </c>
      <c r="D31" s="21" t="n">
        <f aca="false">IFERROR(C31/(Baseline!H31*(1+Assumptions!$F$13)*IFERROR(MAX(0,C31)/'History Y-1'!P31,1)^Assumptions!$F$14),0)</f>
        <v>76737.1641678682</v>
      </c>
      <c r="E31" s="20" t="n">
        <f aca="false">IF('Media Plan'!J31&lt;&gt;"",'Media Plan'!J31,Assumptions!$D$11*Baseline!U31)</f>
        <v>15418.8323723527</v>
      </c>
      <c r="F31" s="21" t="n">
        <f aca="false">IFERROR(E31/(Baseline!I31*(1+Assumptions!$F$13)*IFERROR(MAX(0,E31)/'History Y-1'!Q31,1)^Assumptions!$F$15),0)</f>
        <v>48058.6339396516</v>
      </c>
      <c r="G31" s="20" t="n">
        <f aca="false">IF('Media Plan'!P31&lt;&gt;"",'Media Plan'!P31,Assumptions!$D$12*Baseline!V31)</f>
        <v>3424.7906301188</v>
      </c>
      <c r="H31" s="21" t="n">
        <f aca="false">IFERROR(G31/(Baseline!J31*(1+Assumptions!$F$13)*IFERROR(MAX(0,G31)/'History Y-1'!R31,1)^Assumptions!$F$16),0)</f>
        <v>14171.022675087</v>
      </c>
      <c r="I31" s="21" t="n">
        <f aca="false">'History Y-1'!$F$58*(1+Assumptions!$F$6)*Baseline!Q31+'History Y-1'!$G$58*(1+Assumptions!$F$7)*Baseline!R31+J31</f>
        <v>158003.639072397</v>
      </c>
      <c r="J31" s="21" t="n">
        <f aca="false">'History Y-1'!$H$58*(1+Assumptions!$F$8)*Baseline!S31</f>
        <v>17588.4399678303</v>
      </c>
      <c r="K31" s="55" t="n">
        <f aca="false">D31+F31+H31+I31</f>
        <v>296970.459855004</v>
      </c>
      <c r="L31" s="21" t="n">
        <f aca="false">K31*Baseline!B31*(1+Assumptions!$F$18)*(1+Calendar!G31)</f>
        <v>6076.41029781111</v>
      </c>
      <c r="M31" s="20" t="n">
        <f aca="false">L31*Baseline!C31*(1+Assumptions!$F$19)</f>
        <v>444542.540481758</v>
      </c>
      <c r="N31" s="31" t="n">
        <f aca="false">MAX(0,MIN(0.9,Baseline!E31+Assumptions!$F$20))</f>
        <v>0.101713322232572</v>
      </c>
      <c r="O31" s="31" t="n">
        <f aca="false">MAX(0,Baseline!F31+Assumptions!$F$21)</f>
        <v>0.27674463182299</v>
      </c>
      <c r="P31" s="49" t="n">
        <f aca="false">M31*O31</f>
        <v>123024.761695281</v>
      </c>
      <c r="Q31" s="49" t="n">
        <f aca="false">M31-P31</f>
        <v>321517.778786477</v>
      </c>
      <c r="R31" s="21" t="n">
        <f aca="false">L31*Baseline!D31</f>
        <v>11549.2657745422</v>
      </c>
      <c r="S31" s="21" t="n">
        <f aca="false">IFERROR(P31/(Baseline!C31*(1+Assumptions!$F$19)),0)</f>
        <v>1681.61393067316</v>
      </c>
      <c r="T31" s="20" t="n">
        <f aca="false">Q31/(1-N31)*(1-Assumptions!$F$23)</f>
        <v>136010.873769736</v>
      </c>
      <c r="U31" s="20" t="n">
        <f aca="false">P31/(1-N31)*(1-Assumptions!$F$23)*Assumptions!$F$24</f>
        <v>3643.00032727607</v>
      </c>
      <c r="V31" s="49" t="n">
        <f aca="false">Q31-T31-U31</f>
        <v>181863.904689465</v>
      </c>
      <c r="W31" s="20" t="n">
        <f aca="false">T31*Assumptions!$F$25+L31*(Assumptions!$F$27-Assumptions!$F$28+Assumptions!$F$29+Assumptions!$F$36*Assumptions!$F$37)+R31*Assumptions!$F$30+S31*(Assumptions!$F$31+Assumptions!$F$32)+M31*(Assumptions!$F$33+Assumptions!$F$38)+IFERROR(M31*J31/K31,0)*Assumptions!$F$35*Assumptions!$F$34</f>
        <v>59906.1508903291</v>
      </c>
      <c r="X31" s="49" t="n">
        <f aca="false">V31-W31</f>
        <v>121957.753799136</v>
      </c>
      <c r="Y31" s="49" t="n">
        <f aca="false">C31+E31+G31</f>
        <v>50640.5937787372</v>
      </c>
      <c r="Z31" s="49" t="n">
        <f aca="false">X31-Y31</f>
        <v>71317.1600203985</v>
      </c>
      <c r="AA31" s="20" t="n">
        <f aca="false">'Fixed Costs'!$G$31/52</f>
        <v>25332.6923076923</v>
      </c>
      <c r="AB31" s="49" t="n">
        <f aca="false">Z31-AA31</f>
        <v>45984.4677127062</v>
      </c>
      <c r="AC31" s="21" t="n">
        <f aca="false">L31*Baseline!G31</f>
        <v>2138.37416884431</v>
      </c>
    </row>
    <row r="32" customFormat="false" ht="15" hidden="false" customHeight="false" outlineLevel="0" collapsed="false">
      <c r="A32" s="13" t="n">
        <v>27</v>
      </c>
      <c r="B32" s="14" t="str">
        <f aca="false">Calendar!D32</f>
        <v>P7</v>
      </c>
      <c r="C32" s="20" t="n">
        <f aca="false">IF('Media Plan'!D32&lt;&gt;"",'Media Plan'!D32,Assumptions!$D$10*Baseline!T32)</f>
        <v>30471.4784589324</v>
      </c>
      <c r="D32" s="21" t="n">
        <f aca="false">IFERROR(C32/(Baseline!H32*(1+Assumptions!$F$13)*IFERROR(MAX(0,C32)/'History Y-1'!P32,1)^Assumptions!$F$14),0)</f>
        <v>63715.8662098914</v>
      </c>
      <c r="E32" s="20" t="n">
        <f aca="false">IF('Media Plan'!J32&lt;&gt;"",'Media Plan'!J32,Assumptions!$D$11*Baseline!U32)</f>
        <v>15932.0680902872</v>
      </c>
      <c r="F32" s="21" t="n">
        <f aca="false">IFERROR(E32/(Baseline!I32*(1+Assumptions!$F$13)*IFERROR(MAX(0,E32)/'History Y-1'!Q32,1)^Assumptions!$F$15),0)</f>
        <v>41552.7599551001</v>
      </c>
      <c r="G32" s="20" t="n">
        <f aca="false">IF('Media Plan'!P32&lt;&gt;"",'Media Plan'!P32,Assumptions!$D$12*Baseline!V32)</f>
        <v>3273.2308415105</v>
      </c>
      <c r="H32" s="21" t="n">
        <f aca="false">IFERROR(G32/(Baseline!J32*(1+Assumptions!$F$13)*IFERROR(MAX(0,G32)/'History Y-1'!R32,1)^Assumptions!$F$16),0)</f>
        <v>12242.3994700004</v>
      </c>
      <c r="I32" s="21" t="n">
        <f aca="false">'History Y-1'!$F$58*(1+Assumptions!$F$6)*Baseline!Q32+'History Y-1'!$G$58*(1+Assumptions!$F$7)*Baseline!R32+J32</f>
        <v>153795.290621963</v>
      </c>
      <c r="J32" s="21" t="n">
        <f aca="false">'History Y-1'!$H$58*(1+Assumptions!$F$8)*Baseline!S32</f>
        <v>17200.3928558236</v>
      </c>
      <c r="K32" s="55" t="n">
        <f aca="false">D32+F32+H32+I32</f>
        <v>271306.316256955</v>
      </c>
      <c r="L32" s="21" t="n">
        <f aca="false">K32*Baseline!B32*(1+Assumptions!$F$18)*(1+Calendar!G32)</f>
        <v>5438.63646780794</v>
      </c>
      <c r="M32" s="20" t="n">
        <f aca="false">L32*Baseline!C32*(1+Assumptions!$F$19)</f>
        <v>404902.362781811</v>
      </c>
      <c r="N32" s="31" t="n">
        <f aca="false">MAX(0,MIN(0.9,Baseline!E32+Assumptions!$F$20))</f>
        <v>0.0981086219025122</v>
      </c>
      <c r="O32" s="31" t="n">
        <f aca="false">MAX(0,Baseline!F32+Assumptions!$F$21)</f>
        <v>0.285015834022456</v>
      </c>
      <c r="P32" s="49" t="n">
        <f aca="false">M32*O32</f>
        <v>115403.584625921</v>
      </c>
      <c r="Q32" s="49" t="n">
        <f aca="false">M32-P32</f>
        <v>289498.77815589</v>
      </c>
      <c r="R32" s="21" t="n">
        <f aca="false">L32*Baseline!D32</f>
        <v>10508.6953664943</v>
      </c>
      <c r="S32" s="21" t="n">
        <f aca="false">IFERROR(P32/(Baseline!C32*(1+Assumptions!$F$19)),0)</f>
        <v>1550.09750881723</v>
      </c>
      <c r="T32" s="20" t="n">
        <f aca="false">Q32/(1-N32)*(1-Assumptions!$F$23)</f>
        <v>121976.48006271</v>
      </c>
      <c r="U32" s="20" t="n">
        <f aca="false">P32/(1-N32)*(1-Assumptions!$F$23)*Assumptions!$F$24</f>
        <v>3403.66415024945</v>
      </c>
      <c r="V32" s="49" t="n">
        <f aca="false">Q32-T32-U32</f>
        <v>164118.63394293</v>
      </c>
      <c r="W32" s="20" t="n">
        <f aca="false">T32*Assumptions!$F$25+L32*(Assumptions!$F$27-Assumptions!$F$28+Assumptions!$F$29+Assumptions!$F$36*Assumptions!$F$37)+R32*Assumptions!$F$30+S32*(Assumptions!$F$31+Assumptions!$F$32)+M32*(Assumptions!$F$33+Assumptions!$F$38)+IFERROR(M32*J32/K32,0)*Assumptions!$F$35*Assumptions!$F$34</f>
        <v>54302.3389246707</v>
      </c>
      <c r="X32" s="49" t="n">
        <f aca="false">V32-W32</f>
        <v>109816.29501826</v>
      </c>
      <c r="Y32" s="49" t="n">
        <f aca="false">C32+E32+G32</f>
        <v>49676.7773907301</v>
      </c>
      <c r="Z32" s="49" t="n">
        <f aca="false">X32-Y32</f>
        <v>60139.5176275297</v>
      </c>
      <c r="AA32" s="20" t="n">
        <f aca="false">'Fixed Costs'!$G$31/52</f>
        <v>25332.6923076923</v>
      </c>
      <c r="AB32" s="49" t="n">
        <f aca="false">Z32-AA32</f>
        <v>34806.8253198374</v>
      </c>
      <c r="AC32" s="21" t="n">
        <f aca="false">L32*Baseline!G32</f>
        <v>1938.38813526069</v>
      </c>
    </row>
    <row r="33" customFormat="false" ht="15" hidden="false" customHeight="false" outlineLevel="0" collapsed="false">
      <c r="A33" s="13" t="n">
        <v>28</v>
      </c>
      <c r="B33" s="14" t="str">
        <f aca="false">Calendar!D33</f>
        <v>P7</v>
      </c>
      <c r="C33" s="20" t="n">
        <f aca="false">IF('Media Plan'!D33&lt;&gt;"",'Media Plan'!D33,Assumptions!$D$10*Baseline!T33)</f>
        <v>33339.7864116588</v>
      </c>
      <c r="D33" s="21" t="n">
        <f aca="false">IFERROR(C33/(Baseline!H33*(1+Assumptions!$F$13)*IFERROR(MAX(0,C33)/'History Y-1'!P33,1)^Assumptions!$F$14),0)</f>
        <v>68399.8966902518</v>
      </c>
      <c r="E33" s="20" t="n">
        <f aca="false">IF('Media Plan'!J33&lt;&gt;"",'Media Plan'!J33,Assumptions!$D$11*Baseline!U33)</f>
        <v>16317.4663326015</v>
      </c>
      <c r="F33" s="21" t="n">
        <f aca="false">IFERROR(E33/(Baseline!I33*(1+Assumptions!$F$13)*IFERROR(MAX(0,E33)/'History Y-1'!Q33,1)^Assumptions!$F$15),0)</f>
        <v>41940.5931088133</v>
      </c>
      <c r="G33" s="20" t="n">
        <f aca="false">IF('Media Plan'!P33&lt;&gt;"",'Media Plan'!P33,Assumptions!$D$12*Baseline!V33)</f>
        <v>3204.43360906288</v>
      </c>
      <c r="H33" s="21" t="n">
        <f aca="false">IFERROR(G33/(Baseline!J33*(1+Assumptions!$F$13)*IFERROR(MAX(0,G33)/'History Y-1'!R33,1)^Assumptions!$F$16),0)</f>
        <v>11878.3157804457</v>
      </c>
      <c r="I33" s="21" t="n">
        <f aca="false">'History Y-1'!$F$58*(1+Assumptions!$F$6)*Baseline!Q33+'History Y-1'!$G$58*(1+Assumptions!$F$7)*Baseline!R33+J33</f>
        <v>157346.730437009</v>
      </c>
      <c r="J33" s="21" t="n">
        <f aca="false">'History Y-1'!$H$58*(1+Assumptions!$F$8)*Baseline!S33</f>
        <v>17743.3824516273</v>
      </c>
      <c r="K33" s="55" t="n">
        <f aca="false">D33+F33+H33+I33</f>
        <v>279565.536016519</v>
      </c>
      <c r="L33" s="21" t="n">
        <f aca="false">K33*Baseline!B33*(1+Assumptions!$F$18)*(1+Calendar!G33)</f>
        <v>5826.78096190674</v>
      </c>
      <c r="M33" s="20" t="n">
        <f aca="false">L33*Baseline!C33*(1+Assumptions!$F$19)</f>
        <v>442366.823571287</v>
      </c>
      <c r="N33" s="31" t="n">
        <f aca="false">MAX(0,MIN(0.9,Baseline!E33+Assumptions!$F$20))</f>
        <v>0.0989088636414021</v>
      </c>
      <c r="O33" s="31" t="n">
        <f aca="false">MAX(0,Baseline!F33+Assumptions!$F$21)</f>
        <v>0.266476425566013</v>
      </c>
      <c r="P33" s="49" t="n">
        <f aca="false">M33*O33</f>
        <v>117880.329934267</v>
      </c>
      <c r="Q33" s="49" t="n">
        <f aca="false">M33-P33</f>
        <v>324486.493637019</v>
      </c>
      <c r="R33" s="21" t="n">
        <f aca="false">L33*Baseline!D33</f>
        <v>10919.0383154031</v>
      </c>
      <c r="S33" s="21" t="n">
        <f aca="false">IFERROR(P33/(Baseline!C33*(1+Assumptions!$F$19)),0)</f>
        <v>1552.699763285</v>
      </c>
      <c r="T33" s="20" t="n">
        <f aca="false">Q33/(1-N33)*(1-Assumptions!$F$23)</f>
        <v>136839.507799794</v>
      </c>
      <c r="U33" s="20" t="n">
        <f aca="false">P33/(1-N33)*(1-Assumptions!$F$23)*Assumptions!$F$24</f>
        <v>3479.79982238297</v>
      </c>
      <c r="V33" s="49" t="n">
        <f aca="false">Q33-T33-U33</f>
        <v>184167.186014842</v>
      </c>
      <c r="W33" s="20" t="n">
        <f aca="false">T33*Assumptions!$F$25+L33*(Assumptions!$F$27-Assumptions!$F$28+Assumptions!$F$29+Assumptions!$F$36*Assumptions!$F$37)+R33*Assumptions!$F$30+S33*(Assumptions!$F$31+Assumptions!$F$32)+M33*(Assumptions!$F$33+Assumptions!$F$38)+IFERROR(M33*J33/K33,0)*Assumptions!$F$35*Assumptions!$F$34</f>
        <v>57736.2064422494</v>
      </c>
      <c r="X33" s="49" t="n">
        <f aca="false">V33-W33</f>
        <v>126430.979572593</v>
      </c>
      <c r="Y33" s="49" t="n">
        <f aca="false">C33+E33+G33</f>
        <v>52861.6863533232</v>
      </c>
      <c r="Z33" s="49" t="n">
        <f aca="false">X33-Y33</f>
        <v>73569.2932192699</v>
      </c>
      <c r="AA33" s="20" t="n">
        <f aca="false">'Fixed Costs'!$G$31/52</f>
        <v>25332.6923076923</v>
      </c>
      <c r="AB33" s="49" t="n">
        <f aca="false">Z33-AA33</f>
        <v>48236.6009115776</v>
      </c>
      <c r="AC33" s="21" t="n">
        <f aca="false">L33*Baseline!G33</f>
        <v>1982.7156837507</v>
      </c>
    </row>
    <row r="34" customFormat="false" ht="15" hidden="false" customHeight="false" outlineLevel="0" collapsed="false">
      <c r="A34" s="13" t="n">
        <v>29</v>
      </c>
      <c r="B34" s="14" t="str">
        <f aca="false">Calendar!D34</f>
        <v>P7</v>
      </c>
      <c r="C34" s="20" t="n">
        <f aca="false">IF('Media Plan'!D34&lt;&gt;"",'Media Plan'!D34,Assumptions!$D$10*Baseline!T34)</f>
        <v>32575.883780938</v>
      </c>
      <c r="D34" s="21" t="n">
        <f aca="false">IFERROR(C34/(Baseline!H34*(1+Assumptions!$F$13)*IFERROR(MAX(0,C34)/'History Y-1'!P34,1)^Assumptions!$F$14),0)</f>
        <v>66645.2874831427</v>
      </c>
      <c r="E34" s="20" t="n">
        <f aca="false">IF('Media Plan'!J34&lt;&gt;"",'Media Plan'!J34,Assumptions!$D$11*Baseline!U34)</f>
        <v>15438.4585087709</v>
      </c>
      <c r="F34" s="21" t="n">
        <f aca="false">IFERROR(E34/(Baseline!I34*(1+Assumptions!$F$13)*IFERROR(MAX(0,E34)/'History Y-1'!Q34,1)^Assumptions!$F$15),0)</f>
        <v>40665.3288744848</v>
      </c>
      <c r="G34" s="20" t="n">
        <f aca="false">IF('Media Plan'!P34&lt;&gt;"",'Media Plan'!P34,Assumptions!$D$12*Baseline!V34)</f>
        <v>3169.28017167921</v>
      </c>
      <c r="H34" s="21" t="n">
        <f aca="false">IFERROR(G34/(Baseline!J34*(1+Assumptions!$F$13)*IFERROR(MAX(0,G34)/'History Y-1'!R34,1)^Assumptions!$F$16),0)</f>
        <v>11840.3277148956</v>
      </c>
      <c r="I34" s="21" t="n">
        <f aca="false">'History Y-1'!$F$58*(1+Assumptions!$F$6)*Baseline!Q34+'History Y-1'!$G$58*(1+Assumptions!$F$7)*Baseline!R34+J34</f>
        <v>158327.971436806</v>
      </c>
      <c r="J34" s="21" t="n">
        <f aca="false">'History Y-1'!$H$58*(1+Assumptions!$F$8)*Baseline!S34</f>
        <v>17485.4923701147</v>
      </c>
      <c r="K34" s="55" t="n">
        <f aca="false">D34+F34+H34+I34</f>
        <v>277478.915509329</v>
      </c>
      <c r="L34" s="21" t="n">
        <f aca="false">K34*Baseline!B34*(1+Assumptions!$F$18)*(1+Calendar!G34)</f>
        <v>5725.85630661245</v>
      </c>
      <c r="M34" s="20" t="n">
        <f aca="false">L34*Baseline!C34*(1+Assumptions!$F$19)</f>
        <v>425127.953334034</v>
      </c>
      <c r="N34" s="31" t="n">
        <f aca="false">MAX(0,MIN(0.9,Baseline!E34+Assumptions!$F$20))</f>
        <v>0.102338115742198</v>
      </c>
      <c r="O34" s="31" t="n">
        <f aca="false">MAX(0,Baseline!F34+Assumptions!$F$21)</f>
        <v>0.278445798809196</v>
      </c>
      <c r="P34" s="49" t="n">
        <f aca="false">M34*O34</f>
        <v>118375.092562214</v>
      </c>
      <c r="Q34" s="49" t="n">
        <f aca="false">M34-P34</f>
        <v>306752.86077182</v>
      </c>
      <c r="R34" s="21" t="n">
        <f aca="false">L34*Baseline!D34</f>
        <v>11174.2148226948</v>
      </c>
      <c r="S34" s="21" t="n">
        <f aca="false">IFERROR(P34/(Baseline!C34*(1+Assumptions!$F$19)),0)</f>
        <v>1594.34063316138</v>
      </c>
      <c r="T34" s="20" t="n">
        <f aca="false">Q34/(1-N34)*(1-Assumptions!$F$23)</f>
        <v>129855.226268931</v>
      </c>
      <c r="U34" s="20" t="n">
        <f aca="false">P34/(1-N34)*(1-Assumptions!$F$23)*Assumptions!$F$24</f>
        <v>3507.75444226234</v>
      </c>
      <c r="V34" s="49" t="n">
        <f aca="false">Q34-T34-U34</f>
        <v>173389.880060627</v>
      </c>
      <c r="W34" s="20" t="n">
        <f aca="false">T34*Assumptions!$F$25+L34*(Assumptions!$F$27-Assumptions!$F$28+Assumptions!$F$29+Assumptions!$F$36*Assumptions!$F$37)+R34*Assumptions!$F$30+S34*(Assumptions!$F$31+Assumptions!$F$32)+M34*(Assumptions!$F$33+Assumptions!$F$38)+IFERROR(M34*J34/K34,0)*Assumptions!$F$35*Assumptions!$F$34</f>
        <v>57087.4788591489</v>
      </c>
      <c r="X34" s="49" t="n">
        <f aca="false">V34-W34</f>
        <v>116302.401201478</v>
      </c>
      <c r="Y34" s="49" t="n">
        <f aca="false">C34+E34+G34</f>
        <v>51183.6224613881</v>
      </c>
      <c r="Z34" s="49" t="n">
        <f aca="false">X34-Y34</f>
        <v>65118.7787400901</v>
      </c>
      <c r="AA34" s="20" t="n">
        <f aca="false">'Fixed Costs'!$G$31/52</f>
        <v>25332.6923076923</v>
      </c>
      <c r="AB34" s="49" t="n">
        <f aca="false">Z34-AA34</f>
        <v>39786.0864323978</v>
      </c>
      <c r="AC34" s="21" t="n">
        <f aca="false">L34*Baseline!G34</f>
        <v>2024.50872794923</v>
      </c>
    </row>
    <row r="35" customFormat="false" ht="15" hidden="false" customHeight="false" outlineLevel="0" collapsed="false">
      <c r="A35" s="13" t="n">
        <v>30</v>
      </c>
      <c r="B35" s="14" t="str">
        <f aca="false">Calendar!D35</f>
        <v>P7</v>
      </c>
      <c r="C35" s="20" t="n">
        <f aca="false">IF('Media Plan'!D35&lt;&gt;"",'Media Plan'!D35,Assumptions!$D$10*Baseline!T35)</f>
        <v>30194.7628960404</v>
      </c>
      <c r="D35" s="21" t="n">
        <f aca="false">IFERROR(C35/(Baseline!H35*(1+Assumptions!$F$13)*IFERROR(MAX(0,C35)/'History Y-1'!P35,1)^Assumptions!$F$14),0)</f>
        <v>61676.4256438006</v>
      </c>
      <c r="E35" s="20" t="n">
        <f aca="false">IF('Media Plan'!J35&lt;&gt;"",'Media Plan'!J35,Assumptions!$D$11*Baseline!U35)</f>
        <v>15826.6242690073</v>
      </c>
      <c r="F35" s="21" t="n">
        <f aca="false">IFERROR(E35/(Baseline!I35*(1+Assumptions!$F$13)*IFERROR(MAX(0,E35)/'History Y-1'!Q35,1)^Assumptions!$F$15),0)</f>
        <v>40083.552785997</v>
      </c>
      <c r="G35" s="20" t="n">
        <f aca="false">IF('Media Plan'!P35&lt;&gt;"",'Media Plan'!P35,Assumptions!$D$12*Baseline!V35)</f>
        <v>3179.12557399193</v>
      </c>
      <c r="H35" s="21" t="n">
        <f aca="false">IFERROR(G35/(Baseline!J35*(1+Assumptions!$F$13)*IFERROR(MAX(0,G35)/'History Y-1'!R35,1)^Assumptions!$F$16),0)</f>
        <v>11638.3133530716</v>
      </c>
      <c r="I35" s="21" t="n">
        <f aca="false">'History Y-1'!$F$58*(1+Assumptions!$F$6)*Baseline!Q35+'History Y-1'!$G$58*(1+Assumptions!$F$7)*Baseline!R35+J35</f>
        <v>154015.496406045</v>
      </c>
      <c r="J35" s="21" t="n">
        <f aca="false">'History Y-1'!$H$58*(1+Assumptions!$F$8)*Baseline!S35</f>
        <v>17725.705200917</v>
      </c>
      <c r="K35" s="55" t="n">
        <f aca="false">D35+F35+H35+I35</f>
        <v>267413.788188914</v>
      </c>
      <c r="L35" s="21" t="n">
        <f aca="false">K35*Baseline!B35*(1+Assumptions!$F$18)*(1+Calendar!G35)</f>
        <v>5528.10658744137</v>
      </c>
      <c r="M35" s="20" t="n">
        <f aca="false">L35*Baseline!C35*(1+Assumptions!$F$19)</f>
        <v>411428.536115003</v>
      </c>
      <c r="N35" s="31" t="n">
        <f aca="false">MAX(0,MIN(0.9,Baseline!E35+Assumptions!$F$20))</f>
        <v>0.0954892189355552</v>
      </c>
      <c r="O35" s="31" t="n">
        <f aca="false">MAX(0,Baseline!F35+Assumptions!$F$21)</f>
        <v>0.273790927758975</v>
      </c>
      <c r="P35" s="49" t="n">
        <f aca="false">M35*O35</f>
        <v>112645.400609443</v>
      </c>
      <c r="Q35" s="49" t="n">
        <f aca="false">M35-P35</f>
        <v>298783.135505559</v>
      </c>
      <c r="R35" s="21" t="n">
        <f aca="false">L35*Baseline!D35</f>
        <v>10640.0551983839</v>
      </c>
      <c r="S35" s="21" t="n">
        <f aca="false">IFERROR(P35/(Baseline!C35*(1+Assumptions!$F$19)),0)</f>
        <v>1513.54543132607</v>
      </c>
      <c r="T35" s="20" t="n">
        <f aca="false">Q35/(1-N35)*(1-Assumptions!$F$23)</f>
        <v>125523.757006522</v>
      </c>
      <c r="U35" s="20" t="n">
        <f aca="false">P35/(1-N35)*(1-Assumptions!$F$23)*Assumptions!$F$24</f>
        <v>3312.69424194703</v>
      </c>
      <c r="V35" s="49" t="n">
        <f aca="false">Q35-T35-U35</f>
        <v>169946.684257091</v>
      </c>
      <c r="W35" s="20" t="n">
        <f aca="false">T35*Assumptions!$F$25+L35*(Assumptions!$F$27-Assumptions!$F$28+Assumptions!$F$29+Assumptions!$F$36*Assumptions!$F$37)+R35*Assumptions!$F$30+S35*(Assumptions!$F$31+Assumptions!$F$32)+M35*(Assumptions!$F$33+Assumptions!$F$38)+IFERROR(M35*J35/K35,0)*Assumptions!$F$35*Assumptions!$F$34</f>
        <v>54992.2421411852</v>
      </c>
      <c r="X35" s="49" t="n">
        <f aca="false">V35-W35</f>
        <v>114954.442115905</v>
      </c>
      <c r="Y35" s="49" t="n">
        <f aca="false">C35+E35+G35</f>
        <v>49200.5127390396</v>
      </c>
      <c r="Z35" s="49" t="n">
        <f aca="false">X35-Y35</f>
        <v>65753.9293768657</v>
      </c>
      <c r="AA35" s="20" t="n">
        <f aca="false">'Fixed Costs'!$G$31/52</f>
        <v>25332.6923076923</v>
      </c>
      <c r="AB35" s="49" t="n">
        <f aca="false">Z35-AA35</f>
        <v>40421.2370691734</v>
      </c>
      <c r="AC35" s="21" t="n">
        <f aca="false">L35*Baseline!G35</f>
        <v>1931.56088211044</v>
      </c>
    </row>
    <row r="36" customFormat="false" ht="15" hidden="false" customHeight="false" outlineLevel="0" collapsed="false">
      <c r="A36" s="13" t="n">
        <v>31</v>
      </c>
      <c r="B36" s="14" t="str">
        <f aca="false">Calendar!D36</f>
        <v>P8</v>
      </c>
      <c r="C36" s="20" t="n">
        <f aca="false">IF('Media Plan'!D36&lt;&gt;"",'Media Plan'!D36,Assumptions!$D$10*Baseline!T36)</f>
        <v>31428.8228816581</v>
      </c>
      <c r="D36" s="21" t="n">
        <f aca="false">IFERROR(C36/(Baseline!H36*(1+Assumptions!$F$13)*IFERROR(MAX(0,C36)/'History Y-1'!P36,1)^Assumptions!$F$14),0)</f>
        <v>65221.6149989604</v>
      </c>
      <c r="E36" s="20" t="n">
        <f aca="false">IF('Media Plan'!J36&lt;&gt;"",'Media Plan'!J36,Assumptions!$D$11*Baseline!U36)</f>
        <v>15735.2978115527</v>
      </c>
      <c r="F36" s="21" t="n">
        <f aca="false">IFERROR(E36/(Baseline!I36*(1+Assumptions!$F$13)*IFERROR(MAX(0,E36)/'History Y-1'!Q36,1)^Assumptions!$F$15),0)</f>
        <v>41908.7892856861</v>
      </c>
      <c r="G36" s="20" t="n">
        <f aca="false">IF('Media Plan'!P36&lt;&gt;"",'Media Plan'!P36,Assumptions!$D$12*Baseline!V36)</f>
        <v>3500.03856676167</v>
      </c>
      <c r="H36" s="21" t="n">
        <f aca="false">IFERROR(G36/(Baseline!J36*(1+Assumptions!$F$13)*IFERROR(MAX(0,G36)/'History Y-1'!R36,1)^Assumptions!$F$16),0)</f>
        <v>12821.6012696957</v>
      </c>
      <c r="I36" s="21" t="n">
        <f aca="false">'History Y-1'!$F$58*(1+Assumptions!$F$6)*Baseline!Q36+'History Y-1'!$G$58*(1+Assumptions!$F$7)*Baseline!R36+J36</f>
        <v>160693.620247803</v>
      </c>
      <c r="J36" s="21" t="n">
        <f aca="false">'History Y-1'!$H$58*(1+Assumptions!$F$8)*Baseline!S36</f>
        <v>18827.6507675679</v>
      </c>
      <c r="K36" s="55" t="n">
        <f aca="false">D36+F36+H36+I36</f>
        <v>280645.625802145</v>
      </c>
      <c r="L36" s="21" t="n">
        <f aca="false">K36*Baseline!B36*(1+Assumptions!$F$18)*(1+Calendar!G36)</f>
        <v>5831.40759063469</v>
      </c>
      <c r="M36" s="20" t="n">
        <f aca="false">L36*Baseline!C36*(1+Assumptions!$F$19)</f>
        <v>440175.053315724</v>
      </c>
      <c r="N36" s="31" t="n">
        <f aca="false">MAX(0,MIN(0.9,Baseline!E36+Assumptions!$F$20))</f>
        <v>0.100521376282299</v>
      </c>
      <c r="O36" s="31" t="n">
        <f aca="false">MAX(0,Baseline!F36+Assumptions!$F$21)</f>
        <v>0.272414351755172</v>
      </c>
      <c r="P36" s="49" t="n">
        <f aca="false">M36*O36</f>
        <v>119910.001807801</v>
      </c>
      <c r="Q36" s="49" t="n">
        <f aca="false">M36-P36</f>
        <v>320265.051507923</v>
      </c>
      <c r="R36" s="21" t="n">
        <f aca="false">L36*Baseline!D36</f>
        <v>10943.1471863774</v>
      </c>
      <c r="S36" s="21" t="n">
        <f aca="false">IFERROR(P36/(Baseline!C36*(1+Assumptions!$F$19)),0)</f>
        <v>1588.55911862294</v>
      </c>
      <c r="T36" s="20" t="n">
        <f aca="false">Q36/(1-N36)*(1-Assumptions!$F$23)</f>
        <v>135301.402794877</v>
      </c>
      <c r="U36" s="20" t="n">
        <f aca="false">P36/(1-N36)*(1-Assumptions!$F$23)*Assumptions!$F$24</f>
        <v>3546.06097797445</v>
      </c>
      <c r="V36" s="49" t="n">
        <f aca="false">Q36-T36-U36</f>
        <v>181417.587735071</v>
      </c>
      <c r="W36" s="20" t="n">
        <f aca="false">T36*Assumptions!$F$25+L36*(Assumptions!$F$27-Assumptions!$F$28+Assumptions!$F$29+Assumptions!$F$36*Assumptions!$F$37)+R36*Assumptions!$F$30+S36*(Assumptions!$F$31+Assumptions!$F$32)+M36*(Assumptions!$F$33+Assumptions!$F$38)+IFERROR(M36*J36/K36,0)*Assumptions!$F$35*Assumptions!$F$34</f>
        <v>57982.4302253887</v>
      </c>
      <c r="X36" s="49" t="n">
        <f aca="false">V36-W36</f>
        <v>123435.157509682</v>
      </c>
      <c r="Y36" s="49" t="n">
        <f aca="false">C36+E36+G36</f>
        <v>50664.1592599725</v>
      </c>
      <c r="Z36" s="49" t="n">
        <f aca="false">X36-Y36</f>
        <v>72770.9982497096</v>
      </c>
      <c r="AA36" s="20" t="n">
        <f aca="false">'Fixed Costs'!$G$31/52</f>
        <v>25332.6923076923</v>
      </c>
      <c r="AB36" s="49" t="n">
        <f aca="false">Z36-AA36</f>
        <v>47438.3059420173</v>
      </c>
      <c r="AC36" s="21" t="n">
        <f aca="false">L36*Baseline!G36</f>
        <v>2026.8320885935</v>
      </c>
    </row>
    <row r="37" customFormat="false" ht="15" hidden="false" customHeight="false" outlineLevel="0" collapsed="false">
      <c r="A37" s="13" t="n">
        <v>32</v>
      </c>
      <c r="B37" s="14" t="str">
        <f aca="false">Calendar!D37</f>
        <v>P8</v>
      </c>
      <c r="C37" s="20" t="n">
        <f aca="false">IF('Media Plan'!D37&lt;&gt;"",'Media Plan'!D37,Assumptions!$D$10*Baseline!T37)</f>
        <v>31751.4787389108</v>
      </c>
      <c r="D37" s="21" t="n">
        <f aca="false">IFERROR(C37/(Baseline!H37*(1+Assumptions!$F$13)*IFERROR(MAX(0,C37)/'History Y-1'!P37,1)^Assumptions!$F$14),0)</f>
        <v>67585.100781521</v>
      </c>
      <c r="E37" s="20" t="n">
        <f aca="false">IF('Media Plan'!J37&lt;&gt;"",'Media Plan'!J37,Assumptions!$D$11*Baseline!U37)</f>
        <v>16094.7581379998</v>
      </c>
      <c r="F37" s="21" t="n">
        <f aca="false">IFERROR(E37/(Baseline!I37*(1+Assumptions!$F$13)*IFERROR(MAX(0,E37)/'History Y-1'!Q37,1)^Assumptions!$F$15),0)</f>
        <v>40425.4095441515</v>
      </c>
      <c r="G37" s="20" t="n">
        <f aca="false">IF('Media Plan'!P37&lt;&gt;"",'Media Plan'!P37,Assumptions!$D$12*Baseline!V37)</f>
        <v>3477.30354316087</v>
      </c>
      <c r="H37" s="21" t="n">
        <f aca="false">IFERROR(G37/(Baseline!J37*(1+Assumptions!$F$13)*IFERROR(MAX(0,G37)/'History Y-1'!R37,1)^Assumptions!$F$16),0)</f>
        <v>12406.0835960705</v>
      </c>
      <c r="I37" s="21" t="n">
        <f aca="false">'History Y-1'!$F$58*(1+Assumptions!$F$6)*Baseline!Q37+'History Y-1'!$G$58*(1+Assumptions!$F$7)*Baseline!R37+J37</f>
        <v>157366.132979305</v>
      </c>
      <c r="J37" s="21" t="n">
        <f aca="false">'History Y-1'!$H$58*(1+Assumptions!$F$8)*Baseline!S37</f>
        <v>17806.2007755309</v>
      </c>
      <c r="K37" s="55" t="n">
        <f aca="false">D37+F37+H37+I37</f>
        <v>277782.726901048</v>
      </c>
      <c r="L37" s="21" t="n">
        <f aca="false">K37*Baseline!B37*(1+Assumptions!$F$18)*(1+Calendar!G37)</f>
        <v>5788.46272841037</v>
      </c>
      <c r="M37" s="20" t="n">
        <f aca="false">L37*Baseline!C37*(1+Assumptions!$F$19)</f>
        <v>429326.624516641</v>
      </c>
      <c r="N37" s="31" t="n">
        <f aca="false">MAX(0,MIN(0.9,Baseline!E37+Assumptions!$F$20))</f>
        <v>0.100986075860196</v>
      </c>
      <c r="O37" s="31" t="n">
        <f aca="false">MAX(0,Baseline!F37+Assumptions!$F$21)</f>
        <v>0.276753859014964</v>
      </c>
      <c r="P37" s="49" t="n">
        <f aca="false">M37*O37</f>
        <v>118817.800112849</v>
      </c>
      <c r="Q37" s="49" t="n">
        <f aca="false">M37-P37</f>
        <v>310508.824403792</v>
      </c>
      <c r="R37" s="21" t="n">
        <f aca="false">L37*Baseline!D37</f>
        <v>10920.0394909671</v>
      </c>
      <c r="S37" s="21" t="n">
        <f aca="false">IFERROR(P37/(Baseline!C37*(1+Assumptions!$F$19)),0)</f>
        <v>1601.97939785186</v>
      </c>
      <c r="T37" s="20" t="n">
        <f aca="false">Q37/(1-N37)*(1-Assumptions!$F$23)</f>
        <v>131247.525878244</v>
      </c>
      <c r="U37" s="20" t="n">
        <f aca="false">P37/(1-N37)*(1-Assumptions!$F$23)*Assumptions!$F$24</f>
        <v>3515.57789944786</v>
      </c>
      <c r="V37" s="49" t="n">
        <f aca="false">Q37-T37-U37</f>
        <v>175745.7206261</v>
      </c>
      <c r="W37" s="20" t="n">
        <f aca="false">T37*Assumptions!$F$25+L37*(Assumptions!$F$27-Assumptions!$F$28+Assumptions!$F$29+Assumptions!$F$36*Assumptions!$F$37)+R37*Assumptions!$F$30+S37*(Assumptions!$F$31+Assumptions!$F$32)+M37*(Assumptions!$F$33+Assumptions!$F$38)+IFERROR(M37*J37/K37,0)*Assumptions!$F$35*Assumptions!$F$34</f>
        <v>57350.6143182404</v>
      </c>
      <c r="X37" s="49" t="n">
        <f aca="false">V37-W37</f>
        <v>118395.106307859</v>
      </c>
      <c r="Y37" s="49" t="n">
        <f aca="false">C37+E37+G37</f>
        <v>51323.5404200715</v>
      </c>
      <c r="Z37" s="49" t="n">
        <f aca="false">X37-Y37</f>
        <v>67071.565887788</v>
      </c>
      <c r="AA37" s="20" t="n">
        <f aca="false">'Fixed Costs'!$G$31/52</f>
        <v>25332.6923076923</v>
      </c>
      <c r="AB37" s="49" t="n">
        <f aca="false">Z37-AA37</f>
        <v>41738.8735800957</v>
      </c>
      <c r="AC37" s="21" t="n">
        <f aca="false">L37*Baseline!G37</f>
        <v>1962.27694344355</v>
      </c>
    </row>
    <row r="38" customFormat="false" ht="15" hidden="false" customHeight="false" outlineLevel="0" collapsed="false">
      <c r="A38" s="13" t="n">
        <v>33</v>
      </c>
      <c r="B38" s="14" t="str">
        <f aca="false">Calendar!D38</f>
        <v>P8</v>
      </c>
      <c r="C38" s="20" t="n">
        <f aca="false">IF('Media Plan'!D38&lt;&gt;"",'Media Plan'!D38,Assumptions!$D$10*Baseline!T38)</f>
        <v>31463.8036897928</v>
      </c>
      <c r="D38" s="21" t="n">
        <f aca="false">IFERROR(C38/(Baseline!H38*(1+Assumptions!$F$13)*IFERROR(MAX(0,C38)/'History Y-1'!P38,1)^Assumptions!$F$14),0)</f>
        <v>65411.1970777479</v>
      </c>
      <c r="E38" s="20" t="n">
        <f aca="false">IF('Media Plan'!J38&lt;&gt;"",'Media Plan'!J38,Assumptions!$D$11*Baseline!U38)</f>
        <v>15325.8997796179</v>
      </c>
      <c r="F38" s="21" t="n">
        <f aca="false">IFERROR(E38/(Baseline!I38*(1+Assumptions!$F$13)*IFERROR(MAX(0,E38)/'History Y-1'!Q38,1)^Assumptions!$F$15),0)</f>
        <v>40524.4514950506</v>
      </c>
      <c r="G38" s="20" t="n">
        <f aca="false">IF('Media Plan'!P38&lt;&gt;"",'Media Plan'!P38,Assumptions!$D$12*Baseline!V38)</f>
        <v>3261.30736869502</v>
      </c>
      <c r="H38" s="21" t="n">
        <f aca="false">IFERROR(G38/(Baseline!J38*(1+Assumptions!$F$13)*IFERROR(MAX(0,G38)/'History Y-1'!R38,1)^Assumptions!$F$16),0)</f>
        <v>12066.0686424476</v>
      </c>
      <c r="I38" s="21" t="n">
        <f aca="false">'History Y-1'!$F$58*(1+Assumptions!$F$6)*Baseline!Q38+'History Y-1'!$G$58*(1+Assumptions!$F$7)*Baseline!R38+J38</f>
        <v>156280.641606853</v>
      </c>
      <c r="J38" s="21" t="n">
        <f aca="false">'History Y-1'!$H$58*(1+Assumptions!$F$8)*Baseline!S38</f>
        <v>17822.6573489564</v>
      </c>
      <c r="K38" s="55" t="n">
        <f aca="false">D38+F38+H38+I38</f>
        <v>274282.358822099</v>
      </c>
      <c r="L38" s="21" t="n">
        <f aca="false">K38*Baseline!B38*(1+Assumptions!$F$18)*(1+Calendar!G38)</f>
        <v>5759.4705706262</v>
      </c>
      <c r="M38" s="20" t="n">
        <f aca="false">L38*Baseline!C38*(1+Assumptions!$F$19)</f>
        <v>435639.365479161</v>
      </c>
      <c r="N38" s="31" t="n">
        <f aca="false">MAX(0,MIN(0.9,Baseline!E38+Assumptions!$F$20))</f>
        <v>0.103800401938257</v>
      </c>
      <c r="O38" s="31" t="n">
        <f aca="false">MAX(0,Baseline!F38+Assumptions!$F$21)</f>
        <v>0.278412153329654</v>
      </c>
      <c r="P38" s="49" t="n">
        <f aca="false">M38*O38</f>
        <v>121287.293818217</v>
      </c>
      <c r="Q38" s="49" t="n">
        <f aca="false">M38-P38</f>
        <v>314352.071660943</v>
      </c>
      <c r="R38" s="21" t="n">
        <f aca="false">L38*Baseline!D38</f>
        <v>10986.4255579653</v>
      </c>
      <c r="S38" s="21" t="n">
        <f aca="false">IFERROR(P38/(Baseline!C38*(1+Assumptions!$F$19)),0)</f>
        <v>1603.50660360681</v>
      </c>
      <c r="T38" s="20" t="n">
        <f aca="false">Q38/(1-N38)*(1-Assumptions!$F$23)</f>
        <v>133289.266687362</v>
      </c>
      <c r="U38" s="20" t="n">
        <f aca="false">P38/(1-N38)*(1-Assumptions!$F$23)*Assumptions!$F$24</f>
        <v>3599.91459775495</v>
      </c>
      <c r="V38" s="49" t="n">
        <f aca="false">Q38-T38-U38</f>
        <v>177462.890375826</v>
      </c>
      <c r="W38" s="20" t="n">
        <f aca="false">T38*Assumptions!$F$25+L38*(Assumptions!$F$27-Assumptions!$F$28+Assumptions!$F$29+Assumptions!$F$36*Assumptions!$F$37)+R38*Assumptions!$F$30+S38*(Assumptions!$F$31+Assumptions!$F$32)+M38*(Assumptions!$F$33+Assumptions!$F$38)+IFERROR(M38*J38/K38,0)*Assumptions!$F$35*Assumptions!$F$34</f>
        <v>57534.9112388735</v>
      </c>
      <c r="X38" s="49" t="n">
        <f aca="false">V38-W38</f>
        <v>119927.979136953</v>
      </c>
      <c r="Y38" s="49" t="n">
        <f aca="false">C38+E38+G38</f>
        <v>50051.0108381058</v>
      </c>
      <c r="Z38" s="49" t="n">
        <f aca="false">X38-Y38</f>
        <v>69876.9682988471</v>
      </c>
      <c r="AA38" s="20" t="n">
        <f aca="false">'Fixed Costs'!$G$31/52</f>
        <v>25332.6923076923</v>
      </c>
      <c r="AB38" s="49" t="n">
        <f aca="false">Z38-AA38</f>
        <v>44544.2759911548</v>
      </c>
      <c r="AC38" s="21" t="n">
        <f aca="false">L38*Baseline!G38</f>
        <v>2068.59335201658</v>
      </c>
    </row>
    <row r="39" customFormat="false" ht="15" hidden="false" customHeight="false" outlineLevel="0" collapsed="false">
      <c r="A39" s="13" t="n">
        <v>34</v>
      </c>
      <c r="B39" s="14" t="str">
        <f aca="false">Calendar!D39</f>
        <v>P8</v>
      </c>
      <c r="C39" s="20" t="n">
        <f aca="false">IF('Media Plan'!D39&lt;&gt;"",'Media Plan'!D39,Assumptions!$D$10*Baseline!T39)</f>
        <v>31697.0343645499</v>
      </c>
      <c r="D39" s="21" t="n">
        <f aca="false">IFERROR(C39/(Baseline!H39*(1+Assumptions!$F$13)*IFERROR(MAX(0,C39)/'History Y-1'!P39,1)^Assumptions!$F$14),0)</f>
        <v>65562.5148767008</v>
      </c>
      <c r="E39" s="20" t="n">
        <f aca="false">IF('Media Plan'!J39&lt;&gt;"",'Media Plan'!J39,Assumptions!$D$11*Baseline!U39)</f>
        <v>16290.0216250069</v>
      </c>
      <c r="F39" s="21" t="n">
        <f aca="false">IFERROR(E39/(Baseline!I39*(1+Assumptions!$F$13)*IFERROR(MAX(0,E39)/'History Y-1'!Q39,1)^Assumptions!$F$15),0)</f>
        <v>42090.8084545598</v>
      </c>
      <c r="G39" s="20" t="n">
        <f aca="false">IF('Media Plan'!P39&lt;&gt;"",'Media Plan'!P39,Assumptions!$D$12*Baseline!V39)</f>
        <v>3372.62176614141</v>
      </c>
      <c r="H39" s="21" t="n">
        <f aca="false">IFERROR(G39/(Baseline!J39*(1+Assumptions!$F$13)*IFERROR(MAX(0,G39)/'History Y-1'!R39,1)^Assumptions!$F$16),0)</f>
        <v>12029.7381677032</v>
      </c>
      <c r="I39" s="21" t="n">
        <f aca="false">'History Y-1'!$F$58*(1+Assumptions!$F$6)*Baseline!Q39+'History Y-1'!$G$58*(1+Assumptions!$F$7)*Baseline!R39+J39</f>
        <v>154233.858179679</v>
      </c>
      <c r="J39" s="21" t="n">
        <f aca="false">'History Y-1'!$H$58*(1+Assumptions!$F$8)*Baseline!S39</f>
        <v>18431.0488322129</v>
      </c>
      <c r="K39" s="55" t="n">
        <f aca="false">D39+F39+H39+I39</f>
        <v>273916.919678642</v>
      </c>
      <c r="L39" s="21" t="n">
        <f aca="false">K39*Baseline!B39*(1+Assumptions!$F$18)*(1+Calendar!G39)</f>
        <v>5573.19844952376</v>
      </c>
      <c r="M39" s="20" t="n">
        <f aca="false">L39*Baseline!C39*(1+Assumptions!$F$19)</f>
        <v>418741.953245365</v>
      </c>
      <c r="N39" s="31" t="n">
        <f aca="false">MAX(0,MIN(0.9,Baseline!E39+Assumptions!$F$20))</f>
        <v>0.0972506852430277</v>
      </c>
      <c r="O39" s="31" t="n">
        <f aca="false">MAX(0,Baseline!F39+Assumptions!$F$21)</f>
        <v>0.266878705960027</v>
      </c>
      <c r="P39" s="49" t="n">
        <f aca="false">M39*O39</f>
        <v>111753.310613297</v>
      </c>
      <c r="Q39" s="49" t="n">
        <f aca="false">M39-P39</f>
        <v>306988.642632068</v>
      </c>
      <c r="R39" s="21" t="n">
        <f aca="false">L39*Baseline!D39</f>
        <v>10716.2150994723</v>
      </c>
      <c r="S39" s="21" t="n">
        <f aca="false">IFERROR(P39/(Baseline!C39*(1+Assumptions!$F$19)),0)</f>
        <v>1487.36799026733</v>
      </c>
      <c r="T39" s="20" t="n">
        <f aca="false">Q39/(1-N39)*(1-Assumptions!$F$23)</f>
        <v>129222.678204514</v>
      </c>
      <c r="U39" s="20" t="n">
        <f aca="false">P39/(1-N39)*(1-Assumptions!$F$23)*Assumptions!$F$24</f>
        <v>3292.87213373734</v>
      </c>
      <c r="V39" s="49" t="n">
        <f aca="false">Q39-T39-U39</f>
        <v>174473.092293816</v>
      </c>
      <c r="W39" s="20" t="n">
        <f aca="false">T39*Assumptions!$F$25+L39*(Assumptions!$F$27-Assumptions!$F$28+Assumptions!$F$29+Assumptions!$F$36*Assumptions!$F$37)+R39*Assumptions!$F$30+S39*(Assumptions!$F$31+Assumptions!$F$32)+M39*(Assumptions!$F$33+Assumptions!$F$38)+IFERROR(M39*J39/K39,0)*Assumptions!$F$35*Assumptions!$F$34</f>
        <v>55452.447516352</v>
      </c>
      <c r="X39" s="49" t="n">
        <f aca="false">V39-W39</f>
        <v>119020.644777464</v>
      </c>
      <c r="Y39" s="49" t="n">
        <f aca="false">C39+E39+G39</f>
        <v>51359.6777556983</v>
      </c>
      <c r="Z39" s="49" t="n">
        <f aca="false">X39-Y39</f>
        <v>67660.9670217662</v>
      </c>
      <c r="AA39" s="20" t="n">
        <f aca="false">'Fixed Costs'!$G$31/52</f>
        <v>25332.6923076923</v>
      </c>
      <c r="AB39" s="49" t="n">
        <f aca="false">Z39-AA39</f>
        <v>42328.2747140739</v>
      </c>
      <c r="AC39" s="21" t="n">
        <f aca="false">L39*Baseline!G39</f>
        <v>1928.4817282509</v>
      </c>
    </row>
    <row r="40" customFormat="false" ht="15" hidden="false" customHeight="false" outlineLevel="0" collapsed="false">
      <c r="A40" s="13" t="n">
        <v>35</v>
      </c>
      <c r="B40" s="14" t="str">
        <f aca="false">Calendar!D40</f>
        <v>P9</v>
      </c>
      <c r="C40" s="20" t="n">
        <f aca="false">IF('Media Plan'!D40&lt;&gt;"",'Media Plan'!D40,Assumptions!$D$10*Baseline!T40)</f>
        <v>30433.7174079849</v>
      </c>
      <c r="D40" s="21" t="n">
        <f aca="false">IFERROR(C40/(Baseline!H40*(1+Assumptions!$F$13)*IFERROR(MAX(0,C40)/'History Y-1'!P40,1)^Assumptions!$F$14),0)</f>
        <v>63567.6161907287</v>
      </c>
      <c r="E40" s="20" t="n">
        <f aca="false">IF('Media Plan'!J40&lt;&gt;"",'Media Plan'!J40,Assumptions!$D$11*Baseline!U40)</f>
        <v>15499.5184028695</v>
      </c>
      <c r="F40" s="21" t="n">
        <f aca="false">IFERROR(E40/(Baseline!I40*(1+Assumptions!$F$13)*IFERROR(MAX(0,E40)/'History Y-1'!Q40,1)^Assumptions!$F$15),0)</f>
        <v>39794.5903727934</v>
      </c>
      <c r="G40" s="20" t="n">
        <f aca="false">IF('Media Plan'!P40&lt;&gt;"",'Media Plan'!P40,Assumptions!$D$12*Baseline!V40)</f>
        <v>3281.96536712586</v>
      </c>
      <c r="H40" s="21" t="n">
        <f aca="false">IFERROR(G40/(Baseline!J40*(1+Assumptions!$F$13)*IFERROR(MAX(0,G40)/'History Y-1'!R40,1)^Assumptions!$F$16),0)</f>
        <v>11690.0564274414</v>
      </c>
      <c r="I40" s="21" t="n">
        <f aca="false">'History Y-1'!$F$58*(1+Assumptions!$F$6)*Baseline!Q40+'History Y-1'!$G$58*(1+Assumptions!$F$7)*Baseline!R40+J40</f>
        <v>152744.410004016</v>
      </c>
      <c r="J40" s="21" t="n">
        <f aca="false">'History Y-1'!$H$58*(1+Assumptions!$F$8)*Baseline!S40</f>
        <v>17978.2132616897</v>
      </c>
      <c r="K40" s="55" t="n">
        <f aca="false">D40+F40+H40+I40</f>
        <v>267796.67299498</v>
      </c>
      <c r="L40" s="21" t="n">
        <f aca="false">K40*Baseline!B40*(1+Assumptions!$F$18)*(1+Calendar!G40)</f>
        <v>5634.55703379285</v>
      </c>
      <c r="M40" s="20" t="n">
        <f aca="false">L40*Baseline!C40*(1+Assumptions!$F$19)</f>
        <v>419323.331471419</v>
      </c>
      <c r="N40" s="31" t="n">
        <f aca="false">MAX(0,MIN(0.9,Baseline!E40+Assumptions!$F$20))</f>
        <v>0.10110430085173</v>
      </c>
      <c r="O40" s="31" t="n">
        <f aca="false">MAX(0,Baseline!F40+Assumptions!$F$21)</f>
        <v>0.275004387651849</v>
      </c>
      <c r="P40" s="49" t="n">
        <f aca="false">M40*O40</f>
        <v>115315.755999431</v>
      </c>
      <c r="Q40" s="49" t="n">
        <f aca="false">M40-P40</f>
        <v>304007.575471988</v>
      </c>
      <c r="R40" s="21" t="n">
        <f aca="false">L40*Baseline!D40</f>
        <v>10610.9914978135</v>
      </c>
      <c r="S40" s="21" t="n">
        <f aca="false">IFERROR(P40/(Baseline!C40*(1+Assumptions!$F$19)),0)</f>
        <v>1549.52790676762</v>
      </c>
      <c r="T40" s="20" t="n">
        <f aca="false">Q40/(1-N40)*(1-Assumptions!$F$23)</f>
        <v>128516.443886445</v>
      </c>
      <c r="U40" s="20" t="n">
        <f aca="false">P40/(1-N40)*(1-Assumptions!$F$23)*Assumptions!$F$24</f>
        <v>3412.40826103775</v>
      </c>
      <c r="V40" s="49" t="n">
        <f aca="false">Q40-T40-U40</f>
        <v>172078.723324505</v>
      </c>
      <c r="W40" s="20" t="n">
        <f aca="false">T40*Assumptions!$F$25+L40*(Assumptions!$F$27-Assumptions!$F$28+Assumptions!$F$29+Assumptions!$F$36*Assumptions!$F$37)+R40*Assumptions!$F$30+S40*(Assumptions!$F$31+Assumptions!$F$32)+M40*(Assumptions!$F$33+Assumptions!$F$38)+IFERROR(M40*J40/K40,0)*Assumptions!$F$35*Assumptions!$F$34</f>
        <v>55919.1758588656</v>
      </c>
      <c r="X40" s="49" t="n">
        <f aca="false">V40-W40</f>
        <v>116159.54746564</v>
      </c>
      <c r="Y40" s="49" t="n">
        <f aca="false">C40+E40+G40</f>
        <v>49215.2011779803</v>
      </c>
      <c r="Z40" s="49" t="n">
        <f aca="false">X40-Y40</f>
        <v>66944.3462876596</v>
      </c>
      <c r="AA40" s="20" t="n">
        <f aca="false">'Fixed Costs'!$G$31/52</f>
        <v>25332.6923076923</v>
      </c>
      <c r="AB40" s="49" t="n">
        <f aca="false">Z40-AA40</f>
        <v>41611.6539799673</v>
      </c>
      <c r="AC40" s="21" t="n">
        <f aca="false">L40*Baseline!G40</f>
        <v>2007.23938237642</v>
      </c>
    </row>
    <row r="41" customFormat="false" ht="15" hidden="false" customHeight="false" outlineLevel="0" collapsed="false">
      <c r="A41" s="13" t="n">
        <v>36</v>
      </c>
      <c r="B41" s="14" t="str">
        <f aca="false">Calendar!D41</f>
        <v>P9</v>
      </c>
      <c r="C41" s="20" t="n">
        <f aca="false">IF('Media Plan'!D41&lt;&gt;"",'Media Plan'!D41,Assumptions!$D$10*Baseline!T41)</f>
        <v>37663.6194830147</v>
      </c>
      <c r="D41" s="21" t="n">
        <f aca="false">IFERROR(C41/(Baseline!H41*(1+Assumptions!$F$13)*IFERROR(MAX(0,C41)/'History Y-1'!P41,1)^Assumptions!$F$14),0)</f>
        <v>76472.0215375616</v>
      </c>
      <c r="E41" s="20" t="n">
        <f aca="false">IF('Media Plan'!J41&lt;&gt;"",'Media Plan'!J41,Assumptions!$D$11*Baseline!U41)</f>
        <v>19182.5869567979</v>
      </c>
      <c r="F41" s="21" t="n">
        <f aca="false">IFERROR(E41/(Baseline!I41*(1+Assumptions!$F$13)*IFERROR(MAX(0,E41)/'History Y-1'!Q41,1)^Assumptions!$F$15),0)</f>
        <v>50001.5311693664</v>
      </c>
      <c r="G41" s="20" t="n">
        <f aca="false">IF('Media Plan'!P41&lt;&gt;"",'Media Plan'!P41,Assumptions!$D$12*Baseline!V41)</f>
        <v>4193.72594885017</v>
      </c>
      <c r="H41" s="21" t="n">
        <f aca="false">IFERROR(G41/(Baseline!J41*(1+Assumptions!$F$13)*IFERROR(MAX(0,G41)/'History Y-1'!R41,1)^Assumptions!$F$16),0)</f>
        <v>14957.9316109449</v>
      </c>
      <c r="I41" s="21" t="n">
        <f aca="false">'History Y-1'!$F$58*(1+Assumptions!$F$6)*Baseline!Q41+'History Y-1'!$G$58*(1+Assumptions!$F$7)*Baseline!R41+J41</f>
        <v>214241.881056521</v>
      </c>
      <c r="J41" s="21" t="n">
        <f aca="false">'History Y-1'!$H$58*(1+Assumptions!$F$8)*Baseline!S41</f>
        <v>21705.019887978</v>
      </c>
      <c r="K41" s="55" t="n">
        <f aca="false">D41+F41+H41+I41</f>
        <v>355673.365374393</v>
      </c>
      <c r="L41" s="21" t="n">
        <f aca="false">K41*Baseline!B41*(1+Assumptions!$F$18)*(1+Calendar!G41)</f>
        <v>8271.94292211864</v>
      </c>
      <c r="M41" s="20" t="n">
        <f aca="false">L41*Baseline!C41*(1+Assumptions!$F$19)</f>
        <v>576045.424387693</v>
      </c>
      <c r="N41" s="31" t="n">
        <f aca="false">MAX(0,MIN(0.9,Baseline!E41+Assumptions!$F$20))</f>
        <v>0.244314363051865</v>
      </c>
      <c r="O41" s="31" t="n">
        <f aca="false">MAX(0,Baseline!F41+Assumptions!$F$21)</f>
        <v>0.270857706324971</v>
      </c>
      <c r="P41" s="49" t="n">
        <f aca="false">M41*O41</f>
        <v>156026.342388645</v>
      </c>
      <c r="Q41" s="49" t="n">
        <f aca="false">M41-P41</f>
        <v>420019.081999048</v>
      </c>
      <c r="R41" s="21" t="n">
        <f aca="false">L41*Baseline!D41</f>
        <v>15668.3160223101</v>
      </c>
      <c r="S41" s="21" t="n">
        <f aca="false">IFERROR(P41/(Baseline!C41*(1+Assumptions!$F$19)),0)</f>
        <v>2240.51948673614</v>
      </c>
      <c r="T41" s="20" t="n">
        <f aca="false">Q41/(1-N41)*(1-Assumptions!$F$23)</f>
        <v>211208.528197278</v>
      </c>
      <c r="U41" s="20" t="n">
        <f aca="false">P41/(1-N41)*(1-Assumptions!$F$23)*Assumptions!$F$24</f>
        <v>5492.09949827697</v>
      </c>
      <c r="V41" s="49" t="n">
        <f aca="false">Q41-T41-U41</f>
        <v>203318.454303493</v>
      </c>
      <c r="W41" s="20" t="n">
        <f aca="false">T41*Assumptions!$F$25+L41*(Assumptions!$F$27-Assumptions!$F$28+Assumptions!$F$29+Assumptions!$F$36*Assumptions!$F$37)+R41*Assumptions!$F$30+S41*(Assumptions!$F$31+Assumptions!$F$32)+M41*(Assumptions!$F$33+Assumptions!$F$38)+IFERROR(M41*J41/K41,0)*Assumptions!$F$35*Assumptions!$F$34</f>
        <v>81437.6071835479</v>
      </c>
      <c r="X41" s="49" t="n">
        <f aca="false">V41-W41</f>
        <v>121880.847119945</v>
      </c>
      <c r="Y41" s="49" t="n">
        <f aca="false">C41+E41+G41</f>
        <v>61039.9323886628</v>
      </c>
      <c r="Z41" s="49" t="n">
        <f aca="false">X41-Y41</f>
        <v>60840.914731282</v>
      </c>
      <c r="AA41" s="20" t="n">
        <f aca="false">'Fixed Costs'!$G$31/52</f>
        <v>25332.6923076923</v>
      </c>
      <c r="AB41" s="49" t="n">
        <f aca="false">Z41-AA41</f>
        <v>35508.2224235896</v>
      </c>
      <c r="AC41" s="21" t="n">
        <f aca="false">L41*Baseline!G41</f>
        <v>3782.77091201503</v>
      </c>
    </row>
    <row r="42" customFormat="false" ht="15" hidden="false" customHeight="false" outlineLevel="0" collapsed="false">
      <c r="A42" s="13" t="n">
        <v>37</v>
      </c>
      <c r="B42" s="14" t="str">
        <f aca="false">Calendar!D42</f>
        <v>P9</v>
      </c>
      <c r="C42" s="20" t="n">
        <f aca="false">IF('Media Plan'!D42&lt;&gt;"",'Media Plan'!D42,Assumptions!$D$10*Baseline!T42)</f>
        <v>32459.1919784188</v>
      </c>
      <c r="D42" s="21" t="n">
        <f aca="false">IFERROR(C42/(Baseline!H42*(1+Assumptions!$F$13)*IFERROR(MAX(0,C42)/'History Y-1'!P42,1)^Assumptions!$F$14),0)</f>
        <v>67271.1413642302</v>
      </c>
      <c r="E42" s="20" t="n">
        <f aca="false">IF('Media Plan'!J42&lt;&gt;"",'Media Plan'!J42,Assumptions!$D$11*Baseline!U42)</f>
        <v>17527.2991988606</v>
      </c>
      <c r="F42" s="21" t="n">
        <f aca="false">IFERROR(E42/(Baseline!I42*(1+Assumptions!$F$13)*IFERROR(MAX(0,E42)/'History Y-1'!Q42,1)^Assumptions!$F$15),0)</f>
        <v>45938.1181154654</v>
      </c>
      <c r="G42" s="20" t="n">
        <f aca="false">IF('Media Plan'!P42&lt;&gt;"",'Media Plan'!P42,Assumptions!$D$12*Baseline!V42)</f>
        <v>3511.75361214989</v>
      </c>
      <c r="H42" s="21" t="n">
        <f aca="false">IFERROR(G42/(Baseline!J42*(1+Assumptions!$F$13)*IFERROR(MAX(0,G42)/'History Y-1'!R42,1)^Assumptions!$F$16),0)</f>
        <v>13219.1213953676</v>
      </c>
      <c r="I42" s="21" t="n">
        <f aca="false">'History Y-1'!$F$58*(1+Assumptions!$F$6)*Baseline!Q42+'History Y-1'!$G$58*(1+Assumptions!$F$7)*Baseline!R42+J42</f>
        <v>172305.879905329</v>
      </c>
      <c r="J42" s="21" t="n">
        <f aca="false">'History Y-1'!$H$58*(1+Assumptions!$F$8)*Baseline!S42</f>
        <v>19520.8051017388</v>
      </c>
      <c r="K42" s="55" t="n">
        <f aca="false">D42+F42+H42+I42</f>
        <v>298734.260780392</v>
      </c>
      <c r="L42" s="21" t="n">
        <f aca="false">K42*Baseline!B42*(1+Assumptions!$F$18)*(1+Calendar!G42)</f>
        <v>6316.64216621581</v>
      </c>
      <c r="M42" s="20" t="n">
        <f aca="false">L42*Baseline!C42*(1+Assumptions!$F$19)</f>
        <v>477463.73764211</v>
      </c>
      <c r="N42" s="31" t="n">
        <f aca="false">MAX(0,MIN(0.9,Baseline!E42+Assumptions!$F$20))</f>
        <v>0.100895832897298</v>
      </c>
      <c r="O42" s="31" t="n">
        <f aca="false">MAX(0,Baseline!F42+Assumptions!$F$21)</f>
        <v>0.271566036503427</v>
      </c>
      <c r="P42" s="49" t="n">
        <f aca="false">M42*O42</f>
        <v>129662.93480558</v>
      </c>
      <c r="Q42" s="49" t="n">
        <f aca="false">M42-P42</f>
        <v>347800.80283653</v>
      </c>
      <c r="R42" s="21" t="n">
        <f aca="false">L42*Baseline!D42</f>
        <v>12203.5817988463</v>
      </c>
      <c r="S42" s="21" t="n">
        <f aca="false">IFERROR(P42/(Baseline!C42*(1+Assumptions!$F$19)),0)</f>
        <v>1715.38547708965</v>
      </c>
      <c r="T42" s="20" t="n">
        <f aca="false">Q42/(1-N42)*(1-Assumptions!$F$23)</f>
        <v>146995.542800977</v>
      </c>
      <c r="U42" s="20" t="n">
        <f aca="false">P42/(1-N42)*(1-Assumptions!$F$23)*Assumptions!$F$24</f>
        <v>3836.07839005206</v>
      </c>
      <c r="V42" s="49" t="n">
        <f aca="false">Q42-T42-U42</f>
        <v>196969.181645502</v>
      </c>
      <c r="W42" s="20" t="n">
        <f aca="false">T42*Assumptions!$F$25+L42*(Assumptions!$F$27-Assumptions!$F$28+Assumptions!$F$29+Assumptions!$F$36*Assumptions!$F$37)+R42*Assumptions!$F$30+S42*(Assumptions!$F$31+Assumptions!$F$32)+M42*(Assumptions!$F$33+Assumptions!$F$38)+IFERROR(M42*J42/K42,0)*Assumptions!$F$35*Assumptions!$F$34</f>
        <v>63058.4403438621</v>
      </c>
      <c r="X42" s="49" t="n">
        <f aca="false">V42-W42</f>
        <v>133910.74130164</v>
      </c>
      <c r="Y42" s="49" t="n">
        <f aca="false">C42+E42+G42</f>
        <v>53498.2447894293</v>
      </c>
      <c r="Z42" s="49" t="n">
        <f aca="false">X42-Y42</f>
        <v>80412.4965122105</v>
      </c>
      <c r="AA42" s="20" t="n">
        <f aca="false">'Fixed Costs'!$G$31/52</f>
        <v>25332.6923076923</v>
      </c>
      <c r="AB42" s="49" t="n">
        <f aca="false">Z42-AA42</f>
        <v>55079.8042045182</v>
      </c>
      <c r="AC42" s="21" t="n">
        <f aca="false">L42*Baseline!G42</f>
        <v>2168.80940344342</v>
      </c>
    </row>
    <row r="43" customFormat="false" ht="15" hidden="false" customHeight="false" outlineLevel="0" collapsed="false">
      <c r="A43" s="13" t="n">
        <v>38</v>
      </c>
      <c r="B43" s="14" t="str">
        <f aca="false">Calendar!D43</f>
        <v>P9</v>
      </c>
      <c r="C43" s="20" t="n">
        <f aca="false">IF('Media Plan'!D43&lt;&gt;"",'Media Plan'!D43,Assumptions!$D$10*Baseline!T43)</f>
        <v>36450.6282754497</v>
      </c>
      <c r="D43" s="21" t="n">
        <f aca="false">IFERROR(C43/(Baseline!H43*(1+Assumptions!$F$13)*IFERROR(MAX(0,C43)/'History Y-1'!P43,1)^Assumptions!$F$14),0)</f>
        <v>79078.0813385398</v>
      </c>
      <c r="E43" s="20" t="n">
        <f aca="false">IF('Media Plan'!J43&lt;&gt;"",'Media Plan'!J43,Assumptions!$D$11*Baseline!U43)</f>
        <v>18765.0463200146</v>
      </c>
      <c r="F43" s="21" t="n">
        <f aca="false">IFERROR(E43/(Baseline!I43*(1+Assumptions!$F$13)*IFERROR(MAX(0,E43)/'History Y-1'!Q43,1)^Assumptions!$F$15),0)</f>
        <v>50145.7951493117</v>
      </c>
      <c r="G43" s="20" t="n">
        <f aca="false">IF('Media Plan'!P43&lt;&gt;"",'Media Plan'!P43,Assumptions!$D$12*Baseline!V43)</f>
        <v>3749.20021982225</v>
      </c>
      <c r="H43" s="21" t="n">
        <f aca="false">IFERROR(G43/(Baseline!J43*(1+Assumptions!$F$13)*IFERROR(MAX(0,G43)/'History Y-1'!R43,1)^Assumptions!$F$16),0)</f>
        <v>14077.5449719747</v>
      </c>
      <c r="I43" s="21" t="n">
        <f aca="false">'History Y-1'!$F$58*(1+Assumptions!$F$6)*Baseline!Q43+'History Y-1'!$G$58*(1+Assumptions!$F$7)*Baseline!R43+J43</f>
        <v>181895.081745362</v>
      </c>
      <c r="J43" s="21" t="n">
        <f aca="false">'History Y-1'!$H$58*(1+Assumptions!$F$8)*Baseline!S43</f>
        <v>21897.2646708333</v>
      </c>
      <c r="K43" s="55" t="n">
        <f aca="false">D43+F43+H43+I43</f>
        <v>325196.503205188</v>
      </c>
      <c r="L43" s="21" t="n">
        <f aca="false">K43*Baseline!B43*(1+Assumptions!$F$18)*(1+Calendar!G43)</f>
        <v>7092.20996675874</v>
      </c>
      <c r="M43" s="20" t="n">
        <f aca="false">L43*Baseline!C43*(1+Assumptions!$F$19)</f>
        <v>528048.221686344</v>
      </c>
      <c r="N43" s="31" t="n">
        <f aca="false">MAX(0,MIN(0.9,Baseline!E43+Assumptions!$F$20))</f>
        <v>0.0977627051224132</v>
      </c>
      <c r="O43" s="31" t="n">
        <f aca="false">MAX(0,Baseline!F43+Assumptions!$F$21)</f>
        <v>0.278650323188229</v>
      </c>
      <c r="P43" s="49" t="n">
        <f aca="false">M43*O43</f>
        <v>147140.807631869</v>
      </c>
      <c r="Q43" s="49" t="n">
        <f aca="false">M43-P43</f>
        <v>380907.414054475</v>
      </c>
      <c r="R43" s="21" t="n">
        <f aca="false">L43*Baseline!D43</f>
        <v>13747.5342466248</v>
      </c>
      <c r="S43" s="21" t="n">
        <f aca="false">IFERROR(P43/(Baseline!C43*(1+Assumptions!$F$19)),0)</f>
        <v>1976.2465993561</v>
      </c>
      <c r="T43" s="20" t="n">
        <f aca="false">Q43/(1-N43)*(1-Assumptions!$F$23)</f>
        <v>160428.767645145</v>
      </c>
      <c r="U43" s="20" t="n">
        <f aca="false">P43/(1-N43)*(1-Assumptions!$F$23)*Assumptions!$F$24</f>
        <v>4338.04444266379</v>
      </c>
      <c r="V43" s="49" t="n">
        <f aca="false">Q43-T43-U43</f>
        <v>216140.601966666</v>
      </c>
      <c r="W43" s="20" t="n">
        <f aca="false">T43*Assumptions!$F$25+L43*(Assumptions!$F$27-Assumptions!$F$28+Assumptions!$F$29+Assumptions!$F$36*Assumptions!$F$37)+R43*Assumptions!$F$30+S43*(Assumptions!$F$31+Assumptions!$F$32)+M43*(Assumptions!$F$33+Assumptions!$F$38)+IFERROR(M43*J43/K43,0)*Assumptions!$F$35*Assumptions!$F$34</f>
        <v>70838.9275962208</v>
      </c>
      <c r="X43" s="49" t="n">
        <f aca="false">V43-W43</f>
        <v>145301.674370445</v>
      </c>
      <c r="Y43" s="49" t="n">
        <f aca="false">C43+E43+G43</f>
        <v>58964.8748152866</v>
      </c>
      <c r="Z43" s="49" t="n">
        <f aca="false">X43-Y43</f>
        <v>86336.7995551587</v>
      </c>
      <c r="AA43" s="20" t="n">
        <f aca="false">'Fixed Costs'!$G$31/52</f>
        <v>25332.6923076923</v>
      </c>
      <c r="AB43" s="49" t="n">
        <f aca="false">Z43-AA43</f>
        <v>61004.1072474664</v>
      </c>
      <c r="AC43" s="21" t="n">
        <f aca="false">L43*Baseline!G43</f>
        <v>2388.23578223775</v>
      </c>
    </row>
    <row r="44" customFormat="false" ht="15" hidden="false" customHeight="false" outlineLevel="0" collapsed="false">
      <c r="A44" s="13" t="n">
        <v>39</v>
      </c>
      <c r="B44" s="14" t="str">
        <f aca="false">Calendar!D44</f>
        <v>P9</v>
      </c>
      <c r="C44" s="20" t="n">
        <f aca="false">IF('Media Plan'!D44&lt;&gt;"",'Media Plan'!D44,Assumptions!$D$10*Baseline!T44)</f>
        <v>36575.1345928048</v>
      </c>
      <c r="D44" s="21" t="n">
        <f aca="false">IFERROR(C44/(Baseline!H44*(1+Assumptions!$F$13)*IFERROR(MAX(0,C44)/'History Y-1'!P44,1)^Assumptions!$F$14),0)</f>
        <v>73989.9681867411</v>
      </c>
      <c r="E44" s="20" t="n">
        <f aca="false">IF('Media Plan'!J44&lt;&gt;"",'Media Plan'!J44,Assumptions!$D$11*Baseline!U44)</f>
        <v>18536.9580860902</v>
      </c>
      <c r="F44" s="21" t="n">
        <f aca="false">IFERROR(E44/(Baseline!I44*(1+Assumptions!$F$13)*IFERROR(MAX(0,E44)/'History Y-1'!Q44,1)^Assumptions!$F$15),0)</f>
        <v>49228.9170386265</v>
      </c>
      <c r="G44" s="20" t="n">
        <f aca="false">IF('Media Plan'!P44&lt;&gt;"",'Media Plan'!P44,Assumptions!$D$12*Baseline!V44)</f>
        <v>3838.7435344281</v>
      </c>
      <c r="H44" s="21" t="n">
        <f aca="false">IFERROR(G44/(Baseline!J44*(1+Assumptions!$F$13)*IFERROR(MAX(0,G44)/'History Y-1'!R44,1)^Assumptions!$F$16),0)</f>
        <v>14221.3310294389</v>
      </c>
      <c r="I44" s="21" t="n">
        <f aca="false">'History Y-1'!$F$58*(1+Assumptions!$F$6)*Baseline!Q44+'History Y-1'!$G$58*(1+Assumptions!$F$7)*Baseline!R44+J44</f>
        <v>177237.753105792</v>
      </c>
      <c r="J44" s="21" t="n">
        <f aca="false">'History Y-1'!$H$58*(1+Assumptions!$F$8)*Baseline!S44</f>
        <v>20995.0983661502</v>
      </c>
      <c r="K44" s="55" t="n">
        <f aca="false">D44+F44+H44+I44</f>
        <v>314677.969360598</v>
      </c>
      <c r="L44" s="21" t="n">
        <f aca="false">K44*Baseline!B44*(1+Assumptions!$F$18)*(1+Calendar!G44)</f>
        <v>6490.23228245746</v>
      </c>
      <c r="M44" s="20" t="n">
        <f aca="false">L44*Baseline!C44*(1+Assumptions!$F$19)</f>
        <v>492780.892482497</v>
      </c>
      <c r="N44" s="31" t="n">
        <f aca="false">MAX(0,MIN(0.9,Baseline!E44+Assumptions!$F$20))</f>
        <v>0.103370378358932</v>
      </c>
      <c r="O44" s="31" t="n">
        <f aca="false">MAX(0,Baseline!F44+Assumptions!$F$21)</f>
        <v>0.283034380017755</v>
      </c>
      <c r="P44" s="49" t="n">
        <f aca="false">M44*O44</f>
        <v>139473.93438838</v>
      </c>
      <c r="Q44" s="49" t="n">
        <f aca="false">M44-P44</f>
        <v>353306.958094117</v>
      </c>
      <c r="R44" s="21" t="n">
        <f aca="false">L44*Baseline!D44</f>
        <v>12139.4562894643</v>
      </c>
      <c r="S44" s="21" t="n">
        <f aca="false">IFERROR(P44/(Baseline!C44*(1+Assumptions!$F$19)),0)</f>
        <v>1836.95887023657</v>
      </c>
      <c r="T44" s="20" t="n">
        <f aca="false">Q44/(1-N44)*(1-Assumptions!$F$23)</f>
        <v>149734.78550713</v>
      </c>
      <c r="U44" s="20" t="n">
        <f aca="false">P44/(1-N44)*(1-Assumptions!$F$23)*Assumptions!$F$24</f>
        <v>4137.72483663947</v>
      </c>
      <c r="V44" s="49" t="n">
        <f aca="false">Q44-T44-U44</f>
        <v>199434.447750348</v>
      </c>
      <c r="W44" s="20" t="n">
        <f aca="false">T44*Assumptions!$F$25+L44*(Assumptions!$F$27-Assumptions!$F$28+Assumptions!$F$29+Assumptions!$F$36*Assumptions!$F$37)+R44*Assumptions!$F$30+S44*(Assumptions!$F$31+Assumptions!$F$32)+M44*(Assumptions!$F$33+Assumptions!$F$38)+IFERROR(M44*J44/K44,0)*Assumptions!$F$35*Assumptions!$F$34</f>
        <v>64864.9082362217</v>
      </c>
      <c r="X44" s="49" t="n">
        <f aca="false">V44-W44</f>
        <v>134569.539514126</v>
      </c>
      <c r="Y44" s="49" t="n">
        <f aca="false">C44+E44+G44</f>
        <v>58950.8362133231</v>
      </c>
      <c r="Z44" s="49" t="n">
        <f aca="false">X44-Y44</f>
        <v>75618.7033008027</v>
      </c>
      <c r="AA44" s="20" t="n">
        <f aca="false">'Fixed Costs'!$G$31/52</f>
        <v>25332.6923076923</v>
      </c>
      <c r="AB44" s="49" t="n">
        <f aca="false">Z44-AA44</f>
        <v>50286.0109931104</v>
      </c>
      <c r="AC44" s="21" t="n">
        <f aca="false">L44*Baseline!G44</f>
        <v>2214.49165710415</v>
      </c>
    </row>
    <row r="45" customFormat="false" ht="15" hidden="false" customHeight="false" outlineLevel="0" collapsed="false">
      <c r="A45" s="13" t="n">
        <v>40</v>
      </c>
      <c r="B45" s="14" t="str">
        <f aca="false">Calendar!D45</f>
        <v>P10</v>
      </c>
      <c r="C45" s="20" t="n">
        <f aca="false">IF('Media Plan'!D45&lt;&gt;"",'Media Plan'!D45,Assumptions!$D$10*Baseline!T45)</f>
        <v>35566.6941180186</v>
      </c>
      <c r="D45" s="21" t="n">
        <f aca="false">IFERROR(C45/(Baseline!H45*(1+Assumptions!$F$13)*IFERROR(MAX(0,C45)/'History Y-1'!P45,1)^Assumptions!$F$14),0)</f>
        <v>73995.8915665927</v>
      </c>
      <c r="E45" s="20" t="n">
        <f aca="false">IF('Media Plan'!J45&lt;&gt;"",'Media Plan'!J45,Assumptions!$D$11*Baseline!U45)</f>
        <v>16884.8031006538</v>
      </c>
      <c r="F45" s="21" t="n">
        <f aca="false">IFERROR(E45/(Baseline!I45*(1+Assumptions!$F$13)*IFERROR(MAX(0,E45)/'History Y-1'!Q45,1)^Assumptions!$F$15),0)</f>
        <v>44822.9596167034</v>
      </c>
      <c r="G45" s="20" t="n">
        <f aca="false">IF('Media Plan'!P45&lt;&gt;"",'Media Plan'!P45,Assumptions!$D$12*Baseline!V45)</f>
        <v>3769.40774751306</v>
      </c>
      <c r="H45" s="21" t="n">
        <f aca="false">IFERROR(G45/(Baseline!J45*(1+Assumptions!$F$13)*IFERROR(MAX(0,G45)/'History Y-1'!R45,1)^Assumptions!$F$16),0)</f>
        <v>13930.9406787974</v>
      </c>
      <c r="I45" s="21" t="n">
        <f aca="false">'History Y-1'!$F$58*(1+Assumptions!$F$6)*Baseline!Q45+'History Y-1'!$G$58*(1+Assumptions!$F$7)*Baseline!R45+J45</f>
        <v>177597.170824131</v>
      </c>
      <c r="J45" s="21" t="n">
        <f aca="false">'History Y-1'!$H$58*(1+Assumptions!$F$8)*Baseline!S45</f>
        <v>20197.58549589</v>
      </c>
      <c r="K45" s="55" t="n">
        <f aca="false">D45+F45+H45+I45</f>
        <v>310346.962686224</v>
      </c>
      <c r="L45" s="21" t="n">
        <f aca="false">K45*Baseline!B45*(1+Assumptions!$F$18)*(1+Calendar!G45)</f>
        <v>6446.43604229597</v>
      </c>
      <c r="M45" s="20" t="n">
        <f aca="false">L45*Baseline!C45*(1+Assumptions!$F$19)</f>
        <v>479830.073889846</v>
      </c>
      <c r="N45" s="31" t="n">
        <f aca="false">MAX(0,MIN(0.9,Baseline!E45+Assumptions!$F$20))</f>
        <v>0.104943745016683</v>
      </c>
      <c r="O45" s="31" t="n">
        <f aca="false">MAX(0,Baseline!F45+Assumptions!$F$21)</f>
        <v>0.275198023202177</v>
      </c>
      <c r="P45" s="49" t="n">
        <f aca="false">M45*O45</f>
        <v>132048.28780744</v>
      </c>
      <c r="Q45" s="49" t="n">
        <f aca="false">M45-P45</f>
        <v>347781.786082406</v>
      </c>
      <c r="R45" s="21" t="n">
        <f aca="false">L45*Baseline!D45</f>
        <v>12440.4787550041</v>
      </c>
      <c r="S45" s="21" t="n">
        <f aca="false">IFERROR(P45/(Baseline!C45*(1+Assumptions!$F$19)),0)</f>
        <v>1774.04645553912</v>
      </c>
      <c r="T45" s="20" t="n">
        <f aca="false">Q45/(1-N45)*(1-Assumptions!$F$23)</f>
        <v>147652.25981665</v>
      </c>
      <c r="U45" s="20" t="n">
        <f aca="false">P45/(1-N45)*(1-Assumptions!$F$23)*Assumptions!$F$24</f>
        <v>3924.31697574515</v>
      </c>
      <c r="V45" s="49" t="n">
        <f aca="false">Q45-T45-U45</f>
        <v>196205.209290011</v>
      </c>
      <c r="W45" s="20" t="n">
        <f aca="false">T45*Assumptions!$F$25+L45*(Assumptions!$F$27-Assumptions!$F$28+Assumptions!$F$29+Assumptions!$F$36*Assumptions!$F$37)+R45*Assumptions!$F$30+S45*(Assumptions!$F$31+Assumptions!$F$32)+M45*(Assumptions!$F$33+Assumptions!$F$38)+IFERROR(M45*J45/K45,0)*Assumptions!$F$35*Assumptions!$F$34</f>
        <v>64194.9859926752</v>
      </c>
      <c r="X45" s="49" t="n">
        <f aca="false">V45-W45</f>
        <v>132010.223297336</v>
      </c>
      <c r="Y45" s="49" t="n">
        <f aca="false">C45+E45+G45</f>
        <v>56220.9049661854</v>
      </c>
      <c r="Z45" s="49" t="n">
        <f aca="false">X45-Y45</f>
        <v>75789.3183311503</v>
      </c>
      <c r="AA45" s="20" t="n">
        <f aca="false">'Fixed Costs'!$G$31/52</f>
        <v>25332.6923076923</v>
      </c>
      <c r="AB45" s="49" t="n">
        <f aca="false">Z45-AA45</f>
        <v>50456.626023458</v>
      </c>
      <c r="AC45" s="21" t="n">
        <f aca="false">L45*Baseline!G45</f>
        <v>2181.42987452858</v>
      </c>
    </row>
    <row r="46" customFormat="false" ht="15" hidden="false" customHeight="false" outlineLevel="0" collapsed="false">
      <c r="A46" s="13" t="n">
        <v>41</v>
      </c>
      <c r="B46" s="14" t="str">
        <f aca="false">Calendar!D46</f>
        <v>P10</v>
      </c>
      <c r="C46" s="20" t="n">
        <f aca="false">IF('Media Plan'!D46&lt;&gt;"",'Media Plan'!D46,Assumptions!$D$10*Baseline!T46)</f>
        <v>35753.04301567</v>
      </c>
      <c r="D46" s="21" t="n">
        <f aca="false">IFERROR(C46/(Baseline!H46*(1+Assumptions!$F$13)*IFERROR(MAX(0,C46)/'History Y-1'!P46,1)^Assumptions!$F$14),0)</f>
        <v>71794.3211584224</v>
      </c>
      <c r="E46" s="20" t="n">
        <f aca="false">IF('Media Plan'!J46&lt;&gt;"",'Media Plan'!J46,Assumptions!$D$11*Baseline!U46)</f>
        <v>18382.1574121692</v>
      </c>
      <c r="F46" s="21" t="n">
        <f aca="false">IFERROR(E46/(Baseline!I46*(1+Assumptions!$F$13)*IFERROR(MAX(0,E46)/'History Y-1'!Q46,1)^Assumptions!$F$15),0)</f>
        <v>47334.4645664303</v>
      </c>
      <c r="G46" s="20" t="n">
        <f aca="false">IF('Media Plan'!P46&lt;&gt;"",'Media Plan'!P46,Assumptions!$D$12*Baseline!V46)</f>
        <v>3704.60426992037</v>
      </c>
      <c r="H46" s="21" t="n">
        <f aca="false">IFERROR(G46/(Baseline!J46*(1+Assumptions!$F$13)*IFERROR(MAX(0,G46)/'History Y-1'!R46,1)^Assumptions!$F$16),0)</f>
        <v>13764.6574886579</v>
      </c>
      <c r="I46" s="21" t="n">
        <f aca="false">'History Y-1'!$F$58*(1+Assumptions!$F$6)*Baseline!Q46+'History Y-1'!$G$58*(1+Assumptions!$F$7)*Baseline!R46+J46</f>
        <v>182645.524693831</v>
      </c>
      <c r="J46" s="21" t="n">
        <f aca="false">'History Y-1'!$H$58*(1+Assumptions!$F$8)*Baseline!S46</f>
        <v>20211.6635987491</v>
      </c>
      <c r="K46" s="55" t="n">
        <f aca="false">D46+F46+H46+I46</f>
        <v>315538.967907342</v>
      </c>
      <c r="L46" s="21" t="n">
        <f aca="false">K46*Baseline!B46*(1+Assumptions!$F$18)*(1+Calendar!G46)</f>
        <v>6589.35606300574</v>
      </c>
      <c r="M46" s="20" t="n">
        <f aca="false">L46*Baseline!C46*(1+Assumptions!$F$19)</f>
        <v>492316.187303842</v>
      </c>
      <c r="N46" s="31" t="n">
        <f aca="false">MAX(0,MIN(0.9,Baseline!E46+Assumptions!$F$20))</f>
        <v>0.0971528480792872</v>
      </c>
      <c r="O46" s="31" t="n">
        <f aca="false">MAX(0,Baseline!F46+Assumptions!$F$21)</f>
        <v>0.271575550397254</v>
      </c>
      <c r="P46" s="49" t="n">
        <f aca="false">M46*O46</f>
        <v>133701.039536519</v>
      </c>
      <c r="Q46" s="49" t="n">
        <f aca="false">M46-P46</f>
        <v>358615.147767323</v>
      </c>
      <c r="R46" s="21" t="n">
        <f aca="false">L46*Baseline!D46</f>
        <v>12693.7456303112</v>
      </c>
      <c r="S46" s="21" t="n">
        <f aca="false">IFERROR(P46/(Baseline!C46*(1+Assumptions!$F$19)),0)</f>
        <v>1789.50799957427</v>
      </c>
      <c r="T46" s="20" t="n">
        <f aca="false">Q46/(1-N46)*(1-Assumptions!$F$23)</f>
        <v>150937.792583911</v>
      </c>
      <c r="U46" s="20" t="n">
        <f aca="false">P46/(1-N46)*(1-Assumptions!$F$23)*Assumptions!$F$24</f>
        <v>3939.14700190993</v>
      </c>
      <c r="V46" s="49" t="n">
        <f aca="false">Q46-T46-U46</f>
        <v>203738.208181503</v>
      </c>
      <c r="W46" s="20" t="n">
        <f aca="false">T46*Assumptions!$F$25+L46*(Assumptions!$F$27-Assumptions!$F$28+Assumptions!$F$29+Assumptions!$F$36*Assumptions!$F$37)+R46*Assumptions!$F$30+S46*(Assumptions!$F$31+Assumptions!$F$32)+M46*(Assumptions!$F$33+Assumptions!$F$38)+IFERROR(M46*J46/K46,0)*Assumptions!$F$35*Assumptions!$F$34</f>
        <v>65485.6405615637</v>
      </c>
      <c r="X46" s="49" t="n">
        <f aca="false">V46-W46</f>
        <v>138252.567619939</v>
      </c>
      <c r="Y46" s="49" t="n">
        <f aca="false">C46+E46+G46</f>
        <v>57839.8046977596</v>
      </c>
      <c r="Z46" s="49" t="n">
        <f aca="false">X46-Y46</f>
        <v>80412.7629221797</v>
      </c>
      <c r="AA46" s="20" t="n">
        <f aca="false">'Fixed Costs'!$G$31/52</f>
        <v>25332.6923076923</v>
      </c>
      <c r="AB46" s="49" t="n">
        <f aca="false">Z46-AA46</f>
        <v>55080.0706144874</v>
      </c>
      <c r="AC46" s="21" t="n">
        <f aca="false">L46*Baseline!G46</f>
        <v>2297.70217445631</v>
      </c>
    </row>
    <row r="47" customFormat="false" ht="15" hidden="false" customHeight="false" outlineLevel="0" collapsed="false">
      <c r="A47" s="13" t="n">
        <v>42</v>
      </c>
      <c r="B47" s="14" t="str">
        <f aca="false">Calendar!D47</f>
        <v>P10</v>
      </c>
      <c r="C47" s="20" t="n">
        <f aca="false">IF('Media Plan'!D47&lt;&gt;"",'Media Plan'!D47,Assumptions!$D$10*Baseline!T47)</f>
        <v>34711.0376421915</v>
      </c>
      <c r="D47" s="21" t="n">
        <f aca="false">IFERROR(C47/(Baseline!H47*(1+Assumptions!$F$13)*IFERROR(MAX(0,C47)/'History Y-1'!P47,1)^Assumptions!$F$14),0)</f>
        <v>70596.6851443775</v>
      </c>
      <c r="E47" s="20" t="n">
        <f aca="false">IF('Media Plan'!J47&lt;&gt;"",'Media Plan'!J47,Assumptions!$D$11*Baseline!U47)</f>
        <v>18584.7866663944</v>
      </c>
      <c r="F47" s="21" t="n">
        <f aca="false">IFERROR(E47/(Baseline!I47*(1+Assumptions!$F$13)*IFERROR(MAX(0,E47)/'History Y-1'!Q47,1)^Assumptions!$F$15),0)</f>
        <v>48086.5181888359</v>
      </c>
      <c r="G47" s="20" t="n">
        <f aca="false">IF('Media Plan'!P47&lt;&gt;"",'Media Plan'!P47,Assumptions!$D$12*Baseline!V47)</f>
        <v>3877.87886680719</v>
      </c>
      <c r="H47" s="21" t="n">
        <f aca="false">IFERROR(G47/(Baseline!J47*(1+Assumptions!$F$13)*IFERROR(MAX(0,G47)/'History Y-1'!R47,1)^Assumptions!$F$16),0)</f>
        <v>14427.8826369111</v>
      </c>
      <c r="I47" s="21" t="n">
        <f aca="false">'History Y-1'!$F$58*(1+Assumptions!$F$6)*Baseline!Q47+'History Y-1'!$G$58*(1+Assumptions!$F$7)*Baseline!R47+J47</f>
        <v>173872.705143344</v>
      </c>
      <c r="J47" s="21" t="n">
        <f aca="false">'History Y-1'!$H$58*(1+Assumptions!$F$8)*Baseline!S47</f>
        <v>20346.3519529657</v>
      </c>
      <c r="K47" s="55" t="n">
        <f aca="false">D47+F47+H47+I47</f>
        <v>306983.791113468</v>
      </c>
      <c r="L47" s="21" t="n">
        <f aca="false">K47*Baseline!B47*(1+Assumptions!$F$18)*(1+Calendar!G47)</f>
        <v>6375.80273297349</v>
      </c>
      <c r="M47" s="20" t="n">
        <f aca="false">L47*Baseline!C47*(1+Assumptions!$F$19)</f>
        <v>483724.357700257</v>
      </c>
      <c r="N47" s="31" t="n">
        <f aca="false">MAX(0,MIN(0.9,Baseline!E47+Assumptions!$F$20))</f>
        <v>0.0994432081424889</v>
      </c>
      <c r="O47" s="31" t="n">
        <f aca="false">MAX(0,Baseline!F47+Assumptions!$F$21)</f>
        <v>0.275198695138602</v>
      </c>
      <c r="P47" s="49" t="n">
        <f aca="false">M47*O47</f>
        <v>133120.312045869</v>
      </c>
      <c r="Q47" s="49" t="n">
        <f aca="false">M47-P47</f>
        <v>350604.045654388</v>
      </c>
      <c r="R47" s="21" t="n">
        <f aca="false">L47*Baseline!D47</f>
        <v>12336.4168629941</v>
      </c>
      <c r="S47" s="21" t="n">
        <f aca="false">IFERROR(P47/(Baseline!C47*(1+Assumptions!$F$19)),0)</f>
        <v>1754.61259257544</v>
      </c>
      <c r="T47" s="20" t="n">
        <f aca="false">Q47/(1-N47)*(1-Assumptions!$F$23)</f>
        <v>147941.294267366</v>
      </c>
      <c r="U47" s="20" t="n">
        <f aca="false">P47/(1-N47)*(1-Assumptions!$F$23)*Assumptions!$F$24</f>
        <v>3932.01220893173</v>
      </c>
      <c r="V47" s="49" t="n">
        <f aca="false">Q47-T47-U47</f>
        <v>198730.73917809</v>
      </c>
      <c r="W47" s="20" t="n">
        <f aca="false">T47*Assumptions!$F$25+L47*(Assumptions!$F$27-Assumptions!$F$28+Assumptions!$F$29+Assumptions!$F$36*Assumptions!$F$37)+R47*Assumptions!$F$30+S47*(Assumptions!$F$31+Assumptions!$F$32)+M47*(Assumptions!$F$33+Assumptions!$F$38)+IFERROR(M47*J47/K47,0)*Assumptions!$F$35*Assumptions!$F$34</f>
        <v>63845.7304400104</v>
      </c>
      <c r="X47" s="49" t="n">
        <f aca="false">V47-W47</f>
        <v>134885.008738079</v>
      </c>
      <c r="Y47" s="49" t="n">
        <f aca="false">C47+E47+G47</f>
        <v>57173.7031753931</v>
      </c>
      <c r="Z47" s="49" t="n">
        <f aca="false">X47-Y47</f>
        <v>77711.3055626864</v>
      </c>
      <c r="AA47" s="20" t="n">
        <f aca="false">'Fixed Costs'!$G$31/52</f>
        <v>25332.6923076923</v>
      </c>
      <c r="AB47" s="49" t="n">
        <f aca="false">Z47-AA47</f>
        <v>52378.6132549941</v>
      </c>
      <c r="AC47" s="21" t="n">
        <f aca="false">L47*Baseline!G47</f>
        <v>2227.73259204835</v>
      </c>
    </row>
    <row r="48" customFormat="false" ht="15" hidden="false" customHeight="false" outlineLevel="0" collapsed="false">
      <c r="A48" s="13" t="n">
        <v>43</v>
      </c>
      <c r="B48" s="14" t="str">
        <f aca="false">Calendar!D48</f>
        <v>P10</v>
      </c>
      <c r="C48" s="20" t="n">
        <f aca="false">IF('Media Plan'!D48&lt;&gt;"",'Media Plan'!D48,Assumptions!$D$10*Baseline!T48)</f>
        <v>70367.0563392516</v>
      </c>
      <c r="D48" s="21" t="n">
        <f aca="false">IFERROR(C48/(Baseline!H48*(1+Assumptions!$F$13)*IFERROR(MAX(0,C48)/'History Y-1'!P48,1)^Assumptions!$F$14),0)</f>
        <v>150375.033042763</v>
      </c>
      <c r="E48" s="20" t="n">
        <f aca="false">IF('Media Plan'!J48&lt;&gt;"",'Media Plan'!J48,Assumptions!$D$11*Baseline!U48)</f>
        <v>35591.4202648589</v>
      </c>
      <c r="F48" s="21" t="n">
        <f aca="false">IFERROR(E48/(Baseline!I48*(1+Assumptions!$F$13)*IFERROR(MAX(0,E48)/'History Y-1'!Q48,1)^Assumptions!$F$15),0)</f>
        <v>91911.2491800151</v>
      </c>
      <c r="G48" s="20" t="n">
        <f aca="false">IF('Media Plan'!P48&lt;&gt;"",'Media Plan'!P48,Assumptions!$D$12*Baseline!V48)</f>
        <v>7029.56095460577</v>
      </c>
      <c r="H48" s="21" t="n">
        <f aca="false">IFERROR(G48/(Baseline!J48*(1+Assumptions!$F$13)*IFERROR(MAX(0,G48)/'History Y-1'!R48,1)^Assumptions!$F$16),0)</f>
        <v>26712.024804458</v>
      </c>
      <c r="I48" s="21" t="n">
        <f aca="false">'History Y-1'!$F$58*(1+Assumptions!$F$6)*Baseline!Q48+'History Y-1'!$G$58*(1+Assumptions!$F$7)*Baseline!R48+J48</f>
        <v>379731.455174328</v>
      </c>
      <c r="J48" s="21" t="n">
        <f aca="false">'History Y-1'!$H$58*(1+Assumptions!$F$8)*Baseline!S48</f>
        <v>41028.3119356744</v>
      </c>
      <c r="K48" s="55" t="n">
        <f aca="false">D48+F48+H48+I48</f>
        <v>648729.762201564</v>
      </c>
      <c r="L48" s="21" t="n">
        <f aca="false">K48*Baseline!B48*(1+Assumptions!$F$18)*(1+Calendar!G48)</f>
        <v>18843.8610562806</v>
      </c>
      <c r="M48" s="20" t="n">
        <f aca="false">L48*Baseline!C48*(1+Assumptions!$F$19)</f>
        <v>1336552.72944414</v>
      </c>
      <c r="N48" s="31" t="n">
        <f aca="false">MAX(0,MIN(0.9,Baseline!E48+Assumptions!$F$20))</f>
        <v>0.268301186391011</v>
      </c>
      <c r="O48" s="31" t="n">
        <f aca="false">MAX(0,Baseline!F48+Assumptions!$F$21)</f>
        <v>0.290522466840211</v>
      </c>
      <c r="P48" s="49" t="n">
        <f aca="false">M48*O48</f>
        <v>388298.596020128</v>
      </c>
      <c r="Q48" s="49" t="n">
        <f aca="false">M48-P48</f>
        <v>948254.133424009</v>
      </c>
      <c r="R48" s="21" t="n">
        <f aca="false">L48*Baseline!D48</f>
        <v>35382.0734088971</v>
      </c>
      <c r="S48" s="21" t="n">
        <f aca="false">IFERROR(P48/(Baseline!C48*(1+Assumptions!$F$19)),0)</f>
        <v>5474.56499886483</v>
      </c>
      <c r="T48" s="20" t="n">
        <f aca="false">Q48/(1-N48)*(1-Assumptions!$F$23)</f>
        <v>492465.703099641</v>
      </c>
      <c r="U48" s="20" t="n">
        <f aca="false">P48/(1-N48)*(1-Assumptions!$F$23)*Assumptions!$F$24</f>
        <v>14116.1123429879</v>
      </c>
      <c r="V48" s="49" t="n">
        <f aca="false">Q48-T48-U48</f>
        <v>441672.317981381</v>
      </c>
      <c r="W48" s="20" t="n">
        <f aca="false">T48*Assumptions!$F$25+L48*(Assumptions!$F$27-Assumptions!$F$28+Assumptions!$F$29+Assumptions!$F$36*Assumptions!$F$37)+R48*Assumptions!$F$30+S48*(Assumptions!$F$31+Assumptions!$F$32)+M48*(Assumptions!$F$33+Assumptions!$F$38)+IFERROR(M48*J48/K48,0)*Assumptions!$F$35*Assumptions!$F$34</f>
        <v>188211.517373967</v>
      </c>
      <c r="X48" s="49" t="n">
        <f aca="false">V48-W48</f>
        <v>253460.800607414</v>
      </c>
      <c r="Y48" s="49" t="n">
        <f aca="false">C48+E48+G48</f>
        <v>112988.037558716</v>
      </c>
      <c r="Z48" s="49" t="n">
        <f aca="false">X48-Y48</f>
        <v>140472.763048697</v>
      </c>
      <c r="AA48" s="20" t="n">
        <f aca="false">'Fixed Costs'!$G$31/52</f>
        <v>25332.6923076923</v>
      </c>
      <c r="AB48" s="49" t="n">
        <f aca="false">Z48-AA48</f>
        <v>115140.070741005</v>
      </c>
      <c r="AC48" s="21" t="n">
        <f aca="false">L48*Baseline!G48</f>
        <v>8399.92434527032</v>
      </c>
    </row>
    <row r="49" customFormat="false" ht="15" hidden="false" customHeight="false" outlineLevel="0" collapsed="false">
      <c r="A49" s="13" t="n">
        <v>44</v>
      </c>
      <c r="B49" s="14" t="str">
        <f aca="false">Calendar!D49</f>
        <v>P11</v>
      </c>
      <c r="C49" s="20" t="n">
        <f aca="false">IF('Media Plan'!D49&lt;&gt;"",'Media Plan'!D49,Assumptions!$D$10*Baseline!T49)</f>
        <v>55998.3798651501</v>
      </c>
      <c r="D49" s="21" t="n">
        <f aca="false">IFERROR(C49/(Baseline!H49*(1+Assumptions!$F$13)*IFERROR(MAX(0,C49)/'History Y-1'!P49,1)^Assumptions!$F$14),0)</f>
        <v>115972.558227835</v>
      </c>
      <c r="E49" s="20" t="n">
        <f aca="false">IF('Media Plan'!J49&lt;&gt;"",'Media Plan'!J49,Assumptions!$D$11*Baseline!U49)</f>
        <v>27515.5658490798</v>
      </c>
      <c r="F49" s="21" t="n">
        <f aca="false">IFERROR(E49/(Baseline!I49*(1+Assumptions!$F$13)*IFERROR(MAX(0,E49)/'History Y-1'!Q49,1)^Assumptions!$F$15),0)</f>
        <v>71737.9558269892</v>
      </c>
      <c r="G49" s="20" t="n">
        <f aca="false">IF('Media Plan'!P49&lt;&gt;"",'Media Plan'!P49,Assumptions!$D$12*Baseline!V49)</f>
        <v>5600.22521754638</v>
      </c>
      <c r="H49" s="21" t="n">
        <f aca="false">IFERROR(G49/(Baseline!J49*(1+Assumptions!$F$13)*IFERROR(MAX(0,G49)/'History Y-1'!R49,1)^Assumptions!$F$16),0)</f>
        <v>21610.7847938789</v>
      </c>
      <c r="I49" s="21" t="n">
        <f aca="false">'History Y-1'!$F$58*(1+Assumptions!$F$6)*Baseline!Q49+'History Y-1'!$G$58*(1+Assumptions!$F$7)*Baseline!R49+J49</f>
        <v>301771.990079151</v>
      </c>
      <c r="J49" s="21" t="n">
        <f aca="false">'History Y-1'!$H$58*(1+Assumptions!$F$8)*Baseline!S49</f>
        <v>31872.6245343611</v>
      </c>
      <c r="K49" s="55" t="n">
        <f aca="false">D49+F49+H49+I49</f>
        <v>511093.288927855</v>
      </c>
      <c r="L49" s="21" t="n">
        <f aca="false">K49*Baseline!B49*(1+Assumptions!$F$18)*(1+Calendar!G49)</f>
        <v>13121.947982449</v>
      </c>
      <c r="M49" s="20" t="n">
        <f aca="false">L49*Baseline!C49*(1+Assumptions!$F$19)</f>
        <v>970487.805657931</v>
      </c>
      <c r="N49" s="31" t="n">
        <f aca="false">MAX(0,MIN(0.9,Baseline!E49+Assumptions!$F$20))</f>
        <v>0.243130144135904</v>
      </c>
      <c r="O49" s="31" t="n">
        <f aca="false">MAX(0,Baseline!F49+Assumptions!$F$21)</f>
        <v>0.301575752943282</v>
      </c>
      <c r="P49" s="49" t="n">
        <f aca="false">M49*O49</f>
        <v>292675.590713565</v>
      </c>
      <c r="Q49" s="49" t="n">
        <f aca="false">M49-P49</f>
        <v>677812.214944367</v>
      </c>
      <c r="R49" s="21" t="n">
        <f aca="false">L49*Baseline!D49</f>
        <v>24413.4189718579</v>
      </c>
      <c r="S49" s="21" t="n">
        <f aca="false">IFERROR(P49/(Baseline!C49*(1+Assumptions!$F$19)),0)</f>
        <v>3957.26134288965</v>
      </c>
      <c r="T49" s="20" t="n">
        <f aca="false">Q49/(1-N49)*(1-Assumptions!$F$23)</f>
        <v>340307.702418404</v>
      </c>
      <c r="U49" s="20" t="n">
        <f aca="false">P49/(1-N49)*(1-Assumptions!$F$23)*Assumptions!$F$24</f>
        <v>10286.0097448229</v>
      </c>
      <c r="V49" s="49" t="n">
        <f aca="false">Q49-T49-U49</f>
        <v>327218.50278114</v>
      </c>
      <c r="W49" s="20" t="n">
        <f aca="false">T49*Assumptions!$F$25+L49*(Assumptions!$F$27-Assumptions!$F$28+Assumptions!$F$29+Assumptions!$F$36*Assumptions!$F$37)+R49*Assumptions!$F$30+S49*(Assumptions!$F$31+Assumptions!$F$32)+M49*(Assumptions!$F$33+Assumptions!$F$38)+IFERROR(M49*J49/K49,0)*Assumptions!$F$35*Assumptions!$F$34</f>
        <v>132379.475226253</v>
      </c>
      <c r="X49" s="49" t="n">
        <f aca="false">V49-W49</f>
        <v>194839.027554887</v>
      </c>
      <c r="Y49" s="49" t="n">
        <f aca="false">C49+E49+G49</f>
        <v>89114.1709317762</v>
      </c>
      <c r="Z49" s="49" t="n">
        <f aca="false">X49-Y49</f>
        <v>105724.856623111</v>
      </c>
      <c r="AA49" s="20" t="n">
        <f aca="false">'Fixed Costs'!$G$31/52</f>
        <v>25332.6923076923</v>
      </c>
      <c r="AB49" s="49" t="n">
        <f aca="false">Z49-AA49</f>
        <v>80392.1643154184</v>
      </c>
      <c r="AC49" s="21" t="n">
        <f aca="false">L49*Baseline!G49</f>
        <v>5816.93344728947</v>
      </c>
    </row>
    <row r="50" customFormat="false" ht="15" hidden="false" customHeight="false" outlineLevel="0" collapsed="false">
      <c r="A50" s="13" t="n">
        <v>45</v>
      </c>
      <c r="B50" s="14" t="str">
        <f aca="false">Calendar!D50</f>
        <v>P11</v>
      </c>
      <c r="C50" s="20" t="n">
        <f aca="false">IF('Media Plan'!D50&lt;&gt;"",'Media Plan'!D50,Assumptions!$D$10*Baseline!T50)</f>
        <v>50141.3289259867</v>
      </c>
      <c r="D50" s="21" t="n">
        <f aca="false">IFERROR(C50/(Baseline!H50*(1+Assumptions!$F$13)*IFERROR(MAX(0,C50)/'History Y-1'!P50,1)^Assumptions!$F$14),0)</f>
        <v>101525.402641602</v>
      </c>
      <c r="E50" s="20" t="n">
        <f aca="false">IF('Media Plan'!J50&lt;&gt;"",'Media Plan'!J50,Assumptions!$D$11*Baseline!U50)</f>
        <v>24919.1919976388</v>
      </c>
      <c r="F50" s="21" t="n">
        <f aca="false">IFERROR(E50/(Baseline!I50*(1+Assumptions!$F$13)*IFERROR(MAX(0,E50)/'History Y-1'!Q50,1)^Assumptions!$F$15),0)</f>
        <v>63716.555527343</v>
      </c>
      <c r="G50" s="20" t="n">
        <f aca="false">IF('Media Plan'!P50&lt;&gt;"",'Media Plan'!P50,Assumptions!$D$12*Baseline!V50)</f>
        <v>5354.57899800059</v>
      </c>
      <c r="H50" s="21" t="n">
        <f aca="false">IFERROR(G50/(Baseline!J50*(1+Assumptions!$F$13)*IFERROR(MAX(0,G50)/'History Y-1'!R50,1)^Assumptions!$F$16),0)</f>
        <v>20249.5957048204</v>
      </c>
      <c r="I50" s="21" t="n">
        <f aca="false">'History Y-1'!$F$58*(1+Assumptions!$F$6)*Baseline!Q50+'History Y-1'!$G$58*(1+Assumptions!$F$7)*Baseline!R50+J50</f>
        <v>235934.269774397</v>
      </c>
      <c r="J50" s="21" t="n">
        <f aca="false">'History Y-1'!$H$58*(1+Assumptions!$F$8)*Baseline!S50</f>
        <v>27379.4730936967</v>
      </c>
      <c r="K50" s="55" t="n">
        <f aca="false">D50+F50+H50+I50</f>
        <v>421425.823648162</v>
      </c>
      <c r="L50" s="21" t="n">
        <f aca="false">K50*Baseline!B50*(1+Assumptions!$F$18)*(1+Calendar!G50)</f>
        <v>9721.27097943609</v>
      </c>
      <c r="M50" s="20" t="n">
        <f aca="false">L50*Baseline!C50*(1+Assumptions!$F$19)</f>
        <v>804973.366493703</v>
      </c>
      <c r="N50" s="31" t="n">
        <f aca="false">MAX(0,MIN(0.9,Baseline!E50+Assumptions!$F$20))</f>
        <v>0.0989039231763998</v>
      </c>
      <c r="O50" s="31" t="n">
        <f aca="false">MAX(0,Baseline!F50+Assumptions!$F$21)</f>
        <v>0.287685002220714</v>
      </c>
      <c r="P50" s="49" t="n">
        <f aca="false">M50*O50</f>
        <v>231578.764727357</v>
      </c>
      <c r="Q50" s="49" t="n">
        <f aca="false">M50-P50</f>
        <v>573394.601766346</v>
      </c>
      <c r="R50" s="21" t="n">
        <f aca="false">L50*Baseline!D50</f>
        <v>18257.0896529824</v>
      </c>
      <c r="S50" s="21" t="n">
        <f aca="false">IFERROR(P50/(Baseline!C50*(1+Assumptions!$F$19)),0)</f>
        <v>2796.66386330724</v>
      </c>
      <c r="T50" s="20" t="n">
        <f aca="false">Q50/(1-N50)*(1-Assumptions!$F$23)</f>
        <v>241805.457015507</v>
      </c>
      <c r="U50" s="20" t="n">
        <f aca="false">P50/(1-N50)*(1-Assumptions!$F$23)*Assumptions!$F$24</f>
        <v>6836.11359563557</v>
      </c>
      <c r="V50" s="49" t="n">
        <f aca="false">Q50-T50-U50</f>
        <v>324753.031155203</v>
      </c>
      <c r="W50" s="20" t="n">
        <f aca="false">T50*Assumptions!$F$25+L50*(Assumptions!$F$27-Assumptions!$F$28+Assumptions!$F$29+Assumptions!$F$36*Assumptions!$F$37)+R50*Assumptions!$F$30+S50*(Assumptions!$F$31+Assumptions!$F$32)+M50*(Assumptions!$F$33+Assumptions!$F$38)+IFERROR(M50*J50/K50,0)*Assumptions!$F$35*Assumptions!$F$34</f>
        <v>99485.5868541444</v>
      </c>
      <c r="X50" s="49" t="n">
        <f aca="false">V50-W50</f>
        <v>225267.444301059</v>
      </c>
      <c r="Y50" s="49" t="n">
        <f aca="false">C50+E50+G50</f>
        <v>80415.0999216261</v>
      </c>
      <c r="Z50" s="49" t="n">
        <f aca="false">X50-Y50</f>
        <v>144852.344379433</v>
      </c>
      <c r="AA50" s="20" t="n">
        <f aca="false">'Fixed Costs'!$G$31/52</f>
        <v>25332.6923076923</v>
      </c>
      <c r="AB50" s="49" t="n">
        <f aca="false">Z50-AA50</f>
        <v>119519.65207174</v>
      </c>
      <c r="AC50" s="21" t="n">
        <f aca="false">L50*Baseline!G50</f>
        <v>3475.63624588359</v>
      </c>
    </row>
    <row r="51" customFormat="false" ht="15" hidden="false" customHeight="false" outlineLevel="0" collapsed="false">
      <c r="A51" s="13" t="n">
        <v>46</v>
      </c>
      <c r="B51" s="14" t="str">
        <f aca="false">Calendar!D51</f>
        <v>P11</v>
      </c>
      <c r="C51" s="20" t="n">
        <f aca="false">IF('Media Plan'!D51&lt;&gt;"",'Media Plan'!D51,Assumptions!$D$10*Baseline!T51)</f>
        <v>45741.8037612385</v>
      </c>
      <c r="D51" s="21" t="n">
        <f aca="false">IFERROR(C51/(Baseline!H51*(1+Assumptions!$F$13)*IFERROR(MAX(0,C51)/'History Y-1'!P51,1)^Assumptions!$F$14),0)</f>
        <v>90566.2103266287</v>
      </c>
      <c r="E51" s="20" t="n">
        <f aca="false">IF('Media Plan'!J51&lt;&gt;"",'Media Plan'!J51,Assumptions!$D$11*Baseline!U51)</f>
        <v>21935.0324977582</v>
      </c>
      <c r="F51" s="21" t="n">
        <f aca="false">IFERROR(E51/(Baseline!I51*(1+Assumptions!$F$13)*IFERROR(MAX(0,E51)/'History Y-1'!Q51,1)^Assumptions!$F$15),0)</f>
        <v>56763.3208843136</v>
      </c>
      <c r="G51" s="20" t="n">
        <f aca="false">IF('Media Plan'!P51&lt;&gt;"",'Media Plan'!P51,Assumptions!$D$12*Baseline!V51)</f>
        <v>4919.76418930878</v>
      </c>
      <c r="H51" s="21" t="n">
        <f aca="false">IFERROR(G51/(Baseline!J51*(1+Assumptions!$F$13)*IFERROR(MAX(0,G51)/'History Y-1'!R51,1)^Assumptions!$F$16),0)</f>
        <v>18073.9010985979</v>
      </c>
      <c r="I51" s="21" t="n">
        <f aca="false">'History Y-1'!$F$58*(1+Assumptions!$F$6)*Baseline!Q51+'History Y-1'!$G$58*(1+Assumptions!$F$7)*Baseline!R51+J51</f>
        <v>221453.539622157</v>
      </c>
      <c r="J51" s="21" t="n">
        <f aca="false">'History Y-1'!$H$58*(1+Assumptions!$F$8)*Baseline!S51</f>
        <v>25251.8093469679</v>
      </c>
      <c r="K51" s="55" t="n">
        <f aca="false">D51+F51+H51+I51</f>
        <v>386856.971931697</v>
      </c>
      <c r="L51" s="21" t="n">
        <f aca="false">K51*Baseline!B51*(1+Assumptions!$F$18)*(1+Calendar!G51)</f>
        <v>8696.65112160417</v>
      </c>
      <c r="M51" s="20" t="n">
        <f aca="false">L51*Baseline!C51*(1+Assumptions!$F$19)</f>
        <v>724901.022328743</v>
      </c>
      <c r="N51" s="31" t="n">
        <f aca="false">MAX(0,MIN(0.9,Baseline!E51+Assumptions!$F$20))</f>
        <v>0.0959866593203023</v>
      </c>
      <c r="O51" s="31" t="n">
        <f aca="false">MAX(0,Baseline!F51+Assumptions!$F$21)</f>
        <v>0.294624781033422</v>
      </c>
      <c r="P51" s="49" t="n">
        <f aca="false">M51*O51</f>
        <v>213573.804974509</v>
      </c>
      <c r="Q51" s="49" t="n">
        <f aca="false">M51-P51</f>
        <v>511327.217354233</v>
      </c>
      <c r="R51" s="21" t="n">
        <f aca="false">L51*Baseline!D51</f>
        <v>16742.8713456078</v>
      </c>
      <c r="S51" s="21" t="n">
        <f aca="false">IFERROR(P51/(Baseline!C51*(1+Assumptions!$F$19)),0)</f>
        <v>2562.24893242669</v>
      </c>
      <c r="T51" s="20" t="n">
        <f aca="false">Q51/(1-N51)*(1-Assumptions!$F$23)</f>
        <v>214935.260190428</v>
      </c>
      <c r="U51" s="20" t="n">
        <f aca="false">P51/(1-N51)*(1-Assumptions!$F$23)*Assumptions!$F$24</f>
        <v>6284.26922112736</v>
      </c>
      <c r="V51" s="49" t="n">
        <f aca="false">Q51-T51-U51</f>
        <v>290107.687942678</v>
      </c>
      <c r="W51" s="20" t="n">
        <f aca="false">T51*Assumptions!$F$25+L51*(Assumptions!$F$27-Assumptions!$F$28+Assumptions!$F$29+Assumptions!$F$36*Assumptions!$F$37)+R51*Assumptions!$F$30+S51*(Assumptions!$F$31+Assumptions!$F$32)+M51*(Assumptions!$F$33+Assumptions!$F$38)+IFERROR(M51*J51/K51,0)*Assumptions!$F$35*Assumptions!$F$34</f>
        <v>89756.2909675735</v>
      </c>
      <c r="X51" s="49" t="n">
        <f aca="false">V51-W51</f>
        <v>200351.396975105</v>
      </c>
      <c r="Y51" s="49" t="n">
        <f aca="false">C51+E51+G51</f>
        <v>72596.6004483055</v>
      </c>
      <c r="Z51" s="49" t="n">
        <f aca="false">X51-Y51</f>
        <v>127754.796526799</v>
      </c>
      <c r="AA51" s="20" t="n">
        <f aca="false">'Fixed Costs'!$G$31/52</f>
        <v>25332.6923076923</v>
      </c>
      <c r="AB51" s="49" t="n">
        <f aca="false">Z51-AA51</f>
        <v>102422.104219107</v>
      </c>
      <c r="AC51" s="21" t="n">
        <f aca="false">L51*Baseline!G51</f>
        <v>3073.48050250686</v>
      </c>
    </row>
    <row r="52" customFormat="false" ht="15" hidden="false" customHeight="false" outlineLevel="0" collapsed="false">
      <c r="A52" s="13" t="n">
        <v>47</v>
      </c>
      <c r="B52" s="14" t="str">
        <f aca="false">Calendar!D52</f>
        <v>P11</v>
      </c>
      <c r="C52" s="20" t="n">
        <f aca="false">IF('Media Plan'!D52&lt;&gt;"",'Media Plan'!D52,Assumptions!$D$10*Baseline!T52)</f>
        <v>35146.8781104862</v>
      </c>
      <c r="D52" s="21" t="n">
        <f aca="false">IFERROR(C52/(Baseline!H52*(1+Assumptions!$F$13)*IFERROR(MAX(0,C52)/'History Y-1'!P52,1)^Assumptions!$F$14),0)</f>
        <v>68529.8843965778</v>
      </c>
      <c r="E52" s="20" t="n">
        <f aca="false">IF('Media Plan'!J52&lt;&gt;"",'Media Plan'!J52,Assumptions!$D$11*Baseline!U52)</f>
        <v>16264.4602062939</v>
      </c>
      <c r="F52" s="21" t="n">
        <f aca="false">IFERROR(E52/(Baseline!I52*(1+Assumptions!$F$13)*IFERROR(MAX(0,E52)/'History Y-1'!Q52,1)^Assumptions!$F$15),0)</f>
        <v>42630.0618178354</v>
      </c>
      <c r="G52" s="20" t="n">
        <f aca="false">IF('Media Plan'!P52&lt;&gt;"",'Media Plan'!P52,Assumptions!$D$12*Baseline!V52)</f>
        <v>3475.81291816324</v>
      </c>
      <c r="H52" s="21" t="n">
        <f aca="false">IFERROR(G52/(Baseline!J52*(1+Assumptions!$F$13)*IFERROR(MAX(0,G52)/'History Y-1'!R52,1)^Assumptions!$F$16),0)</f>
        <v>12783.2927707697</v>
      </c>
      <c r="I52" s="21" t="n">
        <f aca="false">'History Y-1'!$F$58*(1+Assumptions!$F$6)*Baseline!Q52+'History Y-1'!$G$58*(1+Assumptions!$F$7)*Baseline!R52+J52</f>
        <v>160259.775045139</v>
      </c>
      <c r="J52" s="21" t="n">
        <f aca="false">'History Y-1'!$H$58*(1+Assumptions!$F$8)*Baseline!S52</f>
        <v>18929.4439481665</v>
      </c>
      <c r="K52" s="55" t="n">
        <f aca="false">D52+F52+H52+I52</f>
        <v>284203.014030322</v>
      </c>
      <c r="L52" s="21" t="n">
        <f aca="false">K52*Baseline!B52*(1+Assumptions!$F$18)*(1+Calendar!G52)</f>
        <v>5948.82902762829</v>
      </c>
      <c r="M52" s="20" t="n">
        <f aca="false">L52*Baseline!C52*(1+Assumptions!$F$19)</f>
        <v>453659.51261331</v>
      </c>
      <c r="N52" s="31" t="n">
        <f aca="false">MAX(0,MIN(0.9,Baseline!E52+Assumptions!$F$20))</f>
        <v>0.101108364871388</v>
      </c>
      <c r="O52" s="31" t="n">
        <f aca="false">MAX(0,Baseline!F52+Assumptions!$F$21)</f>
        <v>0.277480139495037</v>
      </c>
      <c r="P52" s="49" t="n">
        <f aca="false">M52*O52</f>
        <v>125881.504843192</v>
      </c>
      <c r="Q52" s="49" t="n">
        <f aca="false">M52-P52</f>
        <v>327778.007770118</v>
      </c>
      <c r="R52" s="21" t="n">
        <f aca="false">L52*Baseline!D52</f>
        <v>11507.4816293397</v>
      </c>
      <c r="S52" s="21" t="n">
        <f aca="false">IFERROR(P52/(Baseline!C52*(1+Assumptions!$F$19)),0)</f>
        <v>1650.68190841842</v>
      </c>
      <c r="T52" s="20" t="n">
        <f aca="false">Q52/(1-N52)*(1-Assumptions!$F$23)</f>
        <v>138565.804914653</v>
      </c>
      <c r="U52" s="20" t="n">
        <f aca="false">P52/(1-N52)*(1-Assumptions!$F$23)*Assumptions!$F$24</f>
        <v>3725.08531392642</v>
      </c>
      <c r="V52" s="49" t="n">
        <f aca="false">Q52-T52-U52</f>
        <v>185487.117541539</v>
      </c>
      <c r="W52" s="20" t="n">
        <f aca="false">T52*Assumptions!$F$25+L52*(Assumptions!$F$27-Assumptions!$F$28+Assumptions!$F$29+Assumptions!$F$36*Assumptions!$F$37)+R52*Assumptions!$F$30+S52*(Assumptions!$F$31+Assumptions!$F$32)+M52*(Assumptions!$F$33+Assumptions!$F$38)+IFERROR(M52*J52/K52,0)*Assumptions!$F$35*Assumptions!$F$34</f>
        <v>59718.5385596638</v>
      </c>
      <c r="X52" s="49" t="n">
        <f aca="false">V52-W52</f>
        <v>125768.578981875</v>
      </c>
      <c r="Y52" s="49" t="n">
        <f aca="false">C52+E52+G52</f>
        <v>54887.1512349433</v>
      </c>
      <c r="Z52" s="49" t="n">
        <f aca="false">X52-Y52</f>
        <v>70881.4277469316</v>
      </c>
      <c r="AA52" s="20" t="n">
        <f aca="false">'Fixed Costs'!$G$31/52</f>
        <v>25332.6923076923</v>
      </c>
      <c r="AB52" s="49" t="n">
        <f aca="false">Z52-AA52</f>
        <v>45548.7354392393</v>
      </c>
      <c r="AC52" s="21" t="n">
        <f aca="false">L52*Baseline!G52</f>
        <v>2070.99371637105</v>
      </c>
    </row>
    <row r="53" customFormat="false" ht="15" hidden="false" customHeight="false" outlineLevel="0" collapsed="false">
      <c r="A53" s="13" t="n">
        <v>48</v>
      </c>
      <c r="B53" s="14" t="str">
        <f aca="false">Calendar!D53</f>
        <v>P12</v>
      </c>
      <c r="C53" s="20" t="n">
        <f aca="false">IF('Media Plan'!D53&lt;&gt;"",'Media Plan'!D53,Assumptions!$D$10*Baseline!T53)</f>
        <v>55587.0226107334</v>
      </c>
      <c r="D53" s="21" t="n">
        <f aca="false">IFERROR(C53/(Baseline!H53*(1+Assumptions!$F$13)*IFERROR(MAX(0,C53)/'History Y-1'!P53,1)^Assumptions!$F$14),0)</f>
        <v>112357.397764335</v>
      </c>
      <c r="E53" s="20" t="n">
        <f aca="false">IF('Media Plan'!J53&lt;&gt;"",'Media Plan'!J53,Assumptions!$D$11*Baseline!U53)</f>
        <v>28266.8210219304</v>
      </c>
      <c r="F53" s="21" t="n">
        <f aca="false">IFERROR(E53/(Baseline!I53*(1+Assumptions!$F$13)*IFERROR(MAX(0,E53)/'History Y-1'!Q53,1)^Assumptions!$F$15),0)</f>
        <v>70395.8605000188</v>
      </c>
      <c r="G53" s="20" t="n">
        <f aca="false">IF('Media Plan'!P53&lt;&gt;"",'Media Plan'!P53,Assumptions!$D$12*Baseline!V53)</f>
        <v>5887.67292578874</v>
      </c>
      <c r="H53" s="21" t="n">
        <f aca="false">IFERROR(G53/(Baseline!J53*(1+Assumptions!$F$13)*IFERROR(MAX(0,G53)/'History Y-1'!R53,1)^Assumptions!$F$16),0)</f>
        <v>22092.6783322001</v>
      </c>
      <c r="I53" s="21" t="n">
        <f aca="false">'History Y-1'!$F$58*(1+Assumptions!$F$6)*Baseline!Q53+'History Y-1'!$G$58*(1+Assumptions!$F$7)*Baseline!R53+J53</f>
        <v>304752.900135348</v>
      </c>
      <c r="J53" s="21" t="n">
        <f aca="false">'History Y-1'!$H$58*(1+Assumptions!$F$8)*Baseline!S53</f>
        <v>31155.1680187748</v>
      </c>
      <c r="K53" s="55" t="n">
        <f aca="false">D53+F53+H53+I53</f>
        <v>509598.836731902</v>
      </c>
      <c r="L53" s="21" t="n">
        <f aca="false">K53*Baseline!B53*(1+Assumptions!$F$18)*(1+Calendar!G53)</f>
        <v>13696.4117308522</v>
      </c>
      <c r="M53" s="20" t="n">
        <f aca="false">L53*Baseline!C53*(1+Assumptions!$F$19)</f>
        <v>915211.086197013</v>
      </c>
      <c r="N53" s="31" t="n">
        <f aca="false">MAX(0,MIN(0.9,Baseline!E53+Assumptions!$F$20))</f>
        <v>0.34955226829625</v>
      </c>
      <c r="O53" s="31" t="n">
        <f aca="false">MAX(0,Baseline!F53+Assumptions!$F$21)</f>
        <v>0.257630062021765</v>
      </c>
      <c r="P53" s="49" t="n">
        <f aca="false">M53*O53</f>
        <v>235785.888899943</v>
      </c>
      <c r="Q53" s="49" t="n">
        <f aca="false">M53-P53</f>
        <v>679425.197297069</v>
      </c>
      <c r="R53" s="21" t="n">
        <f aca="false">L53*Baseline!D53</f>
        <v>25599.5334322974</v>
      </c>
      <c r="S53" s="21" t="n">
        <f aca="false">IFERROR(P53/(Baseline!C53*(1+Assumptions!$F$19)),0)</f>
        <v>3528.60740369507</v>
      </c>
      <c r="T53" s="20" t="n">
        <f aca="false">Q53/(1-N53)*(1-Assumptions!$F$23)</f>
        <v>396929.011185293</v>
      </c>
      <c r="U53" s="20" t="n">
        <f aca="false">P53/(1-N53)*(1-Assumptions!$F$23)*Assumptions!$F$24</f>
        <v>9642.44218103456</v>
      </c>
      <c r="V53" s="49" t="n">
        <f aca="false">Q53-T53-U53</f>
        <v>272853.743930742</v>
      </c>
      <c r="W53" s="20" t="n">
        <f aca="false">T53*Assumptions!$F$25+L53*(Assumptions!$F$27-Assumptions!$F$28+Assumptions!$F$29+Assumptions!$F$36*Assumptions!$F$37)+R53*Assumptions!$F$30+S53*(Assumptions!$F$31+Assumptions!$F$32)+M53*(Assumptions!$F$33+Assumptions!$F$38)+IFERROR(M53*J53/K53,0)*Assumptions!$F$35*Assumptions!$F$34</f>
        <v>134147.941886803</v>
      </c>
      <c r="X53" s="49" t="n">
        <f aca="false">V53-W53</f>
        <v>138705.802043939</v>
      </c>
      <c r="Y53" s="49" t="n">
        <f aca="false">C53+E53+G53</f>
        <v>89741.5165584526</v>
      </c>
      <c r="Z53" s="49" t="n">
        <f aca="false">X53-Y53</f>
        <v>48964.2854854866</v>
      </c>
      <c r="AA53" s="20" t="n">
        <f aca="false">'Fixed Costs'!$G$31/52</f>
        <v>25332.6923076923</v>
      </c>
      <c r="AB53" s="49" t="n">
        <f aca="false">Z53-AA53</f>
        <v>23631.5931777943</v>
      </c>
      <c r="AC53" s="21" t="n">
        <f aca="false">L53*Baseline!G53</f>
        <v>6024.21492082721</v>
      </c>
    </row>
    <row r="54" customFormat="false" ht="15" hidden="false" customHeight="false" outlineLevel="0" collapsed="false">
      <c r="A54" s="13" t="n">
        <v>49</v>
      </c>
      <c r="B54" s="14" t="str">
        <f aca="false">Calendar!D54</f>
        <v>P12</v>
      </c>
      <c r="C54" s="20" t="n">
        <f aca="false">IF('Media Plan'!D54&lt;&gt;"",'Media Plan'!D54,Assumptions!$D$10*Baseline!T54)</f>
        <v>44874.6021357982</v>
      </c>
      <c r="D54" s="21" t="n">
        <f aca="false">IFERROR(C54/(Baseline!H54*(1+Assumptions!$F$13)*IFERROR(MAX(0,C54)/'History Y-1'!P54,1)^Assumptions!$F$14),0)</f>
        <v>92133.4343080493</v>
      </c>
      <c r="E54" s="20" t="n">
        <f aca="false">IF('Media Plan'!J54&lt;&gt;"",'Media Plan'!J54,Assumptions!$D$11*Baseline!U54)</f>
        <v>23779.6609845094</v>
      </c>
      <c r="F54" s="21" t="n">
        <f aca="false">IFERROR(E54/(Baseline!I54*(1+Assumptions!$F$13)*IFERROR(MAX(0,E54)/'History Y-1'!Q54,1)^Assumptions!$F$15),0)</f>
        <v>61513.085518203</v>
      </c>
      <c r="G54" s="20" t="n">
        <f aca="false">IF('Media Plan'!P54&lt;&gt;"",'Media Plan'!P54,Assumptions!$D$12*Baseline!V54)</f>
        <v>4758.0795458981</v>
      </c>
      <c r="H54" s="21" t="n">
        <f aca="false">IFERROR(G54/(Baseline!J54*(1+Assumptions!$F$13)*IFERROR(MAX(0,G54)/'History Y-1'!R54,1)^Assumptions!$F$16),0)</f>
        <v>17436.4211714899</v>
      </c>
      <c r="I54" s="21" t="n">
        <f aca="false">'History Y-1'!$F$58*(1+Assumptions!$F$6)*Baseline!Q54+'History Y-1'!$G$58*(1+Assumptions!$F$7)*Baseline!R54+J54</f>
        <v>258162.544775441</v>
      </c>
      <c r="J54" s="21" t="n">
        <f aca="false">'History Y-1'!$H$58*(1+Assumptions!$F$8)*Baseline!S54</f>
        <v>25755.5347741825</v>
      </c>
      <c r="K54" s="55" t="n">
        <f aca="false">D54+F54+H54+I54</f>
        <v>429245.485773183</v>
      </c>
      <c r="L54" s="21" t="n">
        <f aca="false">K54*Baseline!B54*(1+Assumptions!$F$18)*(1+Calendar!G54)</f>
        <v>10628.1281099313</v>
      </c>
      <c r="M54" s="20" t="n">
        <f aca="false">L54*Baseline!C54*(1+Assumptions!$F$19)</f>
        <v>703802.395208192</v>
      </c>
      <c r="N54" s="31" t="n">
        <f aca="false">MAX(0,MIN(0.9,Baseline!E54+Assumptions!$F$20))</f>
        <v>0.335418319657578</v>
      </c>
      <c r="O54" s="31" t="n">
        <f aca="false">MAX(0,Baseline!F54+Assumptions!$F$21)</f>
        <v>0.250779204030486</v>
      </c>
      <c r="P54" s="49" t="n">
        <f aca="false">M54*O54</f>
        <v>176499.00446506</v>
      </c>
      <c r="Q54" s="49" t="n">
        <f aca="false">M54-P54</f>
        <v>527303.390743132</v>
      </c>
      <c r="R54" s="21" t="n">
        <f aca="false">L54*Baseline!D54</f>
        <v>20200.9194541817</v>
      </c>
      <c r="S54" s="21" t="n">
        <f aca="false">IFERROR(P54/(Baseline!C54*(1+Assumptions!$F$19)),0)</f>
        <v>2665.3135077426</v>
      </c>
      <c r="T54" s="20" t="n">
        <f aca="false">Q54/(1-N54)*(1-Assumptions!$F$23)</f>
        <v>301505.886197688</v>
      </c>
      <c r="U54" s="20" t="n">
        <f aca="false">P54/(1-N54)*(1-Assumptions!$F$23)*Assumptions!$F$24</f>
        <v>7064.40405692734</v>
      </c>
      <c r="V54" s="49" t="n">
        <f aca="false">Q54-T54-U54</f>
        <v>218733.100488517</v>
      </c>
      <c r="W54" s="20" t="n">
        <f aca="false">T54*Assumptions!$F$25+L54*(Assumptions!$F$27-Assumptions!$F$28+Assumptions!$F$29+Assumptions!$F$36*Assumptions!$F$37)+R54*Assumptions!$F$30+S54*(Assumptions!$F$31+Assumptions!$F$32)+M54*(Assumptions!$F$33+Assumptions!$F$38)+IFERROR(M54*J54/K54,0)*Assumptions!$F$35*Assumptions!$F$34</f>
        <v>103630.356596839</v>
      </c>
      <c r="X54" s="49" t="n">
        <f aca="false">V54-W54</f>
        <v>115102.743891678</v>
      </c>
      <c r="Y54" s="49" t="n">
        <f aca="false">C54+E54+G54</f>
        <v>73412.3426662056</v>
      </c>
      <c r="Z54" s="49" t="n">
        <f aca="false">X54-Y54</f>
        <v>41690.4012254728</v>
      </c>
      <c r="AA54" s="20" t="n">
        <f aca="false">'Fixed Costs'!$G$31/52</f>
        <v>25332.6923076923</v>
      </c>
      <c r="AB54" s="49" t="n">
        <f aca="false">Z54-AA54</f>
        <v>16357.7089177805</v>
      </c>
      <c r="AC54" s="21" t="n">
        <f aca="false">L54*Baseline!G54</f>
        <v>4900.26029407764</v>
      </c>
    </row>
    <row r="55" customFormat="false" ht="15" hidden="false" customHeight="false" outlineLevel="0" collapsed="false">
      <c r="A55" s="13" t="n">
        <v>50</v>
      </c>
      <c r="B55" s="14" t="str">
        <f aca="false">Calendar!D55</f>
        <v>P12</v>
      </c>
      <c r="C55" s="20" t="n">
        <f aca="false">IF('Media Plan'!D55&lt;&gt;"",'Media Plan'!D55,Assumptions!$D$10*Baseline!T55)</f>
        <v>38762.7750228916</v>
      </c>
      <c r="D55" s="21" t="n">
        <f aca="false">IFERROR(C55/(Baseline!H55*(1+Assumptions!$F$13)*IFERROR(MAX(0,C55)/'History Y-1'!P55,1)^Assumptions!$F$14),0)</f>
        <v>79741.5748438294</v>
      </c>
      <c r="E55" s="20" t="n">
        <f aca="false">IF('Media Plan'!J55&lt;&gt;"",'Media Plan'!J55,Assumptions!$D$11*Baseline!U55)</f>
        <v>19563.5976470906</v>
      </c>
      <c r="F55" s="21" t="n">
        <f aca="false">IFERROR(E55/(Baseline!I55*(1+Assumptions!$F$13)*IFERROR(MAX(0,E55)/'History Y-1'!Q55,1)^Assumptions!$F$15),0)</f>
        <v>52080.8558605768</v>
      </c>
      <c r="G55" s="20" t="n">
        <f aca="false">IF('Media Plan'!P55&lt;&gt;"",'Media Plan'!P55,Assumptions!$D$12*Baseline!V55)</f>
        <v>4148.04228733217</v>
      </c>
      <c r="H55" s="21" t="n">
        <f aca="false">IFERROR(G55/(Baseline!J55*(1+Assumptions!$F$13)*IFERROR(MAX(0,G55)/'History Y-1'!R55,1)^Assumptions!$F$16),0)</f>
        <v>15053.5417494212</v>
      </c>
      <c r="I55" s="21" t="n">
        <f aca="false">'History Y-1'!$F$58*(1+Assumptions!$F$6)*Baseline!Q55+'History Y-1'!$G$58*(1+Assumptions!$F$7)*Baseline!R55+J55</f>
        <v>194738.479217964</v>
      </c>
      <c r="J55" s="21" t="n">
        <f aca="false">'History Y-1'!$H$58*(1+Assumptions!$F$8)*Baseline!S55</f>
        <v>22880.0048495343</v>
      </c>
      <c r="K55" s="55" t="n">
        <f aca="false">D55+F55+H55+I55</f>
        <v>341614.451671791</v>
      </c>
      <c r="L55" s="21" t="n">
        <f aca="false">K55*Baseline!B55*(1+Assumptions!$F$18)*(1+Calendar!G55)</f>
        <v>7738.60943743222</v>
      </c>
      <c r="M55" s="20" t="n">
        <f aca="false">L55*Baseline!C55*(1+Assumptions!$F$19)</f>
        <v>523145.968369634</v>
      </c>
      <c r="N55" s="31" t="n">
        <f aca="false">MAX(0,MIN(0.9,Baseline!E55+Assumptions!$F$20))</f>
        <v>0.302384646337648</v>
      </c>
      <c r="O55" s="31" t="n">
        <f aca="false">MAX(0,Baseline!F55+Assumptions!$F$21)</f>
        <v>0.260082040930921</v>
      </c>
      <c r="P55" s="49" t="n">
        <f aca="false">M55*O55</f>
        <v>136060.871158358</v>
      </c>
      <c r="Q55" s="49" t="n">
        <f aca="false">M55-P55</f>
        <v>387085.097211276</v>
      </c>
      <c r="R55" s="21" t="n">
        <f aca="false">L55*Baseline!D55</f>
        <v>14581.0611308517</v>
      </c>
      <c r="S55" s="21" t="n">
        <f aca="false">IFERROR(P55/(Baseline!C55*(1+Assumptions!$F$19)),0)</f>
        <v>2012.67333645466</v>
      </c>
      <c r="T55" s="20" t="n">
        <f aca="false">Q55/(1-N55)*(1-Assumptions!$F$23)</f>
        <v>210850.200139772</v>
      </c>
      <c r="U55" s="20" t="n">
        <f aca="false">P55/(1-N55)*(1-Assumptions!$F$23)*Assumptions!$F$24</f>
        <v>5187.98669469082</v>
      </c>
      <c r="V55" s="49" t="n">
        <f aca="false">Q55-T55-U55</f>
        <v>171046.910376813</v>
      </c>
      <c r="W55" s="20" t="n">
        <f aca="false">T55*Assumptions!$F$25+L55*(Assumptions!$F$27-Assumptions!$F$28+Assumptions!$F$29+Assumptions!$F$36*Assumptions!$F$37)+R55*Assumptions!$F$30+S55*(Assumptions!$F$31+Assumptions!$F$32)+M55*(Assumptions!$F$33+Assumptions!$F$38)+IFERROR(M55*J55/K55,0)*Assumptions!$F$35*Assumptions!$F$34</f>
        <v>75979.4598223792</v>
      </c>
      <c r="X55" s="49" t="n">
        <f aca="false">V55-W55</f>
        <v>95067.4505544341</v>
      </c>
      <c r="Y55" s="49" t="n">
        <f aca="false">C55+E55+G55</f>
        <v>62474.4149573144</v>
      </c>
      <c r="Z55" s="49" t="n">
        <f aca="false">X55-Y55</f>
        <v>32593.0355971197</v>
      </c>
      <c r="AA55" s="20" t="n">
        <f aca="false">'Fixed Costs'!$G$31/52</f>
        <v>25332.6923076923</v>
      </c>
      <c r="AB55" s="49" t="n">
        <f aca="false">Z55-AA55</f>
        <v>7260.34328942737</v>
      </c>
      <c r="AC55" s="21" t="n">
        <f aca="false">L55*Baseline!G55</f>
        <v>3404.96654340316</v>
      </c>
    </row>
    <row r="56" customFormat="false" ht="15" hidden="false" customHeight="false" outlineLevel="0" collapsed="false">
      <c r="A56" s="13" t="n">
        <v>51</v>
      </c>
      <c r="B56" s="14" t="str">
        <f aca="false">Calendar!D56</f>
        <v>P12</v>
      </c>
      <c r="C56" s="20" t="n">
        <f aca="false">IF('Media Plan'!D56&lt;&gt;"",'Media Plan'!D56,Assumptions!$D$10*Baseline!T56)</f>
        <v>32535.3669107572</v>
      </c>
      <c r="D56" s="21" t="n">
        <f aca="false">IFERROR(C56/(Baseline!H56*(1+Assumptions!$F$13)*IFERROR(MAX(0,C56)/'History Y-1'!P56,1)^Assumptions!$F$14),0)</f>
        <v>66314.8068325007</v>
      </c>
      <c r="E56" s="20" t="n">
        <f aca="false">IF('Media Plan'!J56&lt;&gt;"",'Media Plan'!J56,Assumptions!$D$11*Baseline!U56)</f>
        <v>15095.7652449029</v>
      </c>
      <c r="F56" s="21" t="n">
        <f aca="false">IFERROR(E56/(Baseline!I56*(1+Assumptions!$F$13)*IFERROR(MAX(0,E56)/'History Y-1'!Q56,1)^Assumptions!$F$15),0)</f>
        <v>39967.2182820331</v>
      </c>
      <c r="G56" s="20" t="n">
        <f aca="false">IF('Media Plan'!P56&lt;&gt;"",'Media Plan'!P56,Assumptions!$D$12*Baseline!V56)</f>
        <v>3312.5647020816</v>
      </c>
      <c r="H56" s="21" t="n">
        <f aca="false">IFERROR(G56/(Baseline!J56*(1+Assumptions!$F$13)*IFERROR(MAX(0,G56)/'History Y-1'!R56,1)^Assumptions!$F$16),0)</f>
        <v>11969.9726885994</v>
      </c>
      <c r="I56" s="21" t="n">
        <f aca="false">'History Y-1'!$F$58*(1+Assumptions!$F$6)*Baseline!Q56+'History Y-1'!$G$58*(1+Assumptions!$F$7)*Baseline!R56+J56</f>
        <v>151565.19449091</v>
      </c>
      <c r="J56" s="21" t="n">
        <f aca="false">'History Y-1'!$H$58*(1+Assumptions!$F$8)*Baseline!S56</f>
        <v>17770.9171447188</v>
      </c>
      <c r="K56" s="55" t="n">
        <f aca="false">D56+F56+H56+I56</f>
        <v>269817.192294043</v>
      </c>
      <c r="L56" s="21" t="n">
        <f aca="false">K56*Baseline!B56*(1+Assumptions!$F$18)*(1+Calendar!G56)</f>
        <v>5712.81801125423</v>
      </c>
      <c r="M56" s="20" t="n">
        <f aca="false">L56*Baseline!C56*(1+Assumptions!$F$19)</f>
        <v>429539.412957565</v>
      </c>
      <c r="N56" s="31" t="n">
        <f aca="false">MAX(0,MIN(0.9,Baseline!E56+Assumptions!$F$20))</f>
        <v>0.146406503925247</v>
      </c>
      <c r="O56" s="31" t="n">
        <f aca="false">MAX(0,Baseline!F56+Assumptions!$F$21)</f>
        <v>0.275301910154981</v>
      </c>
      <c r="P56" s="49" t="n">
        <f aca="false">M56*O56</f>
        <v>118253.020874067</v>
      </c>
      <c r="Q56" s="49" t="n">
        <f aca="false">M56-P56</f>
        <v>311286.392083498</v>
      </c>
      <c r="R56" s="21" t="n">
        <f aca="false">L56*Baseline!D56</f>
        <v>10992.5114100903</v>
      </c>
      <c r="S56" s="21" t="n">
        <f aca="false">IFERROR(P56/(Baseline!C56*(1+Assumptions!$F$19)),0)</f>
        <v>1572.74971086607</v>
      </c>
      <c r="T56" s="20" t="n">
        <f aca="false">Q56/(1-N56)*(1-Assumptions!$F$23)</f>
        <v>138577.472222645</v>
      </c>
      <c r="U56" s="20" t="n">
        <f aca="false">P56/(1-N56)*(1-Assumptions!$F$23)*Assumptions!$F$24</f>
        <v>3685.04489515781</v>
      </c>
      <c r="V56" s="49" t="n">
        <f aca="false">Q56-T56-U56</f>
        <v>169023.874965696</v>
      </c>
      <c r="W56" s="20" t="n">
        <f aca="false">T56*Assumptions!$F$25+L56*(Assumptions!$F$27-Assumptions!$F$28+Assumptions!$F$29+Assumptions!$F$36*Assumptions!$F$37)+R56*Assumptions!$F$30+S56*(Assumptions!$F$31+Assumptions!$F$32)+M56*(Assumptions!$F$33+Assumptions!$F$38)+IFERROR(M56*J56/K56,0)*Assumptions!$F$35*Assumptions!$F$34</f>
        <v>57226.5546771021</v>
      </c>
      <c r="X56" s="49" t="n">
        <f aca="false">V56-W56</f>
        <v>111797.320288594</v>
      </c>
      <c r="Y56" s="49" t="n">
        <f aca="false">C56+E56+G56</f>
        <v>50943.6968577416</v>
      </c>
      <c r="Z56" s="49" t="n">
        <f aca="false">X56-Y56</f>
        <v>60853.623430852</v>
      </c>
      <c r="AA56" s="20" t="n">
        <f aca="false">'Fixed Costs'!$G$31/52</f>
        <v>25332.6923076923</v>
      </c>
      <c r="AB56" s="49" t="n">
        <f aca="false">Z56-AA56</f>
        <v>35520.9311231597</v>
      </c>
      <c r="AC56" s="21" t="n">
        <f aca="false">L56*Baseline!G56</f>
        <v>2027.72544876557</v>
      </c>
    </row>
    <row r="57" customFormat="false" ht="15" hidden="false" customHeight="false" outlineLevel="0" collapsed="false">
      <c r="A57" s="13" t="n">
        <v>52</v>
      </c>
      <c r="B57" s="14" t="str">
        <f aca="false">Calendar!D57</f>
        <v>P12</v>
      </c>
      <c r="C57" s="20" t="n">
        <f aca="false">IF('Media Plan'!D57&lt;&gt;"",'Media Plan'!D57,Assumptions!$D$10*Baseline!T57)</f>
        <v>28139.0966262004</v>
      </c>
      <c r="D57" s="21" t="n">
        <f aca="false">IFERROR(C57/(Baseline!H57*(1+Assumptions!$F$13)*IFERROR(MAX(0,C57)/'History Y-1'!P57,1)^Assumptions!$F$14),0)</f>
        <v>58787.2721561472</v>
      </c>
      <c r="E57" s="20" t="n">
        <f aca="false">IF('Media Plan'!J57&lt;&gt;"",'Media Plan'!J57,Assumptions!$D$11*Baseline!U57)</f>
        <v>14098.8884886689</v>
      </c>
      <c r="F57" s="21" t="n">
        <f aca="false">IFERROR(E57/(Baseline!I57*(1+Assumptions!$F$13)*IFERROR(MAX(0,E57)/'History Y-1'!Q57,1)^Assumptions!$F$15),0)</f>
        <v>36196.2374382901</v>
      </c>
      <c r="G57" s="20" t="n">
        <f aca="false">IF('Media Plan'!P57&lt;&gt;"",'Media Plan'!P57,Assumptions!$D$12*Baseline!V57)</f>
        <v>3084.41654702221</v>
      </c>
      <c r="H57" s="21" t="n">
        <f aca="false">IFERROR(G57/(Baseline!J57*(1+Assumptions!$F$13)*IFERROR(MAX(0,G57)/'History Y-1'!R57,1)^Assumptions!$F$16),0)</f>
        <v>11869.4489753211</v>
      </c>
      <c r="I57" s="21" t="n">
        <f aca="false">'History Y-1'!$F$58*(1+Assumptions!$F$6)*Baseline!Q57+'History Y-1'!$G$58*(1+Assumptions!$F$7)*Baseline!R57+J57</f>
        <v>140242.673331305</v>
      </c>
      <c r="J57" s="21" t="n">
        <f aca="false">'History Y-1'!$H$58*(1+Assumptions!$F$8)*Baseline!S57</f>
        <v>16569.8452272567</v>
      </c>
      <c r="K57" s="55" t="n">
        <f aca="false">D57+F57+H57+I57</f>
        <v>247095.631901063</v>
      </c>
      <c r="L57" s="21" t="n">
        <f aca="false">K57*Baseline!B57*(1+Assumptions!$F$18)*(1+Calendar!G57)</f>
        <v>5252.46938996106</v>
      </c>
      <c r="M57" s="20" t="n">
        <f aca="false">L57*Baseline!C57*(1+Assumptions!$F$19)</f>
        <v>394301.280733083</v>
      </c>
      <c r="N57" s="31" t="n">
        <f aca="false">MAX(0,MIN(0.9,Baseline!E57+Assumptions!$F$20))</f>
        <v>0.096088875518101</v>
      </c>
      <c r="O57" s="31" t="n">
        <f aca="false">MAX(0,Baseline!F57+Assumptions!$F$21)</f>
        <v>0.273966830327399</v>
      </c>
      <c r="P57" s="49" t="n">
        <f aca="false">M57*O57</f>
        <v>108025.472076476</v>
      </c>
      <c r="Q57" s="49" t="n">
        <f aca="false">M57-P57</f>
        <v>286275.808656606</v>
      </c>
      <c r="R57" s="21" t="n">
        <f aca="false">L57*Baseline!D57</f>
        <v>10101.3867541365</v>
      </c>
      <c r="S57" s="21" t="n">
        <f aca="false">IFERROR(P57/(Baseline!C57*(1+Assumptions!$F$19)),0)</f>
        <v>1439.00239015932</v>
      </c>
      <c r="T57" s="20" t="n">
        <f aca="false">Q57/(1-N57)*(1-Assumptions!$F$23)</f>
        <v>120349.008152614</v>
      </c>
      <c r="U57" s="20" t="n">
        <f aca="false">P57/(1-N57)*(1-Assumptions!$F$23)*Assumptions!$F$24</f>
        <v>3178.93814934658</v>
      </c>
      <c r="V57" s="49" t="n">
        <f aca="false">Q57-T57-U57</f>
        <v>162747.862354646</v>
      </c>
      <c r="W57" s="20" t="n">
        <f aca="false">T57*Assumptions!$F$25+L57*(Assumptions!$F$27-Assumptions!$F$28+Assumptions!$F$29+Assumptions!$F$36*Assumptions!$F$37)+R57*Assumptions!$F$30+S57*(Assumptions!$F$31+Assumptions!$F$32)+M57*(Assumptions!$F$33+Assumptions!$F$38)+IFERROR(M57*J57/K57,0)*Assumptions!$F$35*Assumptions!$F$34</f>
        <v>52386.6781729949</v>
      </c>
      <c r="X57" s="49" t="n">
        <f aca="false">V57-W57</f>
        <v>110361.184181651</v>
      </c>
      <c r="Y57" s="49" t="n">
        <f aca="false">C57+E57+G57</f>
        <v>45322.4016618914</v>
      </c>
      <c r="Z57" s="49" t="n">
        <f aca="false">X57-Y57</f>
        <v>65038.7825197595</v>
      </c>
      <c r="AA57" s="20" t="n">
        <f aca="false">'Fixed Costs'!$G$31/52</f>
        <v>25332.6923076923</v>
      </c>
      <c r="AB57" s="49" t="n">
        <f aca="false">Z57-AA57</f>
        <v>39706.0902120672</v>
      </c>
      <c r="AC57" s="21" t="n">
        <f aca="false">L57*Baseline!G57</f>
        <v>1914.53601887919</v>
      </c>
    </row>
    <row r="58" customFormat="false" ht="15" hidden="false" customHeight="false" outlineLevel="0" collapsed="false">
      <c r="A58" s="60" t="s">
        <v>483</v>
      </c>
      <c r="B58" s="61"/>
      <c r="C58" s="63" t="n">
        <f aca="false">SUM(C6:C57)</f>
        <v>1900000</v>
      </c>
      <c r="D58" s="62" t="n">
        <f aca="false">SUM(D6:D57)</f>
        <v>3913356.9151165</v>
      </c>
      <c r="E58" s="63" t="n">
        <f aca="false">SUM(E6:E57)</f>
        <v>950000</v>
      </c>
      <c r="F58" s="62" t="n">
        <f aca="false">SUM(F6:F57)</f>
        <v>2476373.00299509</v>
      </c>
      <c r="G58" s="63" t="n">
        <f aca="false">SUM(G6:G57)</f>
        <v>200000</v>
      </c>
      <c r="H58" s="62" t="n">
        <f aca="false">SUM(H6:H57)</f>
        <v>742624.750530114</v>
      </c>
      <c r="I58" s="62" t="n">
        <f aca="false">SUM(I6:I57)</f>
        <v>9564076.15</v>
      </c>
      <c r="J58" s="62" t="n">
        <f aca="false">SUM(J6:J57)</f>
        <v>1087279.75</v>
      </c>
      <c r="K58" s="62" t="n">
        <f aca="false">SUM(K6:K57)</f>
        <v>16696430.8186417</v>
      </c>
      <c r="L58" s="62" t="n">
        <f aca="false">SUM(L6:L57)</f>
        <v>367569.689417804</v>
      </c>
      <c r="M58" s="63" t="n">
        <f aca="false">SUM(M6:M57)</f>
        <v>27112010.9254665</v>
      </c>
      <c r="N58" s="76"/>
      <c r="O58" s="76"/>
      <c r="P58" s="63" t="n">
        <f aca="false">SUM(P6:P57)</f>
        <v>7431404.94904475</v>
      </c>
      <c r="Q58" s="63" t="n">
        <f aca="false">SUM(Q6:Q57)</f>
        <v>19680605.9764217</v>
      </c>
      <c r="R58" s="62" t="n">
        <f aca="false">SUM(R6:R57)</f>
        <v>698822.900618093</v>
      </c>
      <c r="S58" s="62" t="n">
        <f aca="false">SUM(S6:S57)</f>
        <v>100601.599169934</v>
      </c>
      <c r="T58" s="63" t="n">
        <f aca="false">SUM(T6:T57)</f>
        <v>8943304.79971137</v>
      </c>
      <c r="U58" s="63" t="n">
        <f aca="false">SUM(U6:U57)</f>
        <v>235546.244773651</v>
      </c>
      <c r="V58" s="63" t="n">
        <f aca="false">SUM(V6:V57)</f>
        <v>10501754.9319367</v>
      </c>
      <c r="W58" s="63" t="n">
        <f aca="false">SUM(W6:W57)</f>
        <v>3657852.36119137</v>
      </c>
      <c r="X58" s="63" t="n">
        <f aca="false">SUM(X6:X57)</f>
        <v>6843902.57074537</v>
      </c>
      <c r="Y58" s="63" t="n">
        <f aca="false">SUM(Y6:Y57)</f>
        <v>3050000</v>
      </c>
      <c r="Z58" s="63" t="n">
        <f aca="false">SUM(Z6:Z57)</f>
        <v>3793902.57074536</v>
      </c>
      <c r="AA58" s="63" t="n">
        <f aca="false">SUM(AA6:AA57)</f>
        <v>1317300</v>
      </c>
      <c r="AB58" s="63" t="n">
        <f aca="false">SUM(AB6:AB57)</f>
        <v>2476602.57074536</v>
      </c>
      <c r="AC58" s="62" t="n">
        <f aca="false">SUM(AC6:AC57)</f>
        <v>139297.490821151</v>
      </c>
    </row>
  </sheetData>
  <sheetProtection sheet="true" formatColumns="false" formatRows="false"/>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2026-10-27T21:24:00Z</dcterms:created>
  <dc:creator>openpyxl</dc:creator>
  <dc:description/>
  <dc:language>en-US</dc:language>
  <cp:lastModifiedBy/>
  <dcterms:modified xsi:type="dcterms:W3CDTF">2026-10-27T21:24:01Z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