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3.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lockStructure="1"/>
  <bookViews>
    <workbookView showHorizontalScroll="true" showVerticalScroll="true" showSheetTabs="true" xWindow="0" yWindow="0" windowWidth="16384" windowHeight="8192" tabRatio="500" firstSheet="0" activeTab="1"/>
  </bookViews>
  <sheets>
    <sheet name="Read Me" sheetId="1" state="visible" r:id="rId3"/>
    <sheet name="Overview" sheetId="2" state="visible" r:id="rId4"/>
    <sheet name="KPI Library" sheetId="3" state="visible" r:id="rId5"/>
    <sheet name="Meaningful Test" sheetId="4" state="visible" r:id="rId6"/>
    <sheet name="Board Dashboard" sheetId="5" state="visible" r:id="rId7"/>
    <sheet name="SLT Dashboard" sheetId="6" state="visible" r:id="rId8"/>
    <sheet name="Department Dashboards" sheetId="7" state="visible" r:id="rId9"/>
    <sheet name="Driver Tree" sheetId="8" state="visible" r:id="rId10"/>
    <sheet name="Investigation Paths" sheetId="9" state="visible" r:id="rId11"/>
    <sheet name="Reforecast Log" sheetId="10" state="visible" r:id="rId12"/>
    <sheet name="Checks" sheetId="11" state="visible" r:id="rId13"/>
  </sheets>
  <definedNames>
    <definedName function="false" hidden="true" localSheetId="2" name="_xlnm._FilterDatabase" vbProcedure="false">'KPI Library'!$A$4:$Q$63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<sst xmlns="http://schemas.openxmlformats.org/spreadsheetml/2006/main" count="1671" uniqueCount="871">
  <si>
    <t xml:space="preserve">Ecommerce KPI Framework</t>
  </si>
  <si>
    <t xml:space="preserve">Barking Cat. Diagnosis before solutions.</t>
  </si>
  <si>
    <t xml:space="preserve">What this is</t>
  </si>
  <si>
    <t xml:space="preserve">A framework for deciding which ecommerce numbers deserve a place on a dashboard, who owns each one, and what anyone should do when it moves. It has a library of 49 KPIs, a test for the dashboard you already have, and three dashboard templates: board, SLT and department.</t>
  </si>
  <si>
    <t xml:space="preserve">The figures are illustrative, for a fictional retailer. The thresholds are examples, not industry norms: set your own from your own history.</t>
  </si>
  <si>
    <t xml:space="preserve">The rule</t>
  </si>
  <si>
    <t xml:space="preserve">Every number on a dashboard should name the decision it informs and the person who owns that decision. If it informs no decision, it does not belong on the dashboard. It can live in a report, where nobody has to pretend it matters.</t>
  </si>
  <si>
    <t xml:space="preserve">What? So what? Now what?</t>
  </si>
  <si>
    <t xml:space="preserve">Every KPI in the library, and every line on every dashboard, answers three questions. What? What the number is and how it moved. So what? Why that movement matters commercially. Now what? The action, the owner and the date. A number that cannot answer the third question is a report, not a KPI.</t>
  </si>
  <si>
    <t xml:space="preserve">On the dashboards, What? writes itself from the figures. So what? and Now what? are written by the owner before the meeting, so the meeting decides rather than reads.</t>
  </si>
  <si>
    <t xml:space="preserve">How to use it</t>
  </si>
  <si>
    <t xml:space="preserve">1. Meaningful Test: list every metric on your current dashboard and answer six questions for each. Most dashboards discover that fewer than half of their numbers drive a decision.</t>
  </si>
  <si>
    <t xml:space="preserve">2. KPI Library: read the class, the decision, the trigger and how each KPI misleads. Edit anything; ten spare rows take your own.</t>
  </si>
  <si>
    <t xml:space="preserve">3. Board Dashboard: eight measures or fewer, each asking the board for a decision. Enter plan, actuals and tolerances.</t>
  </si>
  <si>
    <t xml:space="preserve">4. SLT Dashboard: the weekly levers, with a tolerance, a four-week direction and an action for each.</t>
  </si>
  <si>
    <t xml:space="preserve">5. Department Dashboards: the daily levers by team, each with a threshold and the first place to look.</t>
  </si>
  <si>
    <t xml:space="preserve">6. Driver Tree: when a board number misses, split the variance into traffic, conversion, basket, returns, margin, cost and media, and hand each piece to its owner.</t>
  </si>
  <si>
    <t xml:space="preserve">7. Investigation Paths: when a trigger trips, ask the questions in order. Each step rules something in or out before the next.</t>
  </si>
  <si>
    <t xml:space="preserve">8. Reforecast Log: when a KPI shows a budget assumption has broken, record the evidence, the decision and the forecast impact.</t>
  </si>
  <si>
    <t xml:space="preserve">9. Checks: thirteen tests, including whether a Misleading KPI has crept onto the board or SLT dashboard.</t>
  </si>
  <si>
    <t xml:space="preserve">Why some familiar numbers are classed Misleading</t>
  </si>
  <si>
    <t xml:space="preserve">Conversion rate across all sessions counts every visit to find a store, read the FAQs or check an order as a failure, and it moves with traffic mix and campaign objective. Used as a target, it rewards turning away the customers who were not ready to buy. Segmented to the committed buying journey, it becomes a useful trigger.</t>
  </si>
  <si>
    <t xml:space="preserve">Return on ad spend divides revenue the platform attributes to itself by the platform's own spend. It ignores margin, returns and whether the sale would have happened anyway. Contribution after marketing, and the marginal cost of the last new customer, answer the question it pretends to.</t>
  </si>
  <si>
    <t xml:space="preserve">Setting thresholds</t>
  </si>
  <si>
    <t xml:space="preserve">Every threshold in the workbook is an example. Set your own in four steps: take a baseline from reliable history, peak and non-peak separately; set the threshold where a move becomes commercially material and the team can act on it; name who may change it and on what evidence; review it on a fixed date, and never move it after the fact to make a bad month look acceptable.</t>
  </si>
  <si>
    <t xml:space="preserve">With the Ecommerce Budget Builder</t>
  </si>
  <si>
    <t xml:space="preserve">The budget sets the assumptions: traffic, conversion, basket, returns, margin and media. This framework watches them. When a measure moves off plan, the driver tree says which assumption broke, the investigation path finds out why, and the budget is reforecast on the new evidence rather than left to recover by itself. Contribution, returns rate and AOV are defined the same way in both.</t>
  </si>
  <si>
    <t xml:space="preserve">Colour key and protection</t>
  </si>
  <si>
    <t xml:space="preserve">Blue text on a pale gold fill: an input you should review or replace.</t>
  </si>
  <si>
    <t xml:space="preserve">Green text: a formula reading another sheet. Black text: a formula on the same sheet.</t>
  </si>
  <si>
    <t xml:space="preserve">Every sheet is protected so only the blue cells can be edited. There is no password: Review, then Unprotect Sheet, to change the framework itself.</t>
  </si>
  <si>
    <t xml:space="preserve">Limits</t>
  </si>
  <si>
    <t xml:space="preserve">The library is a starting point, not a standard. A subscription business, a marketplace seller and a furniture retailer will reclassify some of it, and should.</t>
  </si>
  <si>
    <t xml:space="preserve">The variance bridges are exact arithmetic for the inputs given. They say how much of a miss each lever explains, not why the lever moved. That is what the investigation paths are for.</t>
  </si>
  <si>
    <t xml:space="preserve">Built by Barking Cat. Version v1.0.</t>
  </si>
  <si>
    <t xml:space="preserve">Barking Cat Advisory Limited. Registered in England and Wales, company number 17338003. Registered office: The Old Constabulary, Welsh Row, Nantwich, Cheshire CW5 5ET. barkingcat.ai</t>
  </si>
  <si>
    <t xml:space="preserve">Overview</t>
  </si>
  <si>
    <t xml:space="preserve">What the library holds, and whether your dashboards pass the checks.</t>
  </si>
  <si>
    <t xml:space="preserve">Model checks</t>
  </si>
  <si>
    <t xml:space="preserve">Every number on a dashboard should name the decision it informs and the person who owns that decision. If it informs no decision, it does not belong on the dashboard.</t>
  </si>
  <si>
    <t xml:space="preserve">The four classes</t>
  </si>
  <si>
    <t xml:space="preserve">Decision</t>
  </si>
  <si>
    <t xml:space="preserve">Someone can act on it directly: it has an owner, a threshold and an action.</t>
  </si>
  <si>
    <t xml:space="preserve">Investigation trigger</t>
  </si>
  <si>
    <t xml:space="preserve">Movement means dig. It diagnoses; it rarely decides on its own.</t>
  </si>
  <si>
    <t xml:space="preserve">Context</t>
  </si>
  <si>
    <t xml:space="preserve">Worth knowing, rarely worth a meeting. Static, slow or unconnected to a decision.</t>
  </si>
  <si>
    <t xml:space="preserve">Misleading</t>
  </si>
  <si>
    <t xml:space="preserve">Drives the wrong behaviour when used as a target. Replace it.</t>
  </si>
  <si>
    <t xml:space="preserve">What the library holds</t>
  </si>
  <si>
    <t xml:space="preserve">Class</t>
  </si>
  <si>
    <t xml:space="preserve">Board</t>
  </si>
  <si>
    <t xml:space="preserve">SLT</t>
  </si>
  <si>
    <t xml:space="preserve">Department</t>
  </si>
  <si>
    <t xml:space="preserve">None</t>
  </si>
  <si>
    <t xml:space="preserve">Total</t>
  </si>
  <si>
    <t xml:space="preserve">The sample dashboard, through the meaningful test</t>
  </si>
  <si>
    <t xml:space="preserve">Metrics listed</t>
  </si>
  <si>
    <t xml:space="preserve">Keep: decision KPI</t>
  </si>
  <si>
    <t xml:space="preserve">Keep below the line: trigger</t>
  </si>
  <si>
    <t xml:space="preserve">Demote to context</t>
  </si>
  <si>
    <t xml:space="preserve">Delete</t>
  </si>
  <si>
    <t xml:space="preserve">Replace with its pair</t>
  </si>
  <si>
    <t xml:space="preserve">Share that drives a decision</t>
  </si>
  <si>
    <t xml:space="preserve">What?</t>
  </si>
  <si>
    <t xml:space="preserve">What the number is and how it moved. On the dashboards it writes itself from the figures.</t>
  </si>
  <si>
    <t xml:space="preserve">So what?</t>
  </si>
  <si>
    <t xml:space="preserve">Why that movement matters commercially, in money where possible.</t>
  </si>
  <si>
    <t xml:space="preserve">Now what?</t>
  </si>
  <si>
    <t xml:space="preserve">The action, the owner and the date. Without it, the number is a report, not a KPI.</t>
  </si>
  <si>
    <t xml:space="preserve">KPI library</t>
  </si>
  <si>
    <t xml:space="preserve">Every KPI answers three questions. What? What it measures and the movement to watch. So what? Why that movement matters. Now what? The action when it trips. Thresholds are examples, not industry norms.</t>
  </si>
  <si>
    <t xml:space="preserve">ID</t>
  </si>
  <si>
    <t xml:space="preserve">KPI</t>
  </si>
  <si>
    <t xml:space="preserve">Area</t>
  </si>
  <si>
    <t xml:space="preserve">Tier</t>
  </si>
  <si>
    <t xml:space="preserve">Cadence</t>
  </si>
  <si>
    <t xml:space="preserve">Owner</t>
  </si>
  <si>
    <t xml:space="preserve">What? What it measures</t>
  </si>
  <si>
    <t xml:space="preserve">Formula</t>
  </si>
  <si>
    <t xml:space="preserve">Data source</t>
  </si>
  <si>
    <t xml:space="preserve">What? The movement to watch (example)</t>
  </si>
  <si>
    <t xml:space="preserve">So what? Why it matters</t>
  </si>
  <si>
    <t xml:space="preserve">Now what? The action when it trips</t>
  </si>
  <si>
    <t xml:space="preserve">How it misleads</t>
  </si>
  <si>
    <t xml:space="preserve">Read it with</t>
  </si>
  <si>
    <t xml:space="preserve">Better when</t>
  </si>
  <si>
    <t xml:space="preserve">Leading or lagging</t>
  </si>
  <si>
    <t xml:space="preserve">K01</t>
  </si>
  <si>
    <t xml:space="preserve">Net sales vs plan</t>
  </si>
  <si>
    <t xml:space="preserve">Commercial</t>
  </si>
  <si>
    <t xml:space="preserve">Monthly</t>
  </si>
  <si>
    <t xml:space="preserve">Head of Ecommerce</t>
  </si>
  <si>
    <t xml:space="preserve">Online sales after returns, against the budget for the same weeks</t>
  </si>
  <si>
    <t xml:space="preserve">Net sales / plan net sales - 1</t>
  </si>
  <si>
    <t xml:space="preserve">Finance, order system</t>
  </si>
  <si>
    <t xml:space="preserve">Cumulative more than 3% behind plan for two periods (example)</t>
  </si>
  <si>
    <t xml:space="preserve">Every point behind plan is a point the rest of the year must recover, usually with discount or media</t>
  </si>
  <si>
    <t xml:space="preserve">Run the driver tree for the period, hand each piece of the variance to its owner, and agree whether to re-phase the plan or fund the gap</t>
  </si>
  <si>
    <t xml:space="preserve">On its own it hides margin, mix and the cost of buying the sales</t>
  </si>
  <si>
    <t xml:space="preserve">K02 Contribution after marketing</t>
  </si>
  <si>
    <t xml:space="preserve">Higher</t>
  </si>
  <si>
    <t xml:space="preserve">Lagging</t>
  </si>
  <si>
    <t xml:space="preserve">K02</t>
  </si>
  <si>
    <t xml:space="preserve">Contribution after marketing</t>
  </si>
  <si>
    <t xml:space="preserve">CFO</t>
  </si>
  <si>
    <t xml:space="preserve">Net sales less cost of goods, every variable cost and working media</t>
  </si>
  <si>
    <t xml:space="preserve">Net sales - COGS - variable costs - media</t>
  </si>
  <si>
    <t xml:space="preserve">Finance</t>
  </si>
  <si>
    <t xml:space="preserve">Contribution % falls while net sales rise</t>
  </si>
  <si>
    <t xml:space="preserve">It is the money ecommerce adds after paying for its own sales. Sales up and contribution down means growth is being bought</t>
  </si>
  <si>
    <t xml:space="preserve">Split the movement into volume, margin, cost and media on the driver tree, and stop the activity that bought sales at a loss</t>
  </si>
  <si>
    <t xml:space="preserve">Only as complete as its cost perimeter; it is not fully loaded channel profit</t>
  </si>
  <si>
    <t xml:space="preserve">K01 Net sales vs plan</t>
  </si>
  <si>
    <t xml:space="preserve">K03</t>
  </si>
  <si>
    <t xml:space="preserve">Gross margin % after discount and returns</t>
  </si>
  <si>
    <t xml:space="preserve">Weekly</t>
  </si>
  <si>
    <t xml:space="preserve">Trading Manager</t>
  </si>
  <si>
    <t xml:space="preserve">Margin on what customers kept, after the discount they were given</t>
  </si>
  <si>
    <t xml:space="preserve">(Net sales - COGS) / net sales</t>
  </si>
  <si>
    <t xml:space="preserve">Two points below plan in a full-price week</t>
  </si>
  <si>
    <t xml:space="preserve">One point of margin on £20m of sales is £200,000 of contribution, with no extra customers needed</t>
  </si>
  <si>
    <t xml:space="preserve">Find the categories and promotions behind the fall, and pull or re-price the promotion with the lowest margin per order</t>
  </si>
  <si>
    <t xml:space="preserve">Mix moves it without any pricing decision being taken</t>
  </si>
  <si>
    <t xml:space="preserve">K34 Discount depth</t>
  </si>
  <si>
    <t xml:space="preserve">K04</t>
  </si>
  <si>
    <t xml:space="preserve">Ecommerce contribution after fixed costs</t>
  </si>
  <si>
    <t xml:space="preserve">Quarterly</t>
  </si>
  <si>
    <t xml:space="preserve">Contribution after marketing less the ecommerce fixed cost base</t>
  </si>
  <si>
    <t xml:space="preserve">K02 - ecommerce fixed costs</t>
  </si>
  <si>
    <t xml:space="preserve">Falls for two quarters running</t>
  </si>
  <si>
    <t xml:space="preserve">It decides whether the channel funds its own team, platform and agencies</t>
  </si>
  <si>
    <t xml:space="preserve">Review fixed costs line by line in the next investment case, and cut or justify the three largest</t>
  </si>
  <si>
    <t xml:space="preserve">Allocation rules can move it more than trading does</t>
  </si>
  <si>
    <t xml:space="preserve">K05</t>
  </si>
  <si>
    <t xml:space="preserve">Inventory value and forward weeks cover</t>
  </si>
  <si>
    <t xml:space="preserve">Merchandise Director</t>
  </si>
  <si>
    <t xml:space="preserve">Stock at cost, and weeks of forecast sales it covers</t>
  </si>
  <si>
    <t xml:space="preserve">Stock units / forecast weekly units</t>
  </si>
  <si>
    <t xml:space="preserve">Merchandise system</t>
  </si>
  <si>
    <t xml:space="preserve">Cover above season weeks remaining, or below supplier lead time</t>
  </si>
  <si>
    <t xml:space="preserve">Too much cover is cash tied up and markdown to come; too little is lost sales at peak</t>
  </si>
  <si>
    <t xml:space="preserve">Above the band, bring markdown forward on slow lines and cut open orders. Below it, expedite purchase orders on best sellers</t>
  </si>
  <si>
    <t xml:space="preserve">Trailing averages lie into and out of peak; use forecast sales</t>
  </si>
  <si>
    <t xml:space="preserve">K32 Availability of best sellers</t>
  </si>
  <si>
    <t xml:space="preserve">Band</t>
  </si>
  <si>
    <t xml:space="preserve">Leading</t>
  </si>
  <si>
    <t xml:space="preserve">K06</t>
  </si>
  <si>
    <t xml:space="preserve">Active customers (12 months)</t>
  </si>
  <si>
    <t xml:space="preserve">Customer</t>
  </si>
  <si>
    <t xml:space="preserve">CRM Manager</t>
  </si>
  <si>
    <t xml:space="preserve">Customers with at least one order in the last 52 weeks</t>
  </si>
  <si>
    <t xml:space="preserve">Count of distinct customers ordering in 52 weeks</t>
  </si>
  <si>
    <t xml:space="preserve">CRM</t>
  </si>
  <si>
    <t xml:space="preserve">Falls two quarters running while new customers rise</t>
  </si>
  <si>
    <t xml:space="preserve">It is the base the business sells to next year without paying to acquire it</t>
  </si>
  <si>
    <t xml:space="preserve">If active customers fall while new customers rise, move budget from acquisition to the second-order journey</t>
  </si>
  <si>
    <t xml:space="preserve">Definitions of active vary; fix one and keep it</t>
  </si>
  <si>
    <t xml:space="preserve">K09 Revenue per active customer</t>
  </si>
  <si>
    <t xml:space="preserve">K07</t>
  </si>
  <si>
    <t xml:space="preserve">New customers</t>
  </si>
  <si>
    <t xml:space="preserve">First-time purchasers in the period</t>
  </si>
  <si>
    <t xml:space="preserve">Count of first orders</t>
  </si>
  <si>
    <t xml:space="preserve">Order system</t>
  </si>
  <si>
    <t xml:space="preserve">More than 10% behind plan for three weeks (example)</t>
  </si>
  <si>
    <t xml:space="preserve">It shows whether growth comes from new customers or from selling more to existing ones</t>
  </si>
  <si>
    <t xml:space="preserve">Behind plan, check acquisition cost and channel mix before adding budget. Ahead in a sale, check whether those customers ever return</t>
  </si>
  <si>
    <t xml:space="preserve">Bought cheaply in a sale, they rarely come back</t>
  </si>
  <si>
    <t xml:space="preserve">K11 First-order payback</t>
  </si>
  <si>
    <t xml:space="preserve">K08</t>
  </si>
  <si>
    <t xml:space="preserve">Second-order rate within 90 days</t>
  </si>
  <si>
    <t xml:space="preserve">Share of new customers who order again within 90 days</t>
  </si>
  <si>
    <t xml:space="preserve">Repeat customers / new customers in cohort</t>
  </si>
  <si>
    <t xml:space="preserve">Cohort rate falls below the prior year's cohort</t>
  </si>
  <si>
    <t xml:space="preserve">The first repeat purchase is where acquisition starts to pay back</t>
  </si>
  <si>
    <t xml:space="preserve">Test the welcome journey and the second-order incentive on the weakest cohort, measured against a holdout</t>
  </si>
  <si>
    <t xml:space="preserve">Cohorts need time to mature; do not read the last 90 days</t>
  </si>
  <si>
    <t xml:space="preserve">K09</t>
  </si>
  <si>
    <t xml:space="preserve">Revenue per active customer</t>
  </si>
  <si>
    <t xml:space="preserve">Net sales divided by active customers</t>
  </si>
  <si>
    <t xml:space="preserve">Net sales 52 weeks / K06</t>
  </si>
  <si>
    <t xml:space="preserve">CRM, finance</t>
  </si>
  <si>
    <t xml:space="preserve">Falls while active customers rise</t>
  </si>
  <si>
    <t xml:space="preserve">It separates customers spending more from more customers being counted</t>
  </si>
  <si>
    <t xml:space="preserve">If it falls, look at frequency and basket by cohort before celebrating a bigger customer base</t>
  </si>
  <si>
    <t xml:space="preserve">A surge of one-time buyers dilutes it without anything going wrong</t>
  </si>
  <si>
    <t xml:space="preserve">K06 Active customers</t>
  </si>
  <si>
    <t xml:space="preserve">K10</t>
  </si>
  <si>
    <t xml:space="preserve">Customer acquisition cost (blended)</t>
  </si>
  <si>
    <t xml:space="preserve">Acquisition</t>
  </si>
  <si>
    <t xml:space="preserve">Digital Marketing Manager</t>
  </si>
  <si>
    <t xml:space="preserve">Working media divided by first-time customers in the same period. Working media means paid search, paid social, display, affiliate commission and influencer fees; agency fees and creative production are excluded. A new customer is counted once, on the date of their first order, with no channel attribution</t>
  </si>
  <si>
    <t xml:space="preserve">Working media / first-time customers, same period</t>
  </si>
  <si>
    <t xml:space="preserve">Ad platforms, order system</t>
  </si>
  <si>
    <t xml:space="preserve">15% above plan for three weeks (example)</t>
  </si>
  <si>
    <t xml:space="preserve">Every pound above plan comes out of contribution, or out of the number of customers you can afford</t>
  </si>
  <si>
    <t xml:space="preserve">Cap the campaigns with the highest cost per new customer, and check the marginal cost before adding budget anywhere</t>
  </si>
  <si>
    <t xml:space="preserve">Blended cost hides the marginal cost: the last pound buys less than the average pound</t>
  </si>
  <si>
    <t xml:space="preserve">K12 Marginal cost per new customer</t>
  </si>
  <si>
    <t xml:space="preserve">Lower</t>
  </si>
  <si>
    <t xml:space="preserve">K11</t>
  </si>
  <si>
    <t xml:space="preserve">First-order payback</t>
  </si>
  <si>
    <t xml:space="preserve">Contribution from first orders, after cost of goods, returns and every variable cost, as a multiple of acquisition cost for the same cohort and period</t>
  </si>
  <si>
    <t xml:space="preserve">First-order contribution per new customer / K10, same cohort</t>
  </si>
  <si>
    <t xml:space="preserve">Finance, CRM</t>
  </si>
  <si>
    <t xml:space="preserve">Below 1.0x without a measured repeat rate to justify it</t>
  </si>
  <si>
    <t xml:space="preserve">Below 1.0x, every new customer loses money until they buy again</t>
  </si>
  <si>
    <t xml:space="preserve">Cap acquisition spend at the level where payback holds, until the second-order rate is measured rather than assumed</t>
  </si>
  <si>
    <t xml:space="preserve">An assumed lifetime value makes any acquisition cost look affordable</t>
  </si>
  <si>
    <t xml:space="preserve">K08 Second-order rate</t>
  </si>
  <si>
    <t xml:space="preserve">K12</t>
  </si>
  <si>
    <t xml:space="preserve">Marginal cost per new customer</t>
  </si>
  <si>
    <t xml:space="preserve">Cost of the last increment of new customers, from spend tests</t>
  </si>
  <si>
    <t xml:space="preserve">Change in media / change in new customers</t>
  </si>
  <si>
    <t xml:space="preserve">Spend tests</t>
  </si>
  <si>
    <t xml:space="preserve">Above first-order contribution</t>
  </si>
  <si>
    <t xml:space="preserve">The last pound of budget is the one you can choose not to spend</t>
  </si>
  <si>
    <t xml:space="preserve">Step budget down in one channel for two weeks, and keep only the tranche that pays on the first order</t>
  </si>
  <si>
    <t xml:space="preserve">Needs a test to measure; attribution reports cannot give it</t>
  </si>
  <si>
    <t xml:space="preserve">K10 Customer acquisition cost</t>
  </si>
  <si>
    <t xml:space="preserve">K13</t>
  </si>
  <si>
    <t xml:space="preserve">Sessions</t>
  </si>
  <si>
    <t xml:space="preserve">Traffic</t>
  </si>
  <si>
    <t xml:space="preserve">Daily</t>
  </si>
  <si>
    <t xml:space="preserve">Visits to the site</t>
  </si>
  <si>
    <t xml:space="preserve">Count of sessions</t>
  </si>
  <si>
    <t xml:space="preserve">Web analytics</t>
  </si>
  <si>
    <t xml:space="preserve">Not applicable</t>
  </si>
  <si>
    <t xml:space="preserve">On its own, nothing: volume says nothing about whether visitors could or would buy</t>
  </si>
  <si>
    <t xml:space="preserve">Stop reporting it alone; report engaged sessions by channel instead</t>
  </si>
  <si>
    <t xml:space="preserve">Volume, not value. Buying cheap traffic hits a traffic target and drags conversion down</t>
  </si>
  <si>
    <t xml:space="preserve">K15 Engaged sessions</t>
  </si>
  <si>
    <t xml:space="preserve">K14</t>
  </si>
  <si>
    <t xml:space="preserve">Sessions by channel mix</t>
  </si>
  <si>
    <t xml:space="preserve">Share of sessions by acquisition channel</t>
  </si>
  <si>
    <t xml:space="preserve">Channel sessions / total sessions</t>
  </si>
  <si>
    <t xml:space="preserve">A channel moves more than 5 points of share in a week</t>
  </si>
  <si>
    <t xml:space="preserve">A shift in mix moves conversion and cost per session without anything changing on the site</t>
  </si>
  <si>
    <t xml:space="preserve">When conversion moves, check mix first, and restate the comparison at last week's mix before acting</t>
  </si>
  <si>
    <t xml:space="preserve">Last-click channel labels move with attribution settings, not customers</t>
  </si>
  <si>
    <t xml:space="preserve">K18 Cost per session</t>
  </si>
  <si>
    <t xml:space="preserve">K15</t>
  </si>
  <si>
    <t xml:space="preserve">Engaged sessions</t>
  </si>
  <si>
    <t xml:space="preserve">Sessions with at least one product view, site search or add-to-basket event. Fix these three events in analytics before trending the number</t>
  </si>
  <si>
    <t xml:space="preserve">Engaged sessions / sessions</t>
  </si>
  <si>
    <t xml:space="preserve">Falls more than 5 points for a channel</t>
  </si>
  <si>
    <t xml:space="preserve">It shows whether bought traffic is the traffic you meant to buy</t>
  </si>
  <si>
    <t xml:space="preserve">Cut or rework the campaigns and audiences with the lowest engagement, and move the money to the highest</t>
  </si>
  <si>
    <t xml:space="preserve">The definition of engaged must be fixed before it is trended</t>
  </si>
  <si>
    <t xml:space="preserve">K13 Sessions</t>
  </si>
  <si>
    <t xml:space="preserve">K16</t>
  </si>
  <si>
    <t xml:space="preserve">Bounce rate by landing page</t>
  </si>
  <si>
    <t xml:space="preserve">UX and Content Designer</t>
  </si>
  <si>
    <t xml:space="preserve">Single-page visits on a given landing page</t>
  </si>
  <si>
    <t xml:space="preserve">Single-page sessions / landing sessions</t>
  </si>
  <si>
    <t xml:space="preserve">Above 70% on a paid landing page (example)</t>
  </si>
  <si>
    <t xml:space="preserve">A paid landing page that bounces is money spent showing customers the wrong page</t>
  </si>
  <si>
    <t xml:space="preserve">Match the page to the ad's promise and offer, or point the campaign at a page that does</t>
  </si>
  <si>
    <t xml:space="preserve">Meaningless as a site-wide average; useful only by page and campaign</t>
  </si>
  <si>
    <t xml:space="preserve">K17</t>
  </si>
  <si>
    <t xml:space="preserve">Return on ad spend (ROAS)</t>
  </si>
  <si>
    <t xml:space="preserve">Not recommended</t>
  </si>
  <si>
    <t xml:space="preserve">Revenue attributed to a channel divided by its spend</t>
  </si>
  <si>
    <t xml:space="preserve">Attributed revenue / spend</t>
  </si>
  <si>
    <t xml:space="preserve">Ad platforms</t>
  </si>
  <si>
    <t xml:space="preserve">Used as a target, it rewards spending on demand that would have arrived anyway</t>
  </si>
  <si>
    <t xml:space="preserve">Stop reporting it as a target; replace it with contribution after marketing and marginal cost per new customer</t>
  </si>
  <si>
    <t xml:space="preserve">Ignores margin, returns and whether the sale would have happened anyway; the platform marks its own homework</t>
  </si>
  <si>
    <t xml:space="preserve">K18</t>
  </si>
  <si>
    <t xml:space="preserve">Cost per session by channel</t>
  </si>
  <si>
    <t xml:space="preserve">Performance Marketing Executive</t>
  </si>
  <si>
    <t xml:space="preserve">Media spend divided by sessions, by paid channel</t>
  </si>
  <si>
    <t xml:space="preserve">Channel spend / channel sessions</t>
  </si>
  <si>
    <t xml:space="preserve">Ad platforms, web analytics</t>
  </si>
  <si>
    <t xml:space="preserve">15% above plan for three weeks</t>
  </si>
  <si>
    <t xml:space="preserve">Dearer traffic means fewer visits for the same budget, or the same visits for more money</t>
  </si>
  <si>
    <t xml:space="preserve">Check impression share and competitor bids, and rebalance budget towards channels where cost per session is flat</t>
  </si>
  <si>
    <t xml:space="preserve">Cheap sessions are not good sessions</t>
  </si>
  <si>
    <t xml:space="preserve">K19</t>
  </si>
  <si>
    <t xml:space="preserve">Non-brand organic clicks</t>
  </si>
  <si>
    <t xml:space="preserve">Search clicks on queries that do not contain the brand name</t>
  </si>
  <si>
    <t xml:space="preserve">Count from search console</t>
  </si>
  <si>
    <t xml:space="preserve">Search console</t>
  </si>
  <si>
    <t xml:space="preserve">Falls 10% period on period outside seasonality</t>
  </si>
  <si>
    <t xml:space="preserve">It is traffic from customers who did not already know the brand, at no media cost</t>
  </si>
  <si>
    <t xml:space="preserve">If it falls outside seasonality, check indexing, page speed and content on the top landing pages</t>
  </si>
  <si>
    <t xml:space="preserve">Brand clicks flatter organic performance; strip them out</t>
  </si>
  <si>
    <t xml:space="preserve">K14 Sessions by channel mix</t>
  </si>
  <si>
    <t xml:space="preserve">K20</t>
  </si>
  <si>
    <t xml:space="preserve">Email list size</t>
  </si>
  <si>
    <t xml:space="preserve">Contactable email addresses</t>
  </si>
  <si>
    <t xml:space="preserve">Count of subscribed addresses</t>
  </si>
  <si>
    <t xml:space="preserve">Email platform</t>
  </si>
  <si>
    <t xml:space="preserve">A large list that never buys costs money to send to and damages deliverability</t>
  </si>
  <si>
    <t xml:space="preserve">Stop reporting it; suppress inactive addresses and report revenue per email sent</t>
  </si>
  <si>
    <t xml:space="preserve">Grows with every competition entry and never shrinks on its own</t>
  </si>
  <si>
    <t xml:space="preserve">K21 Revenue per email sent</t>
  </si>
  <si>
    <t xml:space="preserve">K21</t>
  </si>
  <si>
    <t xml:space="preserve">Revenue per email sent</t>
  </si>
  <si>
    <t xml:space="preserve">Attributed net sales divided by emails delivered</t>
  </si>
  <si>
    <t xml:space="preserve">Email net sales / emails delivered</t>
  </si>
  <si>
    <t xml:space="preserve">Email platform, finance</t>
  </si>
  <si>
    <t xml:space="preserve">Falls 20% against the four-week average</t>
  </si>
  <si>
    <t xml:space="preserve">It shows whether sends earn their keep or train customers to ignore you</t>
  </si>
  <si>
    <t xml:space="preserve">Cut frequency to the least engaged segment, and test send time and content on the rest</t>
  </si>
  <si>
    <t xml:space="preserve">Attribution windows inflate it; fix the window</t>
  </si>
  <si>
    <t xml:space="preserve">K22</t>
  </si>
  <si>
    <t xml:space="preserve">Social followers</t>
  </si>
  <si>
    <t xml:space="preserve">Followers across social accounts</t>
  </si>
  <si>
    <t xml:space="preserve">Count</t>
  </si>
  <si>
    <t xml:space="preserve">Social platforms</t>
  </si>
  <si>
    <t xml:space="preserve">It is unconnected to sales</t>
  </si>
  <si>
    <t xml:space="preserve">Remove it from the dashboard</t>
  </si>
  <si>
    <t xml:space="preserve">Static, slow and unconnected to sales</t>
  </si>
  <si>
    <t xml:space="preserve">K23</t>
  </si>
  <si>
    <t xml:space="preserve">Conversion rate (all sessions)</t>
  </si>
  <si>
    <t xml:space="preserve">Conversion</t>
  </si>
  <si>
    <t xml:space="preserve">Not as a target</t>
  </si>
  <si>
    <t xml:space="preserve">Orders divided by all sessions</t>
  </si>
  <si>
    <t xml:space="preserve">Orders / sessions</t>
  </si>
  <si>
    <t xml:space="preserve">As a target, it rewards turning away customers who were not ready to buy</t>
  </si>
  <si>
    <t xml:space="preserve">Replace it with committed-journey conversion, read with traffic mix and availability</t>
  </si>
  <si>
    <t xml:space="preserve">Counts visits to find a store, read FAQs or check an order as failures, and moves with traffic mix and campaign objective. Fill the car park with five coaches, open the doors on one, and conversion halves while the target is met</t>
  </si>
  <si>
    <t xml:space="preserve">K24 Committed-journey conversion</t>
  </si>
  <si>
    <t xml:space="preserve">K24</t>
  </si>
  <si>
    <t xml:space="preserve">Committed-journey conversion</t>
  </si>
  <si>
    <t xml:space="preserve">Orders from sessions that viewed a product or added to basket</t>
  </si>
  <si>
    <t xml:space="preserve">Orders / product-viewing sessions</t>
  </si>
  <si>
    <t xml:space="preserve">10% below plan for two weeks</t>
  </si>
  <si>
    <t xml:space="preserve">Each tenth of a point lost is orders from customers who arrived ready to buy</t>
  </si>
  <si>
    <t xml:space="preserve">Run the conversion investigation path: channel, availability, checkout, price, then site changes</t>
  </si>
  <si>
    <t xml:space="preserve">Still moves with availability and price; read it with K32</t>
  </si>
  <si>
    <t xml:space="preserve">K29 AOV</t>
  </si>
  <si>
    <t xml:space="preserve">K47</t>
  </si>
  <si>
    <t xml:space="preserve">Product view rate</t>
  </si>
  <si>
    <t xml:space="preserve">Share of sessions that view at least one product page</t>
  </si>
  <si>
    <t xml:space="preserve">Sessions with a product view / sessions</t>
  </si>
  <si>
    <t xml:space="preserve">Falls 5 points against the four-week average</t>
  </si>
  <si>
    <t xml:space="preserve">Visitors who never see a product cannot buy one; a fall points at navigation or landing pages</t>
  </si>
  <si>
    <t xml:space="preserve">Find the entry pages and devices with the lowest rate, then fix navigation or send the campaigns to range pages</t>
  </si>
  <si>
    <t xml:space="preserve">Traffic that lands directly on product pages inflates it; read it by entry page</t>
  </si>
  <si>
    <t xml:space="preserve">K25 Add-to-basket rate</t>
  </si>
  <si>
    <t xml:space="preserve">K25</t>
  </si>
  <si>
    <t xml:space="preserve">Add-to-basket rate</t>
  </si>
  <si>
    <t xml:space="preserve">Product-viewing sessions that add to basket</t>
  </si>
  <si>
    <t xml:space="preserve">Basket adds / product-viewing sessions</t>
  </si>
  <si>
    <t xml:space="preserve">Day-on-day fall of more than 15% on a category</t>
  </si>
  <si>
    <t xml:space="preserve">It is the first place a stock or price problem shows, before it reaches sales</t>
  </si>
  <si>
    <t xml:space="preserve">Check sizes and price on the product pages with the largest fall, and fix availability before buying more traffic to them</t>
  </si>
  <si>
    <t xml:space="preserve">A size out of stock shows up here first, not in stock reports</t>
  </si>
  <si>
    <t xml:space="preserve">K26</t>
  </si>
  <si>
    <t xml:space="preserve">Checkout completion rate</t>
  </si>
  <si>
    <t xml:space="preserve">Checkouts started that end in an order</t>
  </si>
  <si>
    <t xml:space="preserve">Orders / checkouts started</t>
  </si>
  <si>
    <t xml:space="preserve">Falls 5 points in a day</t>
  </si>
  <si>
    <t xml:space="preserve">These are customers who decided to buy and were stopped: the cheapest sales to recover</t>
  </si>
  <si>
    <t xml:space="preserve">Check the release log first and roll back if needed, then payment method and device</t>
  </si>
  <si>
    <t xml:space="preserve">A sudden fall is almost always a defect, not a customer mood</t>
  </si>
  <si>
    <t xml:space="preserve">K27 Payment acceptance rate</t>
  </si>
  <si>
    <t xml:space="preserve">K27</t>
  </si>
  <si>
    <t xml:space="preserve">Payment acceptance rate</t>
  </si>
  <si>
    <t xml:space="preserve">Payment attempts authorised</t>
  </si>
  <si>
    <t xml:space="preserve">Authorised / attempted payments</t>
  </si>
  <si>
    <t xml:space="preserve">Payment provider</t>
  </si>
  <si>
    <t xml:space="preserve">Falls 2 points in a day</t>
  </si>
  <si>
    <t xml:space="preserve">Each decline is a customer already at the till</t>
  </si>
  <si>
    <t xml:space="preserve">Review declines by provider and 3DS outcome with the payment provider the same day</t>
  </si>
  <si>
    <t xml:space="preserve">Fraud rules that reject good customers look like a conversion problem</t>
  </si>
  <si>
    <t xml:space="preserve">K43 Fraud and chargebacks</t>
  </si>
  <si>
    <t xml:space="preserve">K28</t>
  </si>
  <si>
    <t xml:space="preserve">Search zero-result rate</t>
  </si>
  <si>
    <t xml:space="preserve">On-site searches that return no products</t>
  </si>
  <si>
    <t xml:space="preserve">Zero-result searches / searches</t>
  </si>
  <si>
    <t xml:space="preserve">Site search</t>
  </si>
  <si>
    <t xml:space="preserve">Zero-result rate above 5% (example)</t>
  </si>
  <si>
    <t xml:space="preserve">A search with no results tells a customer you do not sell what they want</t>
  </si>
  <si>
    <t xml:space="preserve">Review the top zero-result terms weekly: add synonyms for range you stock, and pass the rest to buying as range gaps</t>
  </si>
  <si>
    <t xml:space="preserve">Searches for products you do not sell are a range signal, not a search defect</t>
  </si>
  <si>
    <t xml:space="preserve">K48</t>
  </si>
  <si>
    <t xml:space="preserve">Search usage rate</t>
  </si>
  <si>
    <t xml:space="preserve">Share of sessions that use on-site search</t>
  </si>
  <si>
    <t xml:space="preserve">Searching sessions / sessions</t>
  </si>
  <si>
    <t xml:space="preserve">Site search, web analytics</t>
  </si>
  <si>
    <t xml:space="preserve">Moves 3 points against the four-week average</t>
  </si>
  <si>
    <t xml:space="preserve">It shows how customers prefer to find range, and whether navigation is failing them</t>
  </si>
  <si>
    <t xml:space="preserve">Rising with falling search conversion, fix navigation. Rising with steady conversion, invest in search relevance</t>
  </si>
  <si>
    <t xml:space="preserve">Rising usage can mean high intent or failing navigation; read it with search conversion</t>
  </si>
  <si>
    <t xml:space="preserve">K49 Search conversion rate</t>
  </si>
  <si>
    <t xml:space="preserve">K49</t>
  </si>
  <si>
    <t xml:space="preserve">Search conversion rate</t>
  </si>
  <si>
    <t xml:space="preserve">Orders from sessions that used on-site search</t>
  </si>
  <si>
    <t xml:space="preserve">Orders from searching sessions / searching sessions</t>
  </si>
  <si>
    <t xml:space="preserve">Falls 10% against the four-week average</t>
  </si>
  <si>
    <t xml:space="preserve">Searchers are the customers most ready to buy, so losing them is expensive</t>
  </si>
  <si>
    <t xml:space="preserve">Review relevance on the top 50 terms, fix ranking rules, and check the zero-result share alongside</t>
  </si>
  <si>
    <t xml:space="preserve">Searchers arrive with more intent, so comparing them with non-searchers flatters search; compare search with itself over time</t>
  </si>
  <si>
    <t xml:space="preserve">K28 Search zero-result rate</t>
  </si>
  <si>
    <t xml:space="preserve">K29</t>
  </si>
  <si>
    <t xml:space="preserve">Average order value</t>
  </si>
  <si>
    <t xml:space="preserve">Gross demand divided by orders</t>
  </si>
  <si>
    <t xml:space="preserve">Gross demand / orders</t>
  </si>
  <si>
    <t xml:space="preserve">5% below plan for two weeks</t>
  </si>
  <si>
    <t xml:space="preserve">A smaller basket needs more orders to reach the same sales</t>
  </si>
  <si>
    <t xml:space="preserve">Run the AOV investigation path: mix, discount, units per order, sell-outs, then new-customer share</t>
  </si>
  <si>
    <t xml:space="preserve">Rises when cheap orders disappear, which is not good news</t>
  </si>
  <si>
    <t xml:space="preserve">K30 Units per order</t>
  </si>
  <si>
    <t xml:space="preserve">K30</t>
  </si>
  <si>
    <t xml:space="preserve">Units per order</t>
  </si>
  <si>
    <t xml:space="preserve">Units divided by orders</t>
  </si>
  <si>
    <t xml:space="preserve">Units / orders</t>
  </si>
  <si>
    <t xml:space="preserve">It explains AOV and rarely deserves a decision of its own</t>
  </si>
  <si>
    <t xml:space="preserve">Read it only when AOV moves</t>
  </si>
  <si>
    <t xml:space="preserve">Multi-buy promotions inflate it and returns take it back</t>
  </si>
  <si>
    <t xml:space="preserve">K31</t>
  </si>
  <si>
    <t xml:space="preserve">Time on site and pages per session</t>
  </si>
  <si>
    <t xml:space="preserve">Average visit length and depth</t>
  </si>
  <si>
    <t xml:space="preserve">Duration / sessions</t>
  </si>
  <si>
    <t xml:space="preserve">Engagement and confusion produce the same number</t>
  </si>
  <si>
    <t xml:space="preserve">Remove it from the dashboard; read committed-journey conversion instead</t>
  </si>
  <si>
    <t xml:space="preserve">Engagement and confusion look identical</t>
  </si>
  <si>
    <t xml:space="preserve">K32</t>
  </si>
  <si>
    <t xml:space="preserve">Availability of best sellers</t>
  </si>
  <si>
    <t xml:space="preserve">Product and stock</t>
  </si>
  <si>
    <t xml:space="preserve">Share of the top lines, weighted by the last four weeks of sales, with every core size in stock and purchasable online. Measured at size level; lines with no demand in the period, and end-of-life lines, are excluded</t>
  </si>
  <si>
    <t xml:space="preserve">Weights of lines with all core sizes in stock / total weights</t>
  </si>
  <si>
    <t xml:space="preserve">Below 90% (example)</t>
  </si>
  <si>
    <t xml:space="preserve">Every best seller out of stock is a customer who came for it and left, and paid traffic to it is wasted</t>
  </si>
  <si>
    <t xml:space="preserve">Chase purchase orders on the gaps, pause paid traffic to broken lines, and value the lost sales by day</t>
  </si>
  <si>
    <t xml:space="preserve">A line with 60% of its units left and no core sizes counts as in stock unless sizes are weighted</t>
  </si>
  <si>
    <t xml:space="preserve">K33</t>
  </si>
  <si>
    <t xml:space="preserve">Full-price sell-through</t>
  </si>
  <si>
    <t xml:space="preserve">Units sold at full price as a share of units received this season. Transfers out are deducted from receipts; cancellations are excluded</t>
  </si>
  <si>
    <t xml:space="preserve">Full-price units sold / (season receipts - transfers out)</t>
  </si>
  <si>
    <t xml:space="preserve">Five points behind the prior year at the same week</t>
  </si>
  <si>
    <t xml:space="preserve">Full-price sales fund the margin that markdown later gives away</t>
  </si>
  <si>
    <t xml:space="preserve">Ahead, reorder depth on the winners. Behind, plan markdown timing now rather than at season end</t>
  </si>
  <si>
    <t xml:space="preserve">Low sell-through can hide a line doing a job, such as drawing customers in</t>
  </si>
  <si>
    <t xml:space="preserve">K34</t>
  </si>
  <si>
    <t xml:space="preserve">Discount depth</t>
  </si>
  <si>
    <t xml:space="preserve">Discount given as a share of full-price value</t>
  </si>
  <si>
    <t xml:space="preserve">Discount / full-price value</t>
  </si>
  <si>
    <t xml:space="preserve">Three points above plan in a full-price period</t>
  </si>
  <si>
    <t xml:space="preserve">Each point of discount gives away margin on sales that may have happened anyway</t>
  </si>
  <si>
    <t xml:space="preserve">Require a margin case for any promotion above plan depth, and review the deepest three each week</t>
  </si>
  <si>
    <t xml:space="preserve">A sale that lifts sales and margin falls on the same day is still a sale</t>
  </si>
  <si>
    <t xml:space="preserve">K03 Gross margin %</t>
  </si>
  <si>
    <t xml:space="preserve">K35</t>
  </si>
  <si>
    <t xml:space="preserve">Forward weeks cover by line</t>
  </si>
  <si>
    <t xml:space="preserve">Merchandise Analyst</t>
  </si>
  <si>
    <t xml:space="preserve">Stock units divided by forecast weekly sales, by line</t>
  </si>
  <si>
    <t xml:space="preserve">Units / forecast weekly units</t>
  </si>
  <si>
    <t xml:space="preserve">Cover below supplier lead time on a top line</t>
  </si>
  <si>
    <t xml:space="preserve">It shows which lines will run out before new stock can arrive</t>
  </si>
  <si>
    <t xml:space="preserve">Expedite or reorder lines with cover below lead time, and transfer stock from slower channels</t>
  </si>
  <si>
    <t xml:space="preserve">Averages across a category hide the broken lines</t>
  </si>
  <si>
    <t xml:space="preserve">K36 Broken size curves</t>
  </si>
  <si>
    <t xml:space="preserve">K36</t>
  </si>
  <si>
    <t xml:space="preserve">Broken size curves</t>
  </si>
  <si>
    <t xml:space="preserve">Options with stock left but core sizes sold out</t>
  </si>
  <si>
    <t xml:space="preserve">Broken options / live options</t>
  </si>
  <si>
    <t xml:space="preserve">More than 10% of top options broken</t>
  </si>
  <si>
    <t xml:space="preserve">Stock that looks healthy but cannot be sold to most customers</t>
  </si>
  <si>
    <t xml:space="preserve">Transfer or reorder core sizes, and stop promoting broken options</t>
  </si>
  <si>
    <t xml:space="preserve">Stock reports show units, not sellable units</t>
  </si>
  <si>
    <t xml:space="preserve">K37</t>
  </si>
  <si>
    <t xml:space="preserve">Number of live SKUs</t>
  </si>
  <si>
    <t xml:space="preserve">Products published and purchasable</t>
  </si>
  <si>
    <t xml:space="preserve">Platform</t>
  </si>
  <si>
    <t xml:space="preserve">More options without depth spread stock and traffic thin</t>
  </si>
  <si>
    <t xml:space="preserve">Remove it from the dashboard; review range depth in the buying plan</t>
  </si>
  <si>
    <t xml:space="preserve">More is not better; a long tail with no stock depth is cost</t>
  </si>
  <si>
    <t xml:space="preserve">K33 Full-price sell-through</t>
  </si>
  <si>
    <t xml:space="preserve">K38</t>
  </si>
  <si>
    <t xml:space="preserve">Returns rate by category and reason</t>
  </si>
  <si>
    <t xml:space="preserve">Returns</t>
  </si>
  <si>
    <t xml:space="preserve">Value of items returned, booked to the week of the original sale, as a share of gross demand after discount and before returns. Exchanges count as returns; cancellations before dispatch do not</t>
  </si>
  <si>
    <t xml:space="preserve">Returns value by sale week / gross demand</t>
  </si>
  <si>
    <t xml:space="preserve">Returns platform</t>
  </si>
  <si>
    <t xml:space="preserve">Two points above plan for four weeks</t>
  </si>
  <si>
    <t xml:space="preserve">Every returned order costs postage, handling and often a write-off, and takes the sale back</t>
  </si>
  <si>
    <t xml:space="preserve">Fix the category and reason driving it: size guide, imagery, then product quality</t>
  </si>
  <si>
    <t xml:space="preserve">A site-wide average hides the one category driving it</t>
  </si>
  <si>
    <t xml:space="preserve">K39 Cost to serve per order</t>
  </si>
  <si>
    <t xml:space="preserve">K39</t>
  </si>
  <si>
    <t xml:space="preserve">Cost to serve per order</t>
  </si>
  <si>
    <t xml:space="preserve">Operations</t>
  </si>
  <si>
    <t xml:space="preserve">Operations Manager</t>
  </si>
  <si>
    <t xml:space="preserve">Fulfilment, returns handling and service cost per order</t>
  </si>
  <si>
    <t xml:space="preserve">(Fulfilment + returns + service costs) / orders</t>
  </si>
  <si>
    <t xml:space="preserve">Finance, 3PL</t>
  </si>
  <si>
    <t xml:space="preserve">10% above plan for a period</t>
  </si>
  <si>
    <t xml:space="preserve">It decides whether a typical order makes money once it is delivered and returned</t>
  </si>
  <si>
    <t xml:space="preserve">Review delivery options, the returns policy and 3PL rates on the three largest cost lines</t>
  </si>
  <si>
    <t xml:space="preserve">Falls when orders get larger, which is a mix effect, not efficiency</t>
  </si>
  <si>
    <t xml:space="preserve">K38 Returns rate</t>
  </si>
  <si>
    <t xml:space="preserve">K40</t>
  </si>
  <si>
    <t xml:space="preserve">Delivery promise kept</t>
  </si>
  <si>
    <t xml:space="preserve">Orders delivered within the date promised at checkout</t>
  </si>
  <si>
    <t xml:space="preserve">On-time orders / orders delivered</t>
  </si>
  <si>
    <t xml:space="preserve">3PL, carrier</t>
  </si>
  <si>
    <t xml:space="preserve">Below 95% (example)</t>
  </si>
  <si>
    <t xml:space="preserve">A broken promise drives contacts, refusals and customers who do not come back</t>
  </si>
  <si>
    <t xml:space="preserve">Review carrier performance by region, and move cut-off times or promise dates before peak</t>
  </si>
  <si>
    <t xml:space="preserve">Measures the promise, so a slow promise kept scores well</t>
  </si>
  <si>
    <t xml:space="preserve">K41 Contacts per order</t>
  </si>
  <si>
    <t xml:space="preserve">K41</t>
  </si>
  <si>
    <t xml:space="preserve">Customer contacts per order</t>
  </si>
  <si>
    <t xml:space="preserve">Customer Service Manager</t>
  </si>
  <si>
    <t xml:space="preserve">Service contacts divided by orders</t>
  </si>
  <si>
    <t xml:space="preserve">Contacts / orders</t>
  </si>
  <si>
    <t xml:space="preserve">Service platform</t>
  </si>
  <si>
    <t xml:space="preserve">20% above the four-week average</t>
  </si>
  <si>
    <t xml:space="preserve">Each contact costs money and usually signals something broken upstream</t>
  </si>
  <si>
    <t xml:space="preserve">Read the top contact reasons and fix the first one at source, not in the contact centre</t>
  </si>
  <si>
    <t xml:space="preserve">Self-service that hides the contact button lowers it and loses customers</t>
  </si>
  <si>
    <t xml:space="preserve">K40 Delivery promise kept</t>
  </si>
  <si>
    <t xml:space="preserve">K42</t>
  </si>
  <si>
    <t xml:space="preserve">Net promoter score</t>
  </si>
  <si>
    <t xml:space="preserve">Promoters less detractors, from a post-purchase survey</t>
  </si>
  <si>
    <t xml:space="preserve">% promoters - % detractors</t>
  </si>
  <si>
    <t xml:space="preserve">Survey platform</t>
  </si>
  <si>
    <t xml:space="preserve">Too slow and too averaged to act on, although useful as a long-run signal</t>
  </si>
  <si>
    <t xml:space="preserve">Report it quarterly as context; act on contacts per order and second-order rate instead</t>
  </si>
  <si>
    <t xml:space="preserve">Survey timing and who answers move it more than service does</t>
  </si>
  <si>
    <t xml:space="preserve">K43</t>
  </si>
  <si>
    <t xml:space="preserve">Fraud and chargebacks</t>
  </si>
  <si>
    <t xml:space="preserve">Losses from fraud and chargebacks as a share of demand</t>
  </si>
  <si>
    <t xml:space="preserve">Losses / gross demand</t>
  </si>
  <si>
    <t xml:space="preserve">Doubles against the four-week average</t>
  </si>
  <si>
    <t xml:space="preserve">Losses come straight off contribution, and over-tight rules lose good customers</t>
  </si>
  <si>
    <t xml:space="preserve">Review rule changes and chargeback reasons, and tune the rules with acceptance rate alongside</t>
  </si>
  <si>
    <t xml:space="preserve">Tight rules lower it and reject good customers</t>
  </si>
  <si>
    <t xml:space="preserve">K44</t>
  </si>
  <si>
    <t xml:space="preserve">Trading-hours incidents</t>
  </si>
  <si>
    <t xml:space="preserve">Site or checkout incidents during trading hours, with minutes lost</t>
  </si>
  <si>
    <t xml:space="preserve">Count and minutes</t>
  </si>
  <si>
    <t xml:space="preserve">Platform monitoring</t>
  </si>
  <si>
    <t xml:space="preserve">Any incident over 15 minutes in trading hours</t>
  </si>
  <si>
    <t xml:space="preserve">Minutes lost in trading hours are sales that do not come back</t>
  </si>
  <si>
    <t xml:space="preserve">Hold a post-incident review within 48 hours with a named fix, and freeze releases before peak</t>
  </si>
  <si>
    <t xml:space="preserve">Uptime percentages hide when the outage happened</t>
  </si>
  <si>
    <t xml:space="preserve">K26 Checkout completion</t>
  </si>
  <si>
    <t xml:space="preserve">K45</t>
  </si>
  <si>
    <t xml:space="preserve">Page views</t>
  </si>
  <si>
    <t xml:space="preserve">Pages viewed</t>
  </si>
  <si>
    <t xml:space="preserve">It rises when navigation gets worse</t>
  </si>
  <si>
    <t xml:space="preserve">Rises when navigation gets worse</t>
  </si>
  <si>
    <t xml:space="preserve">K46</t>
  </si>
  <si>
    <t xml:space="preserve">App downloads</t>
  </si>
  <si>
    <t xml:space="preserve">Installs of the retailer's app</t>
  </si>
  <si>
    <t xml:space="preserve">App stores</t>
  </si>
  <si>
    <t xml:space="preserve">Installs are not customers</t>
  </si>
  <si>
    <t xml:space="preserve">Replace it with active app customers and their share of sales</t>
  </si>
  <si>
    <t xml:space="preserve">Paid install campaigns buy the number without the customer</t>
  </si>
  <si>
    <t xml:space="preserve">The meaningful test</t>
  </si>
  <si>
    <t xml:space="preserve">List every metric on your current dashboard. Answer six questions for each. The verdict says whether it earns its place. The sample is a typical dashboard, before.</t>
  </si>
  <si>
    <t xml:space="preserve">#</t>
  </si>
  <si>
    <t xml:space="preserve">Metric on your dashboard</t>
  </si>
  <si>
    <t xml:space="preserve">Library class</t>
  </si>
  <si>
    <t xml:space="preserve">1. A named person owns it?</t>
  </si>
  <si>
    <t xml:space="preserve">2. It informs a specific decision?</t>
  </si>
  <si>
    <t xml:space="preserve">3. There is an agreed action when it trips? (Now what?)</t>
  </si>
  <si>
    <t xml:space="preserve">4. It moves enough to act on at its cadence?</t>
  </si>
  <si>
    <t xml:space="preserve">5. It is tied to money, margin or customers, not volume?</t>
  </si>
  <si>
    <t xml:space="preserve">6. It is read with a counter-metric?</t>
  </si>
  <si>
    <t xml:space="preserve">Score (of 6)</t>
  </si>
  <si>
    <t xml:space="preserve">Verdict</t>
  </si>
  <si>
    <t xml:space="preserve">Y</t>
  </si>
  <si>
    <t xml:space="preserve">N</t>
  </si>
  <si>
    <t xml:space="preserve">Bounce rate (site-wide)</t>
  </si>
  <si>
    <t xml:space="preserve">What the test says about this dashboard</t>
  </si>
  <si>
    <t xml:space="preserve">Replace with its pair (classed Misleading)</t>
  </si>
  <si>
    <t xml:space="preserve">Not yet answered</t>
  </si>
  <si>
    <t xml:space="preserve">Share of the dashboard that drives a decision</t>
  </si>
  <si>
    <t xml:space="preserve">A metric the library classes Misleading is replaced whatever the answers say. Questions 1 to 3 decide whether a metric drives a decision. Question 4 decides whether it is worth watching. Questions 5 and 6 decide whether it can be trusted on its own.</t>
  </si>
  <si>
    <t xml:space="preserve">Board dashboard</t>
  </si>
  <si>
    <t xml:space="preserve">Eight measures or fewer, reviewed monthly or quarterly. Each one names its owner and the decision it asks of the board. Illustrative figures for a fictional retailer, periods 1 to 6.</t>
  </si>
  <si>
    <t xml:space="preserve">Measure</t>
  </si>
  <si>
    <t xml:space="preserve">Year to date as</t>
  </si>
  <si>
    <t xml:space="preserve">P1</t>
  </si>
  <si>
    <t xml:space="preserve">P2</t>
  </si>
  <si>
    <t xml:space="preserve">P3</t>
  </si>
  <si>
    <t xml:space="preserve">P4</t>
  </si>
  <si>
    <t xml:space="preserve">P5</t>
  </si>
  <si>
    <t xml:space="preserve">P6</t>
  </si>
  <si>
    <t xml:space="preserve">Year to date actual</t>
  </si>
  <si>
    <t xml:space="preserve">Year to date plan</t>
  </si>
  <si>
    <t xml:space="preserve">Versus plan</t>
  </si>
  <si>
    <t xml:space="preserve">Watch beyond</t>
  </si>
  <si>
    <t xml:space="preserve">Act beyond</t>
  </si>
  <si>
    <t xml:space="preserve">Status</t>
  </si>
  <si>
    <t xml:space="preserve">Now what? The decision asked of the board</t>
  </si>
  <si>
    <t xml:space="preserve">Net sales</t>
  </si>
  <si>
    <t xml:space="preserve">Sum</t>
  </si>
  <si>
    <t xml:space="preserve">Three points behind plan with half the year left; recovering it later means discount or media</t>
  </si>
  <si>
    <t xml:space="preserve">Re-phase P7 to P9 once the conversion investigation reports</t>
  </si>
  <si>
    <t xml:space="preserve">Contribution is falling faster than sales: the plan is being bought, not earned</t>
  </si>
  <si>
    <t xml:space="preserve">Approve the re-phased media plan for P7 to P9</t>
  </si>
  <si>
    <t xml:space="preserve">Contribution after marketing %</t>
  </si>
  <si>
    <t xml:space="preserve">Ratio</t>
  </si>
  <si>
    <t xml:space="preserve">The line above is the amount; this is the quality, the share of each pound of sales the business keeps after paying for it</t>
  </si>
  <si>
    <t xml:space="preserve">Decided with the line above</t>
  </si>
  <si>
    <t xml:space="preserve">Latest</t>
  </si>
  <si>
    <t xml:space="preserve">Margin fell 1.8 points in P6, worth about £40,000 at P6 sales</t>
  </si>
  <si>
    <t xml:space="preserve">Hold the P6 promotion calendar for review</t>
  </si>
  <si>
    <t xml:space="preserve">At 0.94x, every new customer now loses money on the first order</t>
  </si>
  <si>
    <t xml:space="preserve">Cap acquisition spend until payback recovers above 1.0x</t>
  </si>
  <si>
    <t xml:space="preserve">The customer base is growing, ahead of plan</t>
  </si>
  <si>
    <t xml:space="preserve">No decision needed this period</t>
  </si>
  <si>
    <t xml:space="preserve">Inventory forward weeks cover</t>
  </si>
  <si>
    <t xml:space="preserve">Cover 20% under plan going into peak puts best sellers at risk</t>
  </si>
  <si>
    <t xml:space="preserve">Approve expedited intake on the top 20 lines</t>
  </si>
  <si>
    <t xml:space="preserve">Returns rate by value</t>
  </si>
  <si>
    <t xml:space="preserve">Returns 1.6 points over plan take sales back and add handling cost</t>
  </si>
  <si>
    <t xml:space="preserve">Fund a size-guidance fix in the two worst categories</t>
  </si>
  <si>
    <t xml:space="preserve">Better when Band means distance from plan in either direction is bad, as with stock cover. Year to date as: Sum adds the periods; Latest takes the most recent period; Ratio divides the two rows above. Watch and Act are tolerances against plan in the unfavourable direction. Set your own.</t>
  </si>
  <si>
    <t xml:space="preserve">Eight rows, no more. Escalate only what needs board resources, oversight or a strategic decision; anything management is already authorised to fix stays on the SLT dashboard. If a measure never asks the board for a decision, it belongs there too.</t>
  </si>
  <si>
    <t xml:space="preserve">SLT dashboard</t>
  </si>
  <si>
    <t xml:space="preserve">Weekly. The levers beneath the board measures, each with a tolerance, a four-week direction and an owner. Illustrative figures for a fictional retailer, week 27.</t>
  </si>
  <si>
    <t xml:space="preserve">Week -4</t>
  </si>
  <si>
    <t xml:space="preserve">Week -3</t>
  </si>
  <si>
    <t xml:space="preserve">Week -2</t>
  </si>
  <si>
    <t xml:space="preserve">Week -1</t>
  </si>
  <si>
    <t xml:space="preserve">This week</t>
  </si>
  <si>
    <t xml:space="preserve">Plan</t>
  </si>
  <si>
    <t xml:space="preserve">Last year</t>
  </si>
  <si>
    <t xml:space="preserve">Versus last year</t>
  </si>
  <si>
    <t xml:space="preserve">Tolerance</t>
  </si>
  <si>
    <t xml:space="preserve">Five-week direction</t>
  </si>
  <si>
    <t xml:space="preserve">By when</t>
  </si>
  <si>
    <t xml:space="preserve">6% behind plan this week and worsening; the shortfall is conversion, not traffic</t>
  </si>
  <si>
    <t xml:space="preserve">Check availability on the top 20 before adding media</t>
  </si>
  <si>
    <t xml:space="preserve">Media is rising while contribution falls</t>
  </si>
  <si>
    <t xml:space="preserve">Media rose 9% on last week; hold it flat until conversion recovers</t>
  </si>
  <si>
    <t xml:space="preserve">Friday</t>
  </si>
  <si>
    <t xml:space="preserve">Margin down a point on plan, from promotions in two categories</t>
  </si>
  <si>
    <t xml:space="preserve">Review the two promotions with the lowest margin per order</t>
  </si>
  <si>
    <t xml:space="preserve">On plan, but down for three weeks</t>
  </si>
  <si>
    <t xml:space="preserve">Check acquisition cost by channel before the trend reaches plan</t>
  </si>
  <si>
    <t xml:space="preserve">Next week</t>
  </si>
  <si>
    <t xml:space="preserve">Up 14% on plan: new customers now cost more than their first order earns</t>
  </si>
  <si>
    <t xml:space="preserve">Pull the two paid social campaigns above £30 per new customer</t>
  </si>
  <si>
    <t xml:space="preserve">Wednesday</t>
  </si>
  <si>
    <t xml:space="preserve">8% down on plan, and the largest single drag on sales</t>
  </si>
  <si>
    <t xml:space="preserve">Run the conversion investigation path</t>
  </si>
  <si>
    <t xml:space="preserve">Ahead of plan; check it is not cheap orders disappearing</t>
  </si>
  <si>
    <t xml:space="preserve">No action; read it with units per order</t>
  </si>
  <si>
    <t xml:space="preserve">Down seven points in five weeks: customers arriving for lines we cannot sell</t>
  </si>
  <si>
    <t xml:space="preserve">Chase the three late purchase orders; stop paid search on the broken lines</t>
  </si>
  <si>
    <t xml:space="preserve">Ahead of plan and improving</t>
  </si>
  <si>
    <t xml:space="preserve">Reorder depth on the top five lines</t>
  </si>
  <si>
    <t xml:space="preserve">On plan but creeping up</t>
  </si>
  <si>
    <t xml:space="preserve">Hold promotion approvals to plan depth</t>
  </si>
  <si>
    <t xml:space="preserve">Ongoing</t>
  </si>
  <si>
    <t xml:space="preserve">Up 1.6 points on plan, driven by size returns in footwear</t>
  </si>
  <si>
    <t xml:space="preserve">Footwear returns for size up 4 points: review the size guide</t>
  </si>
  <si>
    <t xml:space="preserve">On plan, slipping slightly</t>
  </si>
  <si>
    <t xml:space="preserve">Confirm carrier capacity for peak</t>
  </si>
  <si>
    <t xml:space="preserve">Trading-hours incidents (minutes)</t>
  </si>
  <si>
    <t xml:space="preserve">38 minutes of checkout outage in trading hours</t>
  </si>
  <si>
    <t xml:space="preserve">Post-incident review of Tuesday's checkout outage</t>
  </si>
  <si>
    <t xml:space="preserve">Thursday</t>
  </si>
  <si>
    <t xml:space="preserve">Status compares this week with plan, in the favourable or unfavourable direction, against your tolerance. Direction is the slope of the last five weeks. A measure can be on plan and worsening: that is the one to talk about.</t>
  </si>
  <si>
    <t xml:space="preserve">Department dashboards</t>
  </si>
  <si>
    <t xml:space="preserve">Daily or weekly levers for each team. Each has a threshold, an owner and the first place to look when it trips. Illustrative figures.</t>
  </si>
  <si>
    <t xml:space="preserve">This period</t>
  </si>
  <si>
    <t xml:space="preserve">Threshold</t>
  </si>
  <si>
    <t xml:space="preserve">So what? (from the library)</t>
  </si>
  <si>
    <t xml:space="preserve">Now what? First place to look</t>
  </si>
  <si>
    <t xml:space="preserve">Trading</t>
  </si>
  <si>
    <t xml:space="preserve">Sizes missing on the top 20 product pages</t>
  </si>
  <si>
    <t xml:space="preserve">Top zero-result terms: range gap or missing synonym?</t>
  </si>
  <si>
    <t xml:space="preserve">Relevance of the top 50 search terms, and their zero-result share</t>
  </si>
  <si>
    <t xml:space="preserve">Top lines with cover below lead time</t>
  </si>
  <si>
    <t xml:space="preserve">Open purchase orders and their due dates</t>
  </si>
  <si>
    <t xml:space="preserve">Broken size curves on top options</t>
  </si>
  <si>
    <t xml:space="preserve">Which core sizes, and is a transfer possible?</t>
  </si>
  <si>
    <t xml:space="preserve">Performance marketing</t>
  </si>
  <si>
    <t xml:space="preserve">Cost per session: paid search</t>
  </si>
  <si>
    <t xml:space="preserve">Impression share and competitor bids on brand terms</t>
  </si>
  <si>
    <t xml:space="preserve">Engaged sessions: paid social</t>
  </si>
  <si>
    <t xml:space="preserve">Creative and audience by campaign</t>
  </si>
  <si>
    <t xml:space="preserve">Bounce rate: top paid landing page</t>
  </si>
  <si>
    <t xml:space="preserve">Does the page match the ad's promise and offer?</t>
  </si>
  <si>
    <t xml:space="preserve">Frequency, segment and send time</t>
  </si>
  <si>
    <t xml:space="preserve">Second-order rate, latest mature cohort</t>
  </si>
  <si>
    <t xml:space="preserve">Welcome journey performance and first-order discount</t>
  </si>
  <si>
    <t xml:space="preserve">Site and UX</t>
  </si>
  <si>
    <t xml:space="preserve">Product view rate by entry page and device</t>
  </si>
  <si>
    <t xml:space="preserve">Release log, then payment method and device</t>
  </si>
  <si>
    <t xml:space="preserve">Declines by provider and 3DS outcome</t>
  </si>
  <si>
    <t xml:space="preserve">Trading-hours incident minutes</t>
  </si>
  <si>
    <t xml:space="preserve">Incident log and root cause</t>
  </si>
  <si>
    <t xml:space="preserve">Operations and service</t>
  </si>
  <si>
    <t xml:space="preserve">Contact reasons: where is my order, returns, product questions</t>
  </si>
  <si>
    <t xml:space="preserve">Carrier and region</t>
  </si>
  <si>
    <t xml:space="preserve">Rule changes and chargeback reasons</t>
  </si>
  <si>
    <t xml:space="preserve">Thresholds here are absolute values, not tolerances. They are examples: set them from your own history.</t>
  </si>
  <si>
    <t xml:space="preserve">Driver tree and variance attribution</t>
  </si>
  <si>
    <t xml:space="preserve">How the measures connect, and how much of a variance each lever explains. Conversion appears here as arithmetic, not as a target. Illustrative period: P6.</t>
  </si>
  <si>
    <t xml:space="preserve">Driver</t>
  </si>
  <si>
    <t xml:space="preserve">Actual</t>
  </si>
  <si>
    <t xml:space="preserve">Variance</t>
  </si>
  <si>
    <t xml:space="preserve">Conversion (orders / sessions)</t>
  </si>
  <si>
    <t xml:space="preserve">Average order value (£)</t>
  </si>
  <si>
    <t xml:space="preserve">Gross margin % on net sales</t>
  </si>
  <si>
    <t xml:space="preserve">Variable cost per order (£)</t>
  </si>
  <si>
    <t xml:space="preserve">Media spend (£)</t>
  </si>
  <si>
    <t xml:space="preserve">Calculated</t>
  </si>
  <si>
    <t xml:space="preserve">Orders</t>
  </si>
  <si>
    <t xml:space="preserve">Gross demand</t>
  </si>
  <si>
    <t xml:space="preserve">Gross margin</t>
  </si>
  <si>
    <t xml:space="preserve">Variable costs</t>
  </si>
  <si>
    <t xml:space="preserve">Contribution before marketing</t>
  </si>
  <si>
    <t xml:space="preserve">Where the net sales variance came from</t>
  </si>
  <si>
    <t xml:space="preserve">Effect</t>
  </si>
  <si>
    <t xml:space="preserve">£</t>
  </si>
  <si>
    <t xml:space="preserve">Share of variance</t>
  </si>
  <si>
    <t xml:space="preserve">Investigation path</t>
  </si>
  <si>
    <t xml:space="preserve">Committed-journey conversion falls</t>
  </si>
  <si>
    <t xml:space="preserve">Basket</t>
  </si>
  <si>
    <t xml:space="preserve">AOV falls</t>
  </si>
  <si>
    <t xml:space="preserve">Returns rate rises</t>
  </si>
  <si>
    <t xml:space="preserve">Total net sales variance</t>
  </si>
  <si>
    <t xml:space="preserve">Check: must equal the calculated variance</t>
  </si>
  <si>
    <t xml:space="preserve">Where the contribution variance came from</t>
  </si>
  <si>
    <t xml:space="preserve">Sales volume, at plan margin and plan cost per order</t>
  </si>
  <si>
    <t xml:space="preserve">Margin rate</t>
  </si>
  <si>
    <t xml:space="preserve">Contribution falls while sales rise</t>
  </si>
  <si>
    <t xml:space="preserve">Variable cost per order</t>
  </si>
  <si>
    <t xml:space="preserve">Media</t>
  </si>
  <si>
    <t xml:space="preserve">Customer acquisition cost rises</t>
  </si>
  <si>
    <t xml:space="preserve">Total contribution variance</t>
  </si>
  <si>
    <t xml:space="preserve">What the numbers establish</t>
  </si>
  <si>
    <t xml:space="preserve">What the pattern suggests</t>
  </si>
  <si>
    <t xml:space="preserve">What would establish the cause</t>
  </si>
  <si>
    <t xml:space="preserve">Now what</t>
  </si>
  <si>
    <t xml:space="preserve">Method note: the bridge changes one driver at a time, in the order shown (traffic, conversion, basket, returns). The interaction between drivers falls to the later ones, so another order gives slightly different splits. Read each figure as the size of an effect, not as a uniquely determined cause.</t>
  </si>
  <si>
    <t xml:space="preserve">The tree</t>
  </si>
  <si>
    <t xml:space="preserve">Gross margin %</t>
  </si>
  <si>
    <t xml:space="preserve">Media spend</t>
  </si>
  <si>
    <t xml:space="preserve">Contribution after marketing = net sales x gross margin % - orders x variable cost per order - media</t>
  </si>
  <si>
    <t xml:space="preserve">Returns rate</t>
  </si>
  <si>
    <t xml:space="preserve">Net sales = sessions x conversion x AOV x (1 - returns rate)</t>
  </si>
  <si>
    <t xml:space="preserve">Investigation paths</t>
  </si>
  <si>
    <t xml:space="preserve">When a trigger trips, ask these questions in this order. Each step rules something in or out before the next, so the team stops arguing about the cause and starts checking it.</t>
  </si>
  <si>
    <t xml:space="preserve">Trigger</t>
  </si>
  <si>
    <t xml:space="preserve">Step</t>
  </si>
  <si>
    <t xml:space="preserve">Question</t>
  </si>
  <si>
    <t xml:space="preserve">KPIs to pull</t>
  </si>
  <si>
    <t xml:space="preserve">What it rules in or out</t>
  </si>
  <si>
    <t xml:space="preserve">Is it every channel, or one?</t>
  </si>
  <si>
    <t xml:space="preserve">K14, K15</t>
  </si>
  <si>
    <t xml:space="preserve">One channel: a traffic or campaign problem, not the site</t>
  </si>
  <si>
    <t xml:space="preserve">Did availability of best sellers fall?</t>
  </si>
  <si>
    <t xml:space="preserve">K32, K36</t>
  </si>
  <si>
    <t xml:space="preserve">Customers came for lines you could not sell them</t>
  </si>
  <si>
    <t xml:space="preserve">Did checkout completion or payment acceptance fall?</t>
  </si>
  <si>
    <t xml:space="preserve">K26, K27</t>
  </si>
  <si>
    <t xml:space="preserve">A defect, which is fixable today</t>
  </si>
  <si>
    <t xml:space="preserve">Did price or promotion change, ours or a competitor's?</t>
  </si>
  <si>
    <t xml:space="preserve">A proposition problem, not a site problem</t>
  </si>
  <si>
    <t xml:space="preserve">Did the site change: a release, speed, an incident?</t>
  </si>
  <si>
    <t xml:space="preserve">A technology cause, with a timestamp</t>
  </si>
  <si>
    <t xml:space="preserve">Average order value falls</t>
  </si>
  <si>
    <t xml:space="preserve">Which categories lost share of sales?</t>
  </si>
  <si>
    <t xml:space="preserve">Mix, not customer behaviour</t>
  </si>
  <si>
    <t xml:space="preserve">Did discount depth rise?</t>
  </si>
  <si>
    <t xml:space="preserve">A promotion bought the volume</t>
  </si>
  <si>
    <t xml:space="preserve">Is it fewer units per order, or a lower price per unit?</t>
  </si>
  <si>
    <t xml:space="preserve">Basket building versus range price points</t>
  </si>
  <si>
    <t xml:space="preserve">Did high-value lines sell out?</t>
  </si>
  <si>
    <t xml:space="preserve">Stock, not demand</t>
  </si>
  <si>
    <t xml:space="preserve">Did new customers rise as a share of orders?</t>
  </si>
  <si>
    <t xml:space="preserve">New customers buy smaller first baskets</t>
  </si>
  <si>
    <t xml:space="preserve">Which category and which reason?</t>
  </si>
  <si>
    <t xml:space="preserve">One category usually explains most of it</t>
  </si>
  <si>
    <t xml:space="preserve">Did a new range, supplier or size block land?</t>
  </si>
  <si>
    <t xml:space="preserve">A product or fit problem</t>
  </si>
  <si>
    <t xml:space="preserve">Did imagery or size guidance change?</t>
  </si>
  <si>
    <t xml:space="preserve">A content problem, fixable this week</t>
  </si>
  <si>
    <t xml:space="preserve">Was there a promotion that encouraged buying two sizes?</t>
  </si>
  <si>
    <t xml:space="preserve">Bracketing, priced into the offer</t>
  </si>
  <si>
    <t xml:space="preserve">Are deliveries late, causing refusals?</t>
  </si>
  <si>
    <t xml:space="preserve">An operations cause showing up as returns</t>
  </si>
  <si>
    <t xml:space="preserve">Is it one channel or all?</t>
  </si>
  <si>
    <t xml:space="preserve">Channel-specific auction or creative problem</t>
  </si>
  <si>
    <t xml:space="preserve">Is cost per session up, or conversion of paid traffic down?</t>
  </si>
  <si>
    <t xml:space="preserve">K18, K24</t>
  </si>
  <si>
    <t xml:space="preserve">Buying dearer traffic versus converting less of it</t>
  </si>
  <si>
    <t xml:space="preserve">Did spend rise above last year's level?</t>
  </si>
  <si>
    <t xml:space="preserve">Diminishing returns: the last pound buys less</t>
  </si>
  <si>
    <t xml:space="preserve">Are new customers being bought in a sale, and do they return?</t>
  </si>
  <si>
    <t xml:space="preserve">Cheap customers who do not repeat</t>
  </si>
  <si>
    <t xml:space="preserve">Has attribution or tracking changed?</t>
  </si>
  <si>
    <t xml:space="preserve">A measurement change, not a market change</t>
  </si>
  <si>
    <t xml:space="preserve">Availability of best sellers falls</t>
  </si>
  <si>
    <t xml:space="preserve">Which lines, which sizes?</t>
  </si>
  <si>
    <t xml:space="preserve">A few lines usually explain most of it</t>
  </si>
  <si>
    <t xml:space="preserve">Is stock in the warehouse but not sellable online?</t>
  </si>
  <si>
    <t xml:space="preserve">A systems or receipting delay</t>
  </si>
  <si>
    <t xml:space="preserve">Did a purchase order slip?</t>
  </si>
  <si>
    <t xml:space="preserve">A supplier problem, with a date</t>
  </si>
  <si>
    <t xml:space="preserve">Is paid media still sending traffic to the gaps?</t>
  </si>
  <si>
    <t xml:space="preserve">Money spent sending customers to nothing</t>
  </si>
  <si>
    <t xml:space="preserve">What is the lost-sales value by day?</t>
  </si>
  <si>
    <t xml:space="preserve">The number that funds the fix</t>
  </si>
  <si>
    <t xml:space="preserve">Checkout completion falls</t>
  </si>
  <si>
    <t xml:space="preserve">Did a release go out?</t>
  </si>
  <si>
    <t xml:space="preserve">Roll back first, diagnose second</t>
  </si>
  <si>
    <t xml:space="preserve">One payment method, or all?</t>
  </si>
  <si>
    <t xml:space="preserve">A provider problem</t>
  </si>
  <si>
    <t xml:space="preserve">Did the delivery promise or charge change?</t>
  </si>
  <si>
    <t xml:space="preserve">A proposition change at the last step</t>
  </si>
  <si>
    <t xml:space="preserve">One device or browser?</t>
  </si>
  <si>
    <t xml:space="preserve">A front-end defect</t>
  </si>
  <si>
    <t xml:space="preserve">Did fraud rules change?</t>
  </si>
  <si>
    <t xml:space="preserve">Good customers being declined</t>
  </si>
  <si>
    <t xml:space="preserve">Sales bought with margin</t>
  </si>
  <si>
    <t xml:space="preserve">Is media growing faster than sales?</t>
  </si>
  <si>
    <t xml:space="preserve">K10, K12</t>
  </si>
  <si>
    <t xml:space="preserve">Sales bought with media</t>
  </si>
  <si>
    <t xml:space="preserve">Did returns rise?</t>
  </si>
  <si>
    <t xml:space="preserve">Sales that came back</t>
  </si>
  <si>
    <t xml:space="preserve">Did mix move to lower-margin lines?</t>
  </si>
  <si>
    <t xml:space="preserve">Range and merchandising</t>
  </si>
  <si>
    <t xml:space="preserve">Did cost to serve rise?</t>
  </si>
  <si>
    <t xml:space="preserve">Operations and delivery proposition</t>
  </si>
  <si>
    <t xml:space="preserve">Reforecast log</t>
  </si>
  <si>
    <t xml:space="preserve">When a KPI shows a budget assumption has broken, record it here: the evidence, the decision and what it does to the forecast. It makes the reforecast auditable. One illustrative entry.</t>
  </si>
  <si>
    <t xml:space="preserve">Date</t>
  </si>
  <si>
    <t xml:space="preserve">Assumption that moved</t>
  </si>
  <si>
    <t xml:space="preserve">Evidence</t>
  </si>
  <si>
    <t xml:space="preserve">Forecast impact: net sales (£)</t>
  </si>
  <si>
    <t xml:space="preserve">Forecast impact: contribution (£)</t>
  </si>
  <si>
    <t xml:space="preserve">Review date</t>
  </si>
  <si>
    <t xml:space="preserve">Committed-journey conversion at plan</t>
  </si>
  <si>
    <t xml:space="preserve">8% below plan for two weeks; availability of best sellers down 7 points over the same period</t>
  </si>
  <si>
    <t xml:space="preserve">Reforecast P7 to P9 conversion at 4% below plan until availability recovers; hold media flat</t>
  </si>
  <si>
    <t xml:space="preserve">Total forecast change logged</t>
  </si>
  <si>
    <t xml:space="preserve">Carry the change into the Ecommerce Budget Builder's assumptions, so the forecast moves on evidence rather than waiting for the plan to recover by itself.</t>
  </si>
  <si>
    <t xml:space="preserve">Checks</t>
  </si>
  <si>
    <t xml:space="preserve">Tests on the framework and the dashboards. FAIL means fix before presenting. WARN means look first.</t>
  </si>
  <si>
    <t xml:space="preserve">Check</t>
  </si>
  <si>
    <t xml:space="preserve">Value</t>
  </si>
  <si>
    <t xml:space="preserve">What to do</t>
  </si>
  <si>
    <t xml:space="preserve">Every Decision and Trigger KPI has an owner, a So what and a Now what</t>
  </si>
  <si>
    <t xml:space="preserve">A metric without an agreed action is a report, not a KPI. Write the So what and the Now what, name the owner, or reclassify it.</t>
  </si>
  <si>
    <t xml:space="preserve">Library IDs are unique</t>
  </si>
  <si>
    <t xml:space="preserve">Two KPIs share an ID; dashboards will look up the wrong one.</t>
  </si>
  <si>
    <t xml:space="preserve">Board dashboard holds eight measures or fewer</t>
  </si>
  <si>
    <t xml:space="preserve">Move the extra measures to the SLT dashboard.</t>
  </si>
  <si>
    <t xml:space="preserve">No Misleading KPI on the board dashboard</t>
  </si>
  <si>
    <t xml:space="preserve">Replace it with the measure in its 'Read it with' column.</t>
  </si>
  <si>
    <t xml:space="preserve">No Misleading KPI on the SLT dashboard</t>
  </si>
  <si>
    <t xml:space="preserve">Every board and SLT measure is in the library</t>
  </si>
  <si>
    <t xml:space="preserve">Add the measure to the library with its owner, decision and distortion.</t>
  </si>
  <si>
    <t xml:space="preserve">Every SLT measure has a tolerance</t>
  </si>
  <si>
    <t xml:space="preserve">A measure with no tolerance cannot tell anyone to act.</t>
  </si>
  <si>
    <t xml:space="preserve">Every board measure has a plan</t>
  </si>
  <si>
    <t xml:space="preserve">Enter the year-to-date plan.</t>
  </si>
  <si>
    <t xml:space="preserve">Board measures at Act have a decision written</t>
  </si>
  <si>
    <t xml:space="preserve">A red measure with no decision asked is a report, not a board paper.</t>
  </si>
  <si>
    <t xml:space="preserve">SLT measures at Act have a Now what</t>
  </si>
  <si>
    <t xml:space="preserve">Every measure at Act needs a Now what and a date, or it will still be at Act next week.</t>
  </si>
  <si>
    <t xml:space="preserve">Meaningful test fully answered</t>
  </si>
  <si>
    <t xml:space="preserve">Answer all six questions for every metric listed.</t>
  </si>
  <si>
    <t xml:space="preserve">Driver tree: net sales bridge ties</t>
  </si>
  <si>
    <t xml:space="preserve">Check the plan and actual inputs on the Driver Tree.</t>
  </si>
  <si>
    <t xml:space="preserve">Driver tree: contribution bridge ties</t>
  </si>
  <si>
    <t xml:space="preserve">Overall status</t>
  </si>
</sst>
</file>

<file path=xl/styles.xml><?xml version="1.0" encoding="utf-8"?>
<styleSheet xmlns="http://schemas.openxmlformats.org/spreadsheetml/2006/main">
  <numFmts count="11">
    <numFmt numFmtId="164" formatCode="General"/>
    <numFmt numFmtId="165" formatCode="General"/>
    <numFmt numFmtId="166" formatCode="0.0%;\(0.0%\);\-"/>
    <numFmt numFmtId="167" formatCode="\£#,##0;&quot;(£&quot;#,##0\);\-"/>
    <numFmt numFmtId="168" formatCode="\+0.0%;\-0.0%;\-"/>
    <numFmt numFmtId="169" formatCode="0.00\x;\(0.00&quot;x)&quot;;\-"/>
    <numFmt numFmtId="170" formatCode="#,##0;\(#,##0\);\-"/>
    <numFmt numFmtId="171" formatCode="0.0;\(0.0\);\-"/>
    <numFmt numFmtId="172" formatCode="\£#,##0.00;&quot;(£&quot;#,##0.00\);\-"/>
    <numFmt numFmtId="173" formatCode="0.00%;\(0.00%\);\-"/>
    <numFmt numFmtId="174" formatCode="dd\ mmm\ yyyy"/>
  </numFmts>
  <fonts count="23">
    <font>
      <sz val="11"/>
      <color theme="1"/>
      <name val="Calibri"/>
      <family val="2"/>
      <charset val="1"/>
    </font>
    <font>
      <sz val="10"/>
      <name val="Arial"/>
      <family val="0"/>
    </font>
    <font>
      <sz val="10"/>
      <name val="Arial"/>
      <family val="0"/>
    </font>
    <font>
      <sz val="10"/>
      <name val="Arial"/>
      <family val="0"/>
    </font>
    <font>
      <b val="true"/>
      <sz val="14"/>
      <color rgb="FF002147"/>
      <name val="Arial"/>
      <family val="0"/>
      <charset val="1"/>
    </font>
    <font>
      <i val="true"/>
      <sz val="9"/>
      <color rgb="FF4A4A4A"/>
      <name val="Arial"/>
      <family val="0"/>
      <charset val="1"/>
    </font>
    <font>
      <b val="true"/>
      <sz val="11"/>
      <color rgb="FF002147"/>
      <name val="Arial"/>
      <family val="0"/>
      <charset val="1"/>
    </font>
    <font>
      <sz val="10"/>
      <color rgb="FF222222"/>
      <name val="Arial"/>
      <family val="0"/>
      <charset val="1"/>
    </font>
    <font>
      <sz val="10"/>
      <color rgb="FF0000FF"/>
      <name val="Arial"/>
      <family val="0"/>
      <charset val="1"/>
    </font>
    <font>
      <sz val="10"/>
      <color rgb="FF008000"/>
      <name val="Arial"/>
      <family val="0"/>
      <charset val="1"/>
    </font>
    <font>
      <i val="true"/>
      <sz val="10"/>
      <color rgb="FF002147"/>
      <name val="Arial"/>
      <family val="0"/>
      <charset val="1"/>
    </font>
    <font>
      <sz val="8"/>
      <color rgb="FF4A4A4A"/>
      <name val="Arial"/>
      <family val="0"/>
      <charset val="1"/>
    </font>
    <font>
      <sz val="11"/>
      <color rgb="FF222222"/>
      <name val="Arial"/>
      <family val="0"/>
      <charset val="1"/>
    </font>
    <font>
      <sz val="11"/>
      <color rgb="FF008000"/>
      <name val="Arial"/>
      <family val="0"/>
      <charset val="1"/>
    </font>
    <font>
      <b val="true"/>
      <sz val="10"/>
      <color rgb="FF002147"/>
      <name val="Arial"/>
      <family val="0"/>
      <charset val="1"/>
    </font>
    <font>
      <b val="true"/>
      <sz val="9"/>
      <color rgb="FFFDFCF9"/>
      <name val="Arial"/>
      <family val="0"/>
      <charset val="1"/>
    </font>
    <font>
      <sz val="11"/>
      <color rgb="FF000000"/>
      <name val="Arial"/>
      <family val="0"/>
      <charset val="1"/>
    </font>
    <font>
      <b val="true"/>
      <sz val="9"/>
      <color rgb="FF222222"/>
      <name val="Arial"/>
      <family val="0"/>
      <charset val="1"/>
    </font>
    <font>
      <b val="true"/>
      <sz val="9"/>
      <color rgb="FF000000"/>
      <name val="Arial"/>
      <family val="0"/>
      <charset val="1"/>
    </font>
    <font>
      <sz val="9"/>
      <color rgb="FF0000FF"/>
      <name val="Arial"/>
      <family val="0"/>
      <charset val="1"/>
    </font>
    <font>
      <b val="true"/>
      <sz val="9"/>
      <name val="Arial"/>
      <family val="0"/>
      <charset val="1"/>
    </font>
    <font>
      <b val="true"/>
      <sz val="9"/>
      <color rgb="FF002147"/>
      <name val="Arial"/>
      <family val="0"/>
      <charset val="1"/>
    </font>
    <font>
      <b val="true"/>
      <sz val="9"/>
      <color rgb="FF0000FF"/>
      <name val="Arial"/>
      <family val="0"/>
      <charset val="1"/>
    </font>
  </fonts>
  <fills count="6">
    <fill>
      <patternFill patternType="none"/>
    </fill>
    <fill>
      <patternFill patternType="gray125"/>
    </fill>
    <fill>
      <patternFill patternType="solid">
        <fgColor rgb="FFFFF4D6"/>
        <bgColor rgb="FFF2F2F2"/>
      </patternFill>
    </fill>
    <fill>
      <patternFill patternType="solid">
        <fgColor rgb="FFE6E9EE"/>
        <bgColor rgb="FFEEF1F6"/>
      </patternFill>
    </fill>
    <fill>
      <patternFill patternType="solid">
        <fgColor rgb="FF002147"/>
        <bgColor rgb="FF222222"/>
      </patternFill>
    </fill>
    <fill>
      <patternFill patternType="solid">
        <fgColor rgb="FFF2F2F2"/>
        <bgColor rgb="FFEEF1F6"/>
      </patternFill>
    </fill>
  </fills>
  <borders count="3">
    <border diagonalUp="false" diagonalDown="false">
      <left/>
      <right/>
      <top/>
      <bottom/>
      <diagonal/>
    </border>
    <border diagonalUp="false" diagonalDown="false">
      <left style="thin">
        <color rgb="FF002147"/>
      </left>
      <right style="thin">
        <color rgb="FF002147"/>
      </right>
      <top style="thin">
        <color rgb="FF002147"/>
      </top>
      <bottom style="thin">
        <color rgb="FF002147"/>
      </bottom>
      <diagonal/>
    </border>
    <border diagonalUp="false" diagonalDown="false">
      <left/>
      <right/>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3"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xf numFmtId="164" fontId="15" fillId="4" borderId="0" xfId="0" applyFont="true" applyBorder="false" applyAlignment="true" applyProtection="false">
      <alignment horizontal="center" vertical="center" textRotation="0" wrapText="true" indent="0" shrinkToFit="false"/>
      <protection locked="true" hidden="false"/>
    </xf>
    <xf numFmtId="165" fontId="16" fillId="0" borderId="0" xfId="0" applyFont="true" applyBorder="false" applyAlignment="false" applyProtection="false">
      <alignment horizontal="general" vertical="bottom" textRotation="0" wrapText="false" indent="0" shrinkToFit="false"/>
      <protection locked="true" hidden="false"/>
    </xf>
    <xf numFmtId="164" fontId="17" fillId="5" borderId="0" xfId="0" applyFont="true" applyBorder="false" applyAlignment="false" applyProtection="false">
      <alignment horizontal="general" vertical="bottom" textRotation="0" wrapText="false" indent="0" shrinkToFit="false"/>
      <protection locked="true" hidden="false"/>
    </xf>
    <xf numFmtId="165" fontId="18" fillId="5" borderId="0" xfId="0" applyFont="true" applyBorder="false" applyAlignment="false" applyProtection="false">
      <alignment horizontal="general" vertical="bottom" textRotation="0" wrapText="false" indent="0" shrinkToFit="false"/>
      <protection locked="true" hidden="false"/>
    </xf>
    <xf numFmtId="166" fontId="13" fillId="0" borderId="0" xfId="0" applyFont="true" applyBorder="false" applyAlignment="false" applyProtection="false">
      <alignment horizontal="general" vertical="bottom" textRotation="0" wrapText="false" indent="0" shrinkToFit="false"/>
      <protection locked="true" hidden="false"/>
    </xf>
    <xf numFmtId="164" fontId="19" fillId="2" borderId="0" xfId="0" applyFont="true" applyBorder="false" applyAlignment="true" applyProtection="true">
      <alignment horizontal="general" vertical="top" textRotation="0" wrapText="true" indent="0" shrinkToFit="false"/>
      <protection locked="false" hidden="false"/>
    </xf>
    <xf numFmtId="164" fontId="0" fillId="0" borderId="0" xfId="0" applyFont="false" applyBorder="false" applyAlignment="true" applyProtection="true">
      <alignment horizontal="general" vertical="top" textRotation="0" wrapText="true" indent="0" shrinkToFit="false"/>
      <protection locked="false" hidden="false"/>
    </xf>
    <xf numFmtId="164" fontId="19" fillId="2" borderId="0" xfId="0" applyFont="true" applyBorder="false" applyAlignment="false" applyProtection="true">
      <alignment horizontal="general" vertical="bottom" textRotation="0" wrapText="false" indent="0" shrinkToFit="false"/>
      <protection locked="fals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6" fontId="16" fillId="0" borderId="0" xfId="0" applyFont="true" applyBorder="false" applyAlignment="false" applyProtection="false">
      <alignment horizontal="general" vertical="bottom" textRotation="0" wrapText="false" indent="0" shrinkToFit="false"/>
      <protection locked="true" hidden="false"/>
    </xf>
    <xf numFmtId="167" fontId="19" fillId="2" borderId="0" xfId="0" applyFont="true" applyBorder="false" applyAlignment="false" applyProtection="true">
      <alignment horizontal="general" vertical="bottom" textRotation="0" wrapText="false" indent="0" shrinkToFit="false"/>
      <protection locked="false" hidden="false"/>
    </xf>
    <xf numFmtId="167" fontId="16" fillId="0" borderId="0" xfId="0" applyFont="true" applyBorder="false" applyAlignment="false" applyProtection="false">
      <alignment horizontal="general" vertical="bottom" textRotation="0" wrapText="false" indent="0" shrinkToFit="false"/>
      <protection locked="true" hidden="false"/>
    </xf>
    <xf numFmtId="168" fontId="16" fillId="0" borderId="0" xfId="0" applyFont="true" applyBorder="false" applyAlignment="false" applyProtection="false">
      <alignment horizontal="general" vertical="bottom" textRotation="0" wrapText="false" indent="0" shrinkToFit="false"/>
      <protection locked="true" hidden="false"/>
    </xf>
    <xf numFmtId="166" fontId="19" fillId="2" borderId="0" xfId="0" applyFont="true" applyBorder="false" applyAlignment="false" applyProtection="true">
      <alignment horizontal="general" vertical="bottom" textRotation="0" wrapText="false" indent="0" shrinkToFit="false"/>
      <protection locked="false" hidden="false"/>
    </xf>
    <xf numFmtId="164" fontId="16" fillId="0" borderId="0" xfId="0" applyFont="true" applyBorder="false" applyAlignment="true" applyProtection="false">
      <alignment horizontal="general" vertical="top" textRotation="0" wrapText="true" indent="0" shrinkToFit="false"/>
      <protection locked="true" hidden="false"/>
    </xf>
    <xf numFmtId="169" fontId="19" fillId="2" borderId="0" xfId="0" applyFont="true" applyBorder="false" applyAlignment="false" applyProtection="true">
      <alignment horizontal="general" vertical="bottom" textRotation="0" wrapText="false" indent="0" shrinkToFit="false"/>
      <protection locked="false" hidden="false"/>
    </xf>
    <xf numFmtId="169" fontId="16" fillId="0" borderId="0" xfId="0" applyFont="true" applyBorder="false" applyAlignment="false" applyProtection="false">
      <alignment horizontal="general" vertical="bottom" textRotation="0" wrapText="false" indent="0" shrinkToFit="false"/>
      <protection locked="true" hidden="false"/>
    </xf>
    <xf numFmtId="170" fontId="19" fillId="2" borderId="0" xfId="0" applyFont="true" applyBorder="false" applyAlignment="false" applyProtection="true">
      <alignment horizontal="general" vertical="bottom" textRotation="0" wrapText="false" indent="0" shrinkToFit="false"/>
      <protection locked="false" hidden="false"/>
    </xf>
    <xf numFmtId="170" fontId="16" fillId="0" borderId="0" xfId="0" applyFont="true" applyBorder="false" applyAlignment="false" applyProtection="false">
      <alignment horizontal="general" vertical="bottom" textRotation="0" wrapText="false" indent="0" shrinkToFit="false"/>
      <protection locked="true" hidden="false"/>
    </xf>
    <xf numFmtId="171" fontId="19" fillId="2" borderId="0" xfId="0" applyFont="true" applyBorder="false" applyAlignment="false" applyProtection="true">
      <alignment horizontal="general" vertical="bottom" textRotation="0" wrapText="false" indent="0" shrinkToFit="false"/>
      <protection locked="false" hidden="false"/>
    </xf>
    <xf numFmtId="171" fontId="16" fillId="0" borderId="0" xfId="0" applyFont="true" applyBorder="false" applyAlignment="false" applyProtection="false">
      <alignment horizontal="general" vertical="bottom" textRotation="0" wrapText="false" indent="0" shrinkToFit="false"/>
      <protection locked="true" hidden="false"/>
    </xf>
    <xf numFmtId="172" fontId="19" fillId="2" borderId="0" xfId="0" applyFont="true" applyBorder="false" applyAlignment="false" applyProtection="true">
      <alignment horizontal="general" vertical="bottom" textRotation="0" wrapText="false" indent="0" shrinkToFit="false"/>
      <protection locked="false" hidden="false"/>
    </xf>
    <xf numFmtId="173" fontId="19" fillId="2" borderId="0" xfId="0" applyFont="true" applyBorder="false" applyAlignment="false" applyProtection="true">
      <alignment horizontal="general" vertical="bottom" textRotation="0" wrapText="false" indent="0" shrinkToFit="false"/>
      <protection locked="false" hidden="false"/>
    </xf>
    <xf numFmtId="164" fontId="14" fillId="3" borderId="0" xfId="0" applyFont="true" applyBorder="false" applyAlignment="true" applyProtection="false">
      <alignment horizontal="general" vertical="top" textRotation="0" wrapText="true" indent="0" shrinkToFit="false"/>
      <protection locked="true" hidden="false"/>
    </xf>
    <xf numFmtId="164" fontId="0" fillId="0" borderId="0" xfId="0" applyFont="fals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7" fontId="18" fillId="5" borderId="0" xfId="0" applyFont="true" applyBorder="false" applyAlignment="false" applyProtection="false">
      <alignment horizontal="general" vertical="bottom" textRotation="0" wrapText="false" indent="0" shrinkToFit="false"/>
      <protection locked="true" hidden="false"/>
    </xf>
    <xf numFmtId="164" fontId="20" fillId="5" borderId="0" xfId="0" applyFont="true" applyBorder="false" applyAlignment="false" applyProtection="false">
      <alignment horizontal="general" vertical="bottom" textRotation="0" wrapText="false" indent="0" shrinkToFit="false"/>
      <protection locked="true" hidden="false"/>
    </xf>
    <xf numFmtId="164" fontId="21" fillId="0" borderId="0" xfId="0" applyFont="true" applyBorder="false" applyAlignment="true" applyProtection="false">
      <alignment horizontal="general" vertical="top"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15" fillId="4" borderId="1" xfId="0" applyFont="true" applyBorder="true" applyAlignment="true" applyProtection="false">
      <alignment horizontal="center" vertical="bottom" textRotation="0" wrapText="true" indent="0" shrinkToFit="false"/>
      <protection locked="true" hidden="false"/>
    </xf>
    <xf numFmtId="167" fontId="16" fillId="0" borderId="1" xfId="0" applyFont="true" applyBorder="true" applyAlignment="true" applyProtection="false">
      <alignment horizontal="center" vertical="bottom" textRotation="0" wrapText="false" indent="0" shrinkToFit="false"/>
      <protection locked="true" hidden="false"/>
    </xf>
    <xf numFmtId="164" fontId="21" fillId="3" borderId="1" xfId="0" applyFont="true" applyBorder="true" applyAlignment="true" applyProtection="false">
      <alignment horizontal="center" vertical="bottom"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8" fontId="16" fillId="0" borderId="1" xfId="0" applyFont="true" applyBorder="true" applyAlignment="true" applyProtection="false">
      <alignment horizontal="center" vertical="bottom" textRotation="0" wrapText="false" indent="0" shrinkToFit="false"/>
      <protection locked="true" hidden="false"/>
    </xf>
    <xf numFmtId="164" fontId="22" fillId="2" borderId="0" xfId="0" applyFont="true" applyBorder="false" applyAlignment="true" applyProtection="true">
      <alignment horizontal="general" vertical="top" textRotation="0" wrapText="true" indent="0" shrinkToFit="false"/>
      <protection locked="false" hidden="false"/>
    </xf>
    <xf numFmtId="164" fontId="19" fillId="2" borderId="2" xfId="0" applyFont="true" applyBorder="true" applyAlignment="true" applyProtection="true">
      <alignment horizontal="general" vertical="top" textRotation="0" wrapText="true" indent="0" shrinkToFit="false"/>
      <protection locked="false" hidden="false"/>
    </xf>
    <xf numFmtId="164" fontId="12" fillId="0" borderId="2" xfId="0" applyFont="true" applyBorder="true" applyAlignment="true" applyProtection="false">
      <alignment horizontal="general" vertical="top" textRotation="0" wrapText="true" indent="0" shrinkToFit="false"/>
      <protection locked="true" hidden="false"/>
    </xf>
    <xf numFmtId="174" fontId="19" fillId="2" borderId="0" xfId="0" applyFont="true" applyBorder="false" applyAlignment="true" applyProtection="true">
      <alignment horizontal="general" vertical="top" textRotation="0" wrapText="true" indent="0" shrinkToFit="false"/>
      <protection locked="false" hidden="false"/>
    </xf>
    <xf numFmtId="167" fontId="19" fillId="2" borderId="0" xfId="0" applyFont="true" applyBorder="false" applyAlignment="true" applyProtection="true">
      <alignment horizontal="general" vertical="top" textRotation="0" wrapText="true" indent="0" shrinkToFit="false"/>
      <protection locked="false" hidden="false"/>
    </xf>
    <xf numFmtId="174" fontId="0" fillId="0" borderId="0" xfId="0" applyFont="false" applyBorder="false" applyAlignment="true" applyProtection="true">
      <alignment horizontal="general" vertical="top" textRotation="0" wrapText="true" indent="0" shrinkToFit="false"/>
      <protection locked="false" hidden="false"/>
    </xf>
    <xf numFmtId="167" fontId="0" fillId="0" borderId="0" xfId="0" applyFont="false" applyBorder="false" applyAlignment="true" applyProtection="true">
      <alignment horizontal="general" vertical="top" textRotation="0" wrapText="tru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5">
    <dxf>
      <font>
        <name val="Arial"/>
        <charset val="1"/>
        <family val="0"/>
        <b val="1"/>
        <color rgb="FF002147"/>
      </font>
      <fill>
        <patternFill>
          <bgColor rgb="FFE6E9EE"/>
        </patternFill>
      </fill>
    </dxf>
    <dxf>
      <font>
        <name val="Arial"/>
        <charset val="1"/>
        <family val="0"/>
        <b val="1"/>
        <color rgb="FF002147"/>
      </font>
      <fill>
        <patternFill>
          <bgColor rgb="FFF6E7C1"/>
        </patternFill>
      </fill>
    </dxf>
    <dxf>
      <font>
        <name val="Arial"/>
        <charset val="1"/>
        <family val="0"/>
        <b val="1"/>
        <color rgb="FFFFFFFF"/>
      </font>
      <fill>
        <patternFill>
          <bgColor rgb="FFB00020"/>
        </patternFill>
      </fill>
    </dxf>
    <dxf>
      <fill>
        <patternFill patternType="solid">
          <fgColor rgb="FF002147"/>
          <bgColor rgb="FF000000"/>
        </patternFill>
      </fill>
    </dxf>
    <dxf>
      <fill>
        <patternFill patternType="solid">
          <fgColor rgb="FFFFF4D6"/>
          <bgColor rgb="FF000000"/>
        </patternFill>
      </fill>
    </dxf>
    <dxf>
      <fill>
        <patternFill patternType="solid">
          <bgColor rgb="FF000000"/>
        </patternFill>
      </fill>
    </dxf>
    <dxf>
      <fill>
        <patternFill patternType="solid">
          <fgColor rgb="FF000000"/>
          <bgColor rgb="FF000000"/>
        </patternFill>
      </fill>
    </dxf>
    <dxf>
      <fill>
        <patternFill patternType="solid">
          <fgColor rgb="FF0000FF"/>
          <bgColor rgb="FF000000"/>
        </patternFill>
      </fill>
    </dxf>
    <dxf>
      <fill>
        <patternFill patternType="solid">
          <fgColor rgb="FFFDFCF9"/>
          <bgColor rgb="FF000000"/>
        </patternFill>
      </fill>
    </dxf>
    <dxf>
      <fill>
        <patternFill patternType="solid">
          <fgColor rgb="FFE6E9EE"/>
          <bgColor rgb="FF000000"/>
        </patternFill>
      </fill>
    </dxf>
    <dxf>
      <fill>
        <patternFill patternType="solid">
          <fgColor rgb="FFEEF1F6"/>
          <bgColor rgb="FF000000"/>
        </patternFill>
      </fill>
    </dxf>
    <dxf>
      <fill>
        <patternFill patternType="solid">
          <fgColor rgb="FFF2F2F2"/>
          <bgColor rgb="FF000000"/>
        </patternFill>
      </fill>
    </dxf>
    <dxf>
      <fill>
        <patternFill patternType="solid">
          <fgColor rgb="FFF6E7C1"/>
          <bgColor rgb="FF000000"/>
        </patternFill>
      </fill>
    </dxf>
    <dxf>
      <font>
        <name val="Arial"/>
        <charset val="1"/>
        <family val="0"/>
        <b val="1"/>
        <color rgb="FF002147"/>
      </font>
      <fill>
        <patternFill>
          <bgColor rgb="FFEEF1F6"/>
        </patternFill>
      </fill>
    </dxf>
    <dxf>
      <font>
        <name val="Arial"/>
        <charset val="1"/>
        <family val="0"/>
        <b val="1"/>
        <color rgb="FF002147"/>
      </font>
      <fill>
        <patternFill>
          <bgColor rgb="FFF2F2F2"/>
        </patternFill>
      </fill>
    </dxf>
  </dxfs>
  <colors>
    <indexedColors>
      <rgbColor rgb="FF000000"/>
      <rgbColor rgb="FFFFFFFF"/>
      <rgbColor rgb="FFFF0000"/>
      <rgbColor rgb="FF00FF00"/>
      <rgbColor rgb="FF0000FF"/>
      <rgbColor rgb="FFFFFF00"/>
      <rgbColor rgb="FFFF00FF"/>
      <rgbColor rgb="FF00FFFF"/>
      <rgbColor rgb="FFB00020"/>
      <rgbColor rgb="FF008000"/>
      <rgbColor rgb="FF000080"/>
      <rgbColor rgb="FF808000"/>
      <rgbColor rgb="FF800080"/>
      <rgbColor rgb="FF008080"/>
      <rgbColor rgb="FFBFBFBF"/>
      <rgbColor rgb="FF808080"/>
      <rgbColor rgb="FF9999FF"/>
      <rgbColor rgb="FF993366"/>
      <rgbColor rgb="FFFFF4D6"/>
      <rgbColor rgb="FFEEF1F6"/>
      <rgbColor rgb="FF660066"/>
      <rgbColor rgb="FFFF8080"/>
      <rgbColor rgb="FF0066CC"/>
      <rgbColor rgb="FFFDFCF9"/>
      <rgbColor rgb="FF000080"/>
      <rgbColor rgb="FFFF00FF"/>
      <rgbColor rgb="FFFFFF00"/>
      <rgbColor rgb="FF00FFFF"/>
      <rgbColor rgb="FF800080"/>
      <rgbColor rgb="FF800000"/>
      <rgbColor rgb="FF008080"/>
      <rgbColor rgb="FF0000FF"/>
      <rgbColor rgb="FF00CCFF"/>
      <rgbColor rgb="FFE6E9EE"/>
      <rgbColor rgb="FFF2F2F2"/>
      <rgbColor rgb="FFF6E7C1"/>
      <rgbColor rgb="FF99CCFF"/>
      <rgbColor rgb="FFFF99CC"/>
      <rgbColor rgb="FFCC99FF"/>
      <rgbColor rgb="FFFFCC99"/>
      <rgbColor rgb="FF3366FF"/>
      <rgbColor rgb="FF33CCCC"/>
      <rgbColor rgb="FF99CC00"/>
      <rgbColor rgb="FFFFCC00"/>
      <rgbColor rgb="FFFF9900"/>
      <rgbColor rgb="FFFF6600"/>
      <rgbColor rgb="FF666699"/>
      <rgbColor rgb="FF969696"/>
      <rgbColor rgb="FF002147"/>
      <rgbColor rgb="FF339966"/>
      <rgbColor rgb="FF003300"/>
      <rgbColor rgb="FF4A4A4A"/>
      <rgbColor rgb="FF993300"/>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0"/>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23.85" hidden="false" customHeight="false" outlineLevel="0" collapsed="false">
      <c r="A5" s="4" t="s">
        <v>3</v>
      </c>
    </row>
    <row r="6" customFormat="false" ht="15" hidden="false" customHeight="false" outlineLevel="0" collapsed="false">
      <c r="A6" s="4" t="s">
        <v>4</v>
      </c>
    </row>
    <row r="8" customFormat="false" ht="15" hidden="false" customHeight="false" outlineLevel="0" collapsed="false">
      <c r="A8" s="3" t="s">
        <v>5</v>
      </c>
    </row>
    <row r="9" customFormat="false" ht="23.85" hidden="false" customHeight="false" outlineLevel="0" collapsed="false">
      <c r="A9" s="4" t="s">
        <v>6</v>
      </c>
    </row>
    <row r="11" customFormat="false" ht="15" hidden="false" customHeight="false" outlineLevel="0" collapsed="false">
      <c r="A11" s="3" t="s">
        <v>7</v>
      </c>
    </row>
    <row r="12" customFormat="false" ht="35.05" hidden="false" customHeight="false" outlineLevel="0" collapsed="false">
      <c r="A12" s="4" t="s">
        <v>8</v>
      </c>
    </row>
    <row r="13" customFormat="false" ht="23.85" hidden="false" customHeight="false" outlineLevel="0" collapsed="false">
      <c r="A13" s="4" t="s">
        <v>9</v>
      </c>
    </row>
    <row r="15" customFormat="false" ht="15" hidden="false" customHeight="false" outlineLevel="0" collapsed="false">
      <c r="A15" s="3" t="s">
        <v>10</v>
      </c>
    </row>
    <row r="16" customFormat="false" ht="23.85" hidden="false" customHeight="false" outlineLevel="0" collapsed="false">
      <c r="A16" s="4" t="s">
        <v>11</v>
      </c>
    </row>
    <row r="17" customFormat="false" ht="15" hidden="false" customHeight="false" outlineLevel="0" collapsed="false">
      <c r="A17" s="4" t="s">
        <v>12</v>
      </c>
    </row>
    <row r="18" customFormat="false" ht="15" hidden="false" customHeight="false" outlineLevel="0" collapsed="false">
      <c r="A18" s="4" t="s">
        <v>13</v>
      </c>
    </row>
    <row r="19" customFormat="false" ht="15" hidden="false" customHeight="false" outlineLevel="0" collapsed="false">
      <c r="A19" s="4" t="s">
        <v>14</v>
      </c>
    </row>
    <row r="20" customFormat="false" ht="15" hidden="false" customHeight="false" outlineLevel="0" collapsed="false">
      <c r="A20" s="4" t="s">
        <v>15</v>
      </c>
    </row>
    <row r="21" customFormat="false" ht="23.85" hidden="false" customHeight="false" outlineLevel="0" collapsed="false">
      <c r="A21" s="4" t="s">
        <v>16</v>
      </c>
    </row>
    <row r="22" customFormat="false" ht="15" hidden="false" customHeight="false" outlineLevel="0" collapsed="false">
      <c r="A22" s="4" t="s">
        <v>17</v>
      </c>
    </row>
    <row r="23" customFormat="false" ht="15" hidden="false" customHeight="false" outlineLevel="0" collapsed="false">
      <c r="A23" s="4" t="s">
        <v>18</v>
      </c>
    </row>
    <row r="24" customFormat="false" ht="15" hidden="false" customHeight="false" outlineLevel="0" collapsed="false">
      <c r="A24" s="4" t="s">
        <v>19</v>
      </c>
    </row>
    <row r="26" customFormat="false" ht="15" hidden="false" customHeight="false" outlineLevel="0" collapsed="false">
      <c r="A26" s="3" t="s">
        <v>20</v>
      </c>
    </row>
    <row r="27" customFormat="false" ht="35.05" hidden="false" customHeight="false" outlineLevel="0" collapsed="false">
      <c r="A27" s="4" t="s">
        <v>21</v>
      </c>
    </row>
    <row r="28" customFormat="false" ht="23.85" hidden="false" customHeight="false" outlineLevel="0" collapsed="false">
      <c r="A28" s="4" t="s">
        <v>22</v>
      </c>
    </row>
    <row r="30" customFormat="false" ht="15" hidden="false" customHeight="false" outlineLevel="0" collapsed="false">
      <c r="A30" s="3" t="s">
        <v>23</v>
      </c>
    </row>
    <row r="31" customFormat="false" ht="35.05" hidden="false" customHeight="false" outlineLevel="0" collapsed="false">
      <c r="A31" s="4" t="s">
        <v>24</v>
      </c>
    </row>
    <row r="33" customFormat="false" ht="15" hidden="false" customHeight="false" outlineLevel="0" collapsed="false">
      <c r="A33" s="3" t="s">
        <v>25</v>
      </c>
    </row>
    <row r="34" customFormat="false" ht="35.05" hidden="false" customHeight="false" outlineLevel="0" collapsed="false">
      <c r="A34" s="4" t="s">
        <v>26</v>
      </c>
    </row>
    <row r="36" customFormat="false" ht="15" hidden="false" customHeight="false" outlineLevel="0" collapsed="false">
      <c r="A36" s="3" t="s">
        <v>27</v>
      </c>
    </row>
    <row r="37" customFormat="false" ht="15" hidden="false" customHeight="false" outlineLevel="0" collapsed="false">
      <c r="A37" s="5" t="s">
        <v>28</v>
      </c>
    </row>
    <row r="38" customFormat="false" ht="15" hidden="false" customHeight="false" outlineLevel="0" collapsed="false">
      <c r="A38" s="6" t="s">
        <v>29</v>
      </c>
    </row>
    <row r="39" customFormat="false" ht="15" hidden="false" customHeight="false" outlineLevel="0" collapsed="false">
      <c r="A39" s="4" t="s">
        <v>30</v>
      </c>
    </row>
    <row r="41" customFormat="false" ht="15" hidden="false" customHeight="false" outlineLevel="0" collapsed="false">
      <c r="A41" s="3" t="s">
        <v>31</v>
      </c>
    </row>
    <row r="42" customFormat="false" ht="23.85" hidden="false" customHeight="false" outlineLevel="0" collapsed="false">
      <c r="A42" s="4" t="s">
        <v>32</v>
      </c>
    </row>
    <row r="43" customFormat="false" ht="23.85" hidden="false" customHeight="false" outlineLevel="0" collapsed="false">
      <c r="A43" s="4" t="s">
        <v>33</v>
      </c>
    </row>
    <row r="45" customFormat="false" ht="15" hidden="false" customHeight="false" outlineLevel="0" collapsed="false">
      <c r="A45" s="7" t="s">
        <v>34</v>
      </c>
    </row>
    <row r="47" customFormat="false" ht="15" hidden="false" customHeight="false" outlineLevel="0" collapsed="false">
      <c r="A47" s="8" t="s">
        <v>35</v>
      </c>
    </row>
  </sheetData>
  <sheetProtection sheet="true" formatColumns="false" formatRows="false" sort="false" autoFilter="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6" min="2" style="0" width="14"/>
  </cols>
  <sheetData>
    <row r="1" customFormat="false" ht="17.35" hidden="false" customHeight="false" outlineLevel="0" collapsed="false">
      <c r="A1" s="1" t="s">
        <v>36</v>
      </c>
    </row>
    <row r="2" customFormat="false" ht="15" hidden="false" customHeight="false" outlineLevel="0" collapsed="false">
      <c r="A2" s="2" t="s">
        <v>37</v>
      </c>
    </row>
    <row r="4" customFormat="false" ht="15" hidden="false" customHeight="false" outlineLevel="0" collapsed="false">
      <c r="A4" s="9" t="s">
        <v>38</v>
      </c>
      <c r="B4" s="10" t="str">
        <f aca="false">Checks!D19</f>
        <v>PASS</v>
      </c>
      <c r="C4" s="10" t="str">
        <f aca="false">COUNTIF(Checks!D5:D17,"FAIL")&amp;" failed, "&amp;COUNTIF(Checks!D5:D17,"WARN")&amp;" to review"</f>
        <v>0 failed, 0 to review</v>
      </c>
    </row>
    <row r="6" customFormat="false" ht="15" hidden="false" customHeight="false" outlineLevel="0" collapsed="false">
      <c r="A6" s="11" t="s">
        <v>5</v>
      </c>
      <c r="B6" s="11"/>
      <c r="C6" s="11"/>
      <c r="D6" s="11"/>
      <c r="E6" s="11"/>
      <c r="F6" s="11"/>
    </row>
    <row r="7" customFormat="false" ht="30" hidden="false" customHeight="true" outlineLevel="0" collapsed="false">
      <c r="A7" s="12" t="s">
        <v>39</v>
      </c>
      <c r="B7" s="12"/>
      <c r="C7" s="12"/>
      <c r="D7" s="12"/>
      <c r="E7" s="12"/>
      <c r="F7" s="12"/>
    </row>
    <row r="9" customFormat="false" ht="15" hidden="false" customHeight="false" outlineLevel="0" collapsed="false">
      <c r="A9" s="11" t="s">
        <v>40</v>
      </c>
      <c r="B9" s="11"/>
      <c r="C9" s="11"/>
      <c r="D9" s="11"/>
      <c r="E9" s="11"/>
      <c r="F9" s="11"/>
    </row>
    <row r="10" customFormat="false" ht="15" hidden="false" customHeight="false" outlineLevel="0" collapsed="false">
      <c r="A10" s="13" t="s">
        <v>41</v>
      </c>
      <c r="B10" s="14" t="s">
        <v>42</v>
      </c>
      <c r="C10" s="14"/>
      <c r="D10" s="14"/>
      <c r="E10" s="14"/>
      <c r="F10" s="14"/>
    </row>
    <row r="11" customFormat="false" ht="15" hidden="false" customHeight="false" outlineLevel="0" collapsed="false">
      <c r="A11" s="13" t="s">
        <v>43</v>
      </c>
      <c r="B11" s="14" t="s">
        <v>44</v>
      </c>
      <c r="C11" s="14"/>
      <c r="D11" s="14"/>
      <c r="E11" s="14"/>
      <c r="F11" s="14"/>
    </row>
    <row r="12" customFormat="false" ht="15" hidden="false" customHeight="false" outlineLevel="0" collapsed="false">
      <c r="A12" s="13" t="s">
        <v>45</v>
      </c>
      <c r="B12" s="14" t="s">
        <v>46</v>
      </c>
      <c r="C12" s="14"/>
      <c r="D12" s="14"/>
      <c r="E12" s="14"/>
      <c r="F12" s="14"/>
    </row>
    <row r="13" customFormat="false" ht="15" hidden="false" customHeight="false" outlineLevel="0" collapsed="false">
      <c r="A13" s="13" t="s">
        <v>47</v>
      </c>
      <c r="B13" s="14" t="s">
        <v>48</v>
      </c>
      <c r="C13" s="14"/>
      <c r="D13" s="14"/>
      <c r="E13" s="14"/>
      <c r="F13" s="14"/>
    </row>
    <row r="15" customFormat="false" ht="15" hidden="false" customHeight="false" outlineLevel="0" collapsed="false">
      <c r="A15" s="11" t="s">
        <v>49</v>
      </c>
      <c r="B15" s="11"/>
      <c r="C15" s="11"/>
      <c r="D15" s="11"/>
      <c r="E15" s="11"/>
      <c r="F15" s="11"/>
    </row>
    <row r="16" customFormat="false" ht="36" hidden="false" customHeight="true" outlineLevel="0" collapsed="false">
      <c r="A16" s="15" t="s">
        <v>50</v>
      </c>
      <c r="B16" s="15" t="s">
        <v>51</v>
      </c>
      <c r="C16" s="15" t="s">
        <v>52</v>
      </c>
      <c r="D16" s="15" t="s">
        <v>53</v>
      </c>
      <c r="E16" s="15" t="s">
        <v>54</v>
      </c>
      <c r="F16" s="15" t="s">
        <v>55</v>
      </c>
    </row>
    <row r="17" customFormat="false" ht="15" hidden="false" customHeight="false" outlineLevel="0" collapsed="false">
      <c r="A17" s="9" t="s">
        <v>41</v>
      </c>
      <c r="B17" s="10" t="n">
        <f aca="false">COUNTIFS('KPI Library'!$D$5:$D$63,$A17,'KPI Library'!$E$5:$E$63,"Board")</f>
        <v>6</v>
      </c>
      <c r="C17" s="10" t="n">
        <f aca="false">COUNTIFS('KPI Library'!$D$5:$D$63,$A17,'KPI Library'!$E$5:$E$63,"SLT")</f>
        <v>10</v>
      </c>
      <c r="D17" s="10" t="n">
        <f aca="false">COUNTIFS('KPI Library'!$D$5:$D$63,$A17,'KPI Library'!$E$5:$E$63,"Department")</f>
        <v>0</v>
      </c>
      <c r="E17" s="10" t="n">
        <f aca="false">COUNTIFS('KPI Library'!$D$5:$D$63,$A17,'KPI Library'!$E$5:$E$63,"None")</f>
        <v>0</v>
      </c>
      <c r="F17" s="16" t="n">
        <f aca="false">SUM(B17:E17)</f>
        <v>16</v>
      </c>
    </row>
    <row r="18" customFormat="false" ht="15" hidden="false" customHeight="false" outlineLevel="0" collapsed="false">
      <c r="A18" s="9" t="s">
        <v>43</v>
      </c>
      <c r="B18" s="10" t="n">
        <f aca="false">COUNTIFS('KPI Library'!$D$5:$D$63,$A18,'KPI Library'!$E$5:$E$63,"Board")</f>
        <v>1</v>
      </c>
      <c r="C18" s="10" t="n">
        <f aca="false">COUNTIFS('KPI Library'!$D$5:$D$63,$A18,'KPI Library'!$E$5:$E$63,"SLT")</f>
        <v>4</v>
      </c>
      <c r="D18" s="10" t="n">
        <f aca="false">COUNTIFS('KPI Library'!$D$5:$D$63,$A18,'KPI Library'!$E$5:$E$63,"Department")</f>
        <v>17</v>
      </c>
      <c r="E18" s="10" t="n">
        <f aca="false">COUNTIFS('KPI Library'!$D$5:$D$63,$A18,'KPI Library'!$E$5:$E$63,"None")</f>
        <v>0</v>
      </c>
      <c r="F18" s="16" t="n">
        <f aca="false">SUM(B18:E18)</f>
        <v>22</v>
      </c>
    </row>
    <row r="19" customFormat="false" ht="15" hidden="false" customHeight="false" outlineLevel="0" collapsed="false">
      <c r="A19" s="9" t="s">
        <v>45</v>
      </c>
      <c r="B19" s="10" t="n">
        <f aca="false">COUNTIFS('KPI Library'!$D$5:$D$63,$A19,'KPI Library'!$E$5:$E$63,"Board")</f>
        <v>1</v>
      </c>
      <c r="C19" s="10" t="n">
        <f aca="false">COUNTIFS('KPI Library'!$D$5:$D$63,$A19,'KPI Library'!$E$5:$E$63,"SLT")</f>
        <v>0</v>
      </c>
      <c r="D19" s="10" t="n">
        <f aca="false">COUNTIFS('KPI Library'!$D$5:$D$63,$A19,'KPI Library'!$E$5:$E$63,"Department")</f>
        <v>2</v>
      </c>
      <c r="E19" s="10" t="n">
        <f aca="false">COUNTIFS('KPI Library'!$D$5:$D$63,$A19,'KPI Library'!$E$5:$E$63,"None")</f>
        <v>3</v>
      </c>
      <c r="F19" s="16" t="n">
        <f aca="false">SUM(B19:E19)</f>
        <v>6</v>
      </c>
    </row>
    <row r="20" customFormat="false" ht="15" hidden="false" customHeight="false" outlineLevel="0" collapsed="false">
      <c r="A20" s="9" t="s">
        <v>47</v>
      </c>
      <c r="B20" s="10" t="n">
        <f aca="false">COUNTIFS('KPI Library'!$D$5:$D$63,$A20,'KPI Library'!$E$5:$E$63,"Board")</f>
        <v>0</v>
      </c>
      <c r="C20" s="10" t="n">
        <f aca="false">COUNTIFS('KPI Library'!$D$5:$D$63,$A20,'KPI Library'!$E$5:$E$63,"SLT")</f>
        <v>0</v>
      </c>
      <c r="D20" s="10" t="n">
        <f aca="false">COUNTIFS('KPI Library'!$D$5:$D$63,$A20,'KPI Library'!$E$5:$E$63,"Department")</f>
        <v>0</v>
      </c>
      <c r="E20" s="10" t="n">
        <f aca="false">COUNTIFS('KPI Library'!$D$5:$D$63,$A20,'KPI Library'!$E$5:$E$63,"None")</f>
        <v>5</v>
      </c>
      <c r="F20" s="16" t="n">
        <f aca="false">SUM(B20:E20)</f>
        <v>5</v>
      </c>
    </row>
    <row r="21" customFormat="false" ht="15" hidden="false" customHeight="false" outlineLevel="0" collapsed="false">
      <c r="A21" s="17" t="s">
        <v>55</v>
      </c>
      <c r="B21" s="18" t="n">
        <f aca="false">SUM(B17:B20)</f>
        <v>8</v>
      </c>
      <c r="C21" s="18" t="n">
        <f aca="false">SUM(C17:C20)</f>
        <v>14</v>
      </c>
      <c r="D21" s="18" t="n">
        <f aca="false">SUM(D17:D20)</f>
        <v>19</v>
      </c>
      <c r="E21" s="18" t="n">
        <f aca="false">SUM(E17:E20)</f>
        <v>8</v>
      </c>
      <c r="F21" s="18" t="n">
        <f aca="false">SUM(F17:F20)</f>
        <v>49</v>
      </c>
    </row>
    <row r="23" customFormat="false" ht="15" hidden="false" customHeight="false" outlineLevel="0" collapsed="false">
      <c r="A23" s="11" t="s">
        <v>56</v>
      </c>
      <c r="B23" s="11"/>
      <c r="C23" s="11"/>
      <c r="D23" s="11"/>
      <c r="E23" s="11"/>
      <c r="F23" s="11"/>
    </row>
    <row r="24" customFormat="false" ht="15" hidden="false" customHeight="false" outlineLevel="0" collapsed="false">
      <c r="A24" s="9" t="s">
        <v>57</v>
      </c>
      <c r="B24" s="10" t="n">
        <f aca="false">'Meaningful Test'!B47</f>
        <v>24</v>
      </c>
    </row>
    <row r="25" customFormat="false" ht="15" hidden="false" customHeight="false" outlineLevel="0" collapsed="false">
      <c r="A25" s="9" t="s">
        <v>58</v>
      </c>
      <c r="B25" s="10" t="n">
        <f aca="false">'Meaningful Test'!B48</f>
        <v>9</v>
      </c>
    </row>
    <row r="26" customFormat="false" ht="15" hidden="false" customHeight="false" outlineLevel="0" collapsed="false">
      <c r="A26" s="9" t="s">
        <v>59</v>
      </c>
      <c r="B26" s="10" t="n">
        <f aca="false">'Meaningful Test'!B49</f>
        <v>3</v>
      </c>
    </row>
    <row r="27" customFormat="false" ht="15" hidden="false" customHeight="false" outlineLevel="0" collapsed="false">
      <c r="A27" s="9" t="s">
        <v>60</v>
      </c>
      <c r="B27" s="10" t="n">
        <f aca="false">'Meaningful Test'!B50</f>
        <v>2</v>
      </c>
    </row>
    <row r="28" customFormat="false" ht="15" hidden="false" customHeight="false" outlineLevel="0" collapsed="false">
      <c r="A28" s="9" t="s">
        <v>61</v>
      </c>
      <c r="B28" s="10" t="n">
        <f aca="false">'Meaningful Test'!B51</f>
        <v>5</v>
      </c>
    </row>
    <row r="29" customFormat="false" ht="15" hidden="false" customHeight="false" outlineLevel="0" collapsed="false">
      <c r="A29" s="9" t="s">
        <v>62</v>
      </c>
      <c r="B29" s="10" t="n">
        <f aca="false">'Meaningful Test'!B52</f>
        <v>5</v>
      </c>
    </row>
    <row r="30" customFormat="false" ht="15" hidden="false" customHeight="false" outlineLevel="0" collapsed="false">
      <c r="A30" s="9" t="s">
        <v>63</v>
      </c>
      <c r="B30" s="19" t="n">
        <f aca="false">'Meaningful Test'!B54</f>
        <v>0.375</v>
      </c>
    </row>
    <row r="32" customFormat="false" ht="15" hidden="false" customHeight="false" outlineLevel="0" collapsed="false">
      <c r="A32" s="11" t="s">
        <v>7</v>
      </c>
      <c r="B32" s="11"/>
      <c r="C32" s="11"/>
      <c r="D32" s="11"/>
      <c r="E32" s="11"/>
      <c r="F32" s="11"/>
    </row>
    <row r="33" customFormat="false" ht="15" hidden="false" customHeight="false" outlineLevel="0" collapsed="false">
      <c r="A33" s="13" t="s">
        <v>64</v>
      </c>
      <c r="B33" s="14" t="s">
        <v>65</v>
      </c>
      <c r="C33" s="14"/>
      <c r="D33" s="14"/>
      <c r="E33" s="14"/>
      <c r="F33" s="14"/>
    </row>
    <row r="34" customFormat="false" ht="15" hidden="false" customHeight="false" outlineLevel="0" collapsed="false">
      <c r="A34" s="13" t="s">
        <v>66</v>
      </c>
      <c r="B34" s="14" t="s">
        <v>67</v>
      </c>
      <c r="C34" s="14"/>
      <c r="D34" s="14"/>
      <c r="E34" s="14"/>
      <c r="F34" s="14"/>
    </row>
    <row r="35" customFormat="false" ht="15" hidden="false" customHeight="false" outlineLevel="0" collapsed="false">
      <c r="A35" s="13" t="s">
        <v>68</v>
      </c>
      <c r="B35" s="14" t="s">
        <v>69</v>
      </c>
      <c r="C35" s="14"/>
      <c r="D35" s="14"/>
      <c r="E35" s="14"/>
      <c r="F35" s="14"/>
    </row>
  </sheetData>
  <sheetProtection sheet="true" formatColumns="false" formatRows="false" sort="false" autoFilter="false"/>
  <mergeCells count="8">
    <mergeCell ref="A7:F7"/>
    <mergeCell ref="B10:F10"/>
    <mergeCell ref="B11:F11"/>
    <mergeCell ref="B12:F12"/>
    <mergeCell ref="B13:F13"/>
    <mergeCell ref="B33:F33"/>
    <mergeCell ref="B34:F34"/>
    <mergeCell ref="B35:F35"/>
  </mergeCells>
  <conditionalFormatting sqref="B4">
    <cfRule type="cellIs" priority="2" operator="equal" aboveAverage="0" equalAverage="0" bottom="0" percent="0" rank="0" text="" dxfId="0">
      <formula>"PASS"</formula>
    </cfRule>
    <cfRule type="cellIs" priority="3" operator="equal" aboveAverage="0" equalAverage="0" bottom="0" percent="0" rank="0" text="" dxfId="0">
      <formula>"On plan"</formula>
    </cfRule>
    <cfRule type="cellIs" priority="4" operator="equal" aboveAverage="0" equalAverage="0" bottom="0" percent="0" rank="0" text="" dxfId="0">
      <formula>"OK"</formula>
    </cfRule>
    <cfRule type="cellIs" priority="5" operator="equal" aboveAverage="0" equalAverage="0" bottom="0" percent="0" rank="0" text="" dxfId="0">
      <formula>"Ahead"</formula>
    </cfRule>
    <cfRule type="cellIs" priority="6" operator="equal" aboveAverage="0" equalAverage="0" bottom="0" percent="0" rank="0" text="" dxfId="1">
      <formula>"WARN"</formula>
    </cfRule>
    <cfRule type="cellIs" priority="7" operator="equal" aboveAverage="0" equalAverage="0" bottom="0" percent="0" rank="0" text="" dxfId="1">
      <formula>"Watch"</formula>
    </cfRule>
    <cfRule type="cellIs" priority="8" operator="equal" aboveAverage="0" equalAverage="0" bottom="0" percent="0" rank="0" text="" dxfId="2">
      <formula>"FAIL"</formula>
    </cfRule>
    <cfRule type="cellIs" priority="9" operator="equal" aboveAverage="0" equalAverage="0" bottom="0" percent="0" rank="0" text="" dxfId="2">
      <formula>"Act"</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6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0"/>
    <col collapsed="false" customWidth="true" hidden="false" outlineLevel="0" max="3" min="3" style="0" width="14"/>
    <col collapsed="false" customWidth="true" hidden="false" outlineLevel="0" max="4" min="4" style="0" width="18"/>
    <col collapsed="false" customWidth="true" hidden="false" outlineLevel="0" max="5" min="5" style="0" width="11"/>
    <col collapsed="false" customWidth="true" hidden="false" outlineLevel="0" max="6" min="6" style="0" width="12"/>
    <col collapsed="false" customWidth="true" hidden="false" outlineLevel="0" max="7" min="7" style="0" width="22"/>
    <col collapsed="false" customWidth="true" hidden="false" outlineLevel="0" max="8" min="8" style="0" width="38"/>
    <col collapsed="false" customWidth="true" hidden="false" outlineLevel="0" max="9" min="9" style="0" width="28"/>
    <col collapsed="false" customWidth="true" hidden="false" outlineLevel="0" max="10" min="10" style="0" width="18"/>
    <col collapsed="false" customWidth="true" hidden="false" outlineLevel="0" max="11" min="11" style="0" width="32"/>
    <col collapsed="false" customWidth="true" hidden="false" outlineLevel="0" max="12" min="12" style="0" width="44"/>
    <col collapsed="false" customWidth="true" hidden="false" outlineLevel="0" max="13" min="13" style="0" width="50"/>
    <col collapsed="false" customWidth="true" hidden="false" outlineLevel="0" max="14" min="14" style="0" width="44"/>
    <col collapsed="false" customWidth="true" hidden="false" outlineLevel="0" max="15" min="15" style="0" width="26"/>
    <col collapsed="false" customWidth="true" hidden="false" outlineLevel="0" max="16" min="16" style="0" width="9"/>
    <col collapsed="false" customWidth="true" hidden="false" outlineLevel="0" max="17" min="17" style="0" width="10"/>
  </cols>
  <sheetData>
    <row r="1" customFormat="false" ht="17.35" hidden="false" customHeight="false" outlineLevel="0" collapsed="false">
      <c r="A1" s="1" t="s">
        <v>70</v>
      </c>
    </row>
    <row r="2" customFormat="false" ht="15" hidden="false" customHeight="false" outlineLevel="0" collapsed="false">
      <c r="A2" s="2" t="s">
        <v>71</v>
      </c>
    </row>
    <row r="4" customFormat="false" ht="43.5" hidden="false" customHeight="true" outlineLevel="0" collapsed="false">
      <c r="A4" s="15" t="s">
        <v>72</v>
      </c>
      <c r="B4" s="15" t="s">
        <v>73</v>
      </c>
      <c r="C4" s="15" t="s">
        <v>74</v>
      </c>
      <c r="D4" s="15" t="s">
        <v>50</v>
      </c>
      <c r="E4" s="15" t="s">
        <v>75</v>
      </c>
      <c r="F4" s="15" t="s">
        <v>76</v>
      </c>
      <c r="G4" s="15" t="s">
        <v>77</v>
      </c>
      <c r="H4" s="15" t="s">
        <v>78</v>
      </c>
      <c r="I4" s="15" t="s">
        <v>79</v>
      </c>
      <c r="J4" s="15" t="s">
        <v>80</v>
      </c>
      <c r="K4" s="15" t="s">
        <v>81</v>
      </c>
      <c r="L4" s="15" t="s">
        <v>82</v>
      </c>
      <c r="M4" s="15" t="s">
        <v>83</v>
      </c>
      <c r="N4" s="15" t="s">
        <v>84</v>
      </c>
      <c r="O4" s="15" t="s">
        <v>85</v>
      </c>
      <c r="P4" s="15" t="s">
        <v>86</v>
      </c>
      <c r="Q4" s="15" t="s">
        <v>87</v>
      </c>
    </row>
    <row r="5" customFormat="false" ht="32.8" hidden="false" customHeight="false" outlineLevel="0" collapsed="false">
      <c r="A5" s="20" t="s">
        <v>88</v>
      </c>
      <c r="B5" s="20" t="s">
        <v>89</v>
      </c>
      <c r="C5" s="20" t="s">
        <v>90</v>
      </c>
      <c r="D5" s="20" t="s">
        <v>41</v>
      </c>
      <c r="E5" s="20" t="s">
        <v>51</v>
      </c>
      <c r="F5" s="20" t="s">
        <v>91</v>
      </c>
      <c r="G5" s="20" t="s">
        <v>92</v>
      </c>
      <c r="H5" s="20" t="s">
        <v>93</v>
      </c>
      <c r="I5" s="20" t="s">
        <v>94</v>
      </c>
      <c r="J5" s="20" t="s">
        <v>95</v>
      </c>
      <c r="K5" s="20" t="s">
        <v>96</v>
      </c>
      <c r="L5" s="20" t="s">
        <v>97</v>
      </c>
      <c r="M5" s="20" t="s">
        <v>98</v>
      </c>
      <c r="N5" s="20" t="s">
        <v>99</v>
      </c>
      <c r="O5" s="20" t="s">
        <v>100</v>
      </c>
      <c r="P5" s="20" t="s">
        <v>101</v>
      </c>
      <c r="Q5" s="20" t="s">
        <v>102</v>
      </c>
    </row>
    <row r="6" customFormat="false" ht="32.8" hidden="false" customHeight="false" outlineLevel="0" collapsed="false">
      <c r="A6" s="20" t="s">
        <v>103</v>
      </c>
      <c r="B6" s="20" t="s">
        <v>104</v>
      </c>
      <c r="C6" s="20" t="s">
        <v>90</v>
      </c>
      <c r="D6" s="20" t="s">
        <v>41</v>
      </c>
      <c r="E6" s="20" t="s">
        <v>51</v>
      </c>
      <c r="F6" s="20" t="s">
        <v>91</v>
      </c>
      <c r="G6" s="20" t="s">
        <v>105</v>
      </c>
      <c r="H6" s="20" t="s">
        <v>106</v>
      </c>
      <c r="I6" s="20" t="s">
        <v>107</v>
      </c>
      <c r="J6" s="20" t="s">
        <v>108</v>
      </c>
      <c r="K6" s="20" t="s">
        <v>109</v>
      </c>
      <c r="L6" s="20" t="s">
        <v>110</v>
      </c>
      <c r="M6" s="20" t="s">
        <v>111</v>
      </c>
      <c r="N6" s="20" t="s">
        <v>112</v>
      </c>
      <c r="O6" s="20" t="s">
        <v>113</v>
      </c>
      <c r="P6" s="20" t="s">
        <v>101</v>
      </c>
      <c r="Q6" s="20" t="s">
        <v>102</v>
      </c>
    </row>
    <row r="7" customFormat="false" ht="22.35" hidden="false" customHeight="false" outlineLevel="0" collapsed="false">
      <c r="A7" s="20" t="s">
        <v>114</v>
      </c>
      <c r="B7" s="20" t="s">
        <v>115</v>
      </c>
      <c r="C7" s="20" t="s">
        <v>90</v>
      </c>
      <c r="D7" s="20" t="s">
        <v>41</v>
      </c>
      <c r="E7" s="20" t="s">
        <v>52</v>
      </c>
      <c r="F7" s="20" t="s">
        <v>116</v>
      </c>
      <c r="G7" s="20" t="s">
        <v>117</v>
      </c>
      <c r="H7" s="20" t="s">
        <v>118</v>
      </c>
      <c r="I7" s="20" t="s">
        <v>119</v>
      </c>
      <c r="J7" s="20" t="s">
        <v>108</v>
      </c>
      <c r="K7" s="20" t="s">
        <v>120</v>
      </c>
      <c r="L7" s="20" t="s">
        <v>121</v>
      </c>
      <c r="M7" s="20" t="s">
        <v>122</v>
      </c>
      <c r="N7" s="20" t="s">
        <v>123</v>
      </c>
      <c r="O7" s="20" t="s">
        <v>124</v>
      </c>
      <c r="P7" s="20" t="s">
        <v>101</v>
      </c>
      <c r="Q7" s="20" t="s">
        <v>102</v>
      </c>
    </row>
    <row r="8" customFormat="false" ht="22.35" hidden="false" customHeight="false" outlineLevel="0" collapsed="false">
      <c r="A8" s="20" t="s">
        <v>125</v>
      </c>
      <c r="B8" s="20" t="s">
        <v>126</v>
      </c>
      <c r="C8" s="20" t="s">
        <v>90</v>
      </c>
      <c r="D8" s="20" t="s">
        <v>41</v>
      </c>
      <c r="E8" s="20" t="s">
        <v>51</v>
      </c>
      <c r="F8" s="20" t="s">
        <v>127</v>
      </c>
      <c r="G8" s="20" t="s">
        <v>105</v>
      </c>
      <c r="H8" s="20" t="s">
        <v>128</v>
      </c>
      <c r="I8" s="20" t="s">
        <v>129</v>
      </c>
      <c r="J8" s="20" t="s">
        <v>108</v>
      </c>
      <c r="K8" s="20" t="s">
        <v>130</v>
      </c>
      <c r="L8" s="20" t="s">
        <v>131</v>
      </c>
      <c r="M8" s="20" t="s">
        <v>132</v>
      </c>
      <c r="N8" s="20" t="s">
        <v>133</v>
      </c>
      <c r="O8" s="20" t="s">
        <v>100</v>
      </c>
      <c r="P8" s="20" t="s">
        <v>101</v>
      </c>
      <c r="Q8" s="20" t="s">
        <v>102</v>
      </c>
    </row>
    <row r="9" customFormat="false" ht="22.35" hidden="false" customHeight="false" outlineLevel="0" collapsed="false">
      <c r="A9" s="20" t="s">
        <v>134</v>
      </c>
      <c r="B9" s="20" t="s">
        <v>135</v>
      </c>
      <c r="C9" s="20" t="s">
        <v>90</v>
      </c>
      <c r="D9" s="20" t="s">
        <v>41</v>
      </c>
      <c r="E9" s="20" t="s">
        <v>51</v>
      </c>
      <c r="F9" s="20" t="s">
        <v>91</v>
      </c>
      <c r="G9" s="20" t="s">
        <v>136</v>
      </c>
      <c r="H9" s="20" t="s">
        <v>137</v>
      </c>
      <c r="I9" s="20" t="s">
        <v>138</v>
      </c>
      <c r="J9" s="20" t="s">
        <v>139</v>
      </c>
      <c r="K9" s="20" t="s">
        <v>140</v>
      </c>
      <c r="L9" s="20" t="s">
        <v>141</v>
      </c>
      <c r="M9" s="20" t="s">
        <v>142</v>
      </c>
      <c r="N9" s="20" t="s">
        <v>143</v>
      </c>
      <c r="O9" s="20" t="s">
        <v>144</v>
      </c>
      <c r="P9" s="20" t="s">
        <v>145</v>
      </c>
      <c r="Q9" s="20" t="s">
        <v>146</v>
      </c>
    </row>
    <row r="10" customFormat="false" ht="22.35" hidden="false" customHeight="false" outlineLevel="0" collapsed="false">
      <c r="A10" s="20" t="s">
        <v>147</v>
      </c>
      <c r="B10" s="20" t="s">
        <v>148</v>
      </c>
      <c r="C10" s="20" t="s">
        <v>149</v>
      </c>
      <c r="D10" s="20" t="s">
        <v>41</v>
      </c>
      <c r="E10" s="20" t="s">
        <v>51</v>
      </c>
      <c r="F10" s="20" t="s">
        <v>127</v>
      </c>
      <c r="G10" s="20" t="s">
        <v>150</v>
      </c>
      <c r="H10" s="20" t="s">
        <v>151</v>
      </c>
      <c r="I10" s="20" t="s">
        <v>152</v>
      </c>
      <c r="J10" s="20" t="s">
        <v>153</v>
      </c>
      <c r="K10" s="20" t="s">
        <v>154</v>
      </c>
      <c r="L10" s="20" t="s">
        <v>155</v>
      </c>
      <c r="M10" s="20" t="s">
        <v>156</v>
      </c>
      <c r="N10" s="20" t="s">
        <v>157</v>
      </c>
      <c r="O10" s="20" t="s">
        <v>158</v>
      </c>
      <c r="P10" s="20" t="s">
        <v>101</v>
      </c>
      <c r="Q10" s="20" t="s">
        <v>102</v>
      </c>
    </row>
    <row r="11" customFormat="false" ht="32.8" hidden="false" customHeight="false" outlineLevel="0" collapsed="false">
      <c r="A11" s="20" t="s">
        <v>159</v>
      </c>
      <c r="B11" s="20" t="s">
        <v>160</v>
      </c>
      <c r="C11" s="20" t="s">
        <v>149</v>
      </c>
      <c r="D11" s="20" t="s">
        <v>43</v>
      </c>
      <c r="E11" s="20" t="s">
        <v>52</v>
      </c>
      <c r="F11" s="20" t="s">
        <v>116</v>
      </c>
      <c r="G11" s="20" t="s">
        <v>92</v>
      </c>
      <c r="H11" s="20" t="s">
        <v>161</v>
      </c>
      <c r="I11" s="20" t="s">
        <v>162</v>
      </c>
      <c r="J11" s="20" t="s">
        <v>163</v>
      </c>
      <c r="K11" s="20" t="s">
        <v>164</v>
      </c>
      <c r="L11" s="20" t="s">
        <v>165</v>
      </c>
      <c r="M11" s="20" t="s">
        <v>166</v>
      </c>
      <c r="N11" s="20" t="s">
        <v>167</v>
      </c>
      <c r="O11" s="20" t="s">
        <v>168</v>
      </c>
      <c r="P11" s="20" t="s">
        <v>101</v>
      </c>
      <c r="Q11" s="20" t="s">
        <v>146</v>
      </c>
    </row>
    <row r="12" customFormat="false" ht="22.35" hidden="false" customHeight="false" outlineLevel="0" collapsed="false">
      <c r="A12" s="20" t="s">
        <v>169</v>
      </c>
      <c r="B12" s="20" t="s">
        <v>170</v>
      </c>
      <c r="C12" s="20" t="s">
        <v>149</v>
      </c>
      <c r="D12" s="20" t="s">
        <v>41</v>
      </c>
      <c r="E12" s="20" t="s">
        <v>52</v>
      </c>
      <c r="F12" s="20" t="s">
        <v>91</v>
      </c>
      <c r="G12" s="20" t="s">
        <v>150</v>
      </c>
      <c r="H12" s="20" t="s">
        <v>171</v>
      </c>
      <c r="I12" s="20" t="s">
        <v>172</v>
      </c>
      <c r="J12" s="20" t="s">
        <v>153</v>
      </c>
      <c r="K12" s="20" t="s">
        <v>173</v>
      </c>
      <c r="L12" s="20" t="s">
        <v>174</v>
      </c>
      <c r="M12" s="20" t="s">
        <v>175</v>
      </c>
      <c r="N12" s="20" t="s">
        <v>176</v>
      </c>
      <c r="O12" s="20" t="s">
        <v>168</v>
      </c>
      <c r="P12" s="20" t="s">
        <v>101</v>
      </c>
      <c r="Q12" s="20" t="s">
        <v>146</v>
      </c>
    </row>
    <row r="13" customFormat="false" ht="22.35" hidden="false" customHeight="false" outlineLevel="0" collapsed="false">
      <c r="A13" s="20" t="s">
        <v>177</v>
      </c>
      <c r="B13" s="20" t="s">
        <v>178</v>
      </c>
      <c r="C13" s="20" t="s">
        <v>149</v>
      </c>
      <c r="D13" s="20" t="s">
        <v>43</v>
      </c>
      <c r="E13" s="20" t="s">
        <v>51</v>
      </c>
      <c r="F13" s="20" t="s">
        <v>127</v>
      </c>
      <c r="G13" s="20" t="s">
        <v>150</v>
      </c>
      <c r="H13" s="20" t="s">
        <v>179</v>
      </c>
      <c r="I13" s="20" t="s">
        <v>180</v>
      </c>
      <c r="J13" s="20" t="s">
        <v>181</v>
      </c>
      <c r="K13" s="20" t="s">
        <v>182</v>
      </c>
      <c r="L13" s="20" t="s">
        <v>183</v>
      </c>
      <c r="M13" s="20" t="s">
        <v>184</v>
      </c>
      <c r="N13" s="20" t="s">
        <v>185</v>
      </c>
      <c r="O13" s="20" t="s">
        <v>186</v>
      </c>
      <c r="P13" s="20" t="s">
        <v>101</v>
      </c>
      <c r="Q13" s="20" t="s">
        <v>102</v>
      </c>
    </row>
    <row r="14" customFormat="false" ht="74.6" hidden="false" customHeight="false" outlineLevel="0" collapsed="false">
      <c r="A14" s="20" t="s">
        <v>187</v>
      </c>
      <c r="B14" s="20" t="s">
        <v>188</v>
      </c>
      <c r="C14" s="20" t="s">
        <v>189</v>
      </c>
      <c r="D14" s="20" t="s">
        <v>41</v>
      </c>
      <c r="E14" s="20" t="s">
        <v>52</v>
      </c>
      <c r="F14" s="20" t="s">
        <v>116</v>
      </c>
      <c r="G14" s="20" t="s">
        <v>190</v>
      </c>
      <c r="H14" s="20" t="s">
        <v>191</v>
      </c>
      <c r="I14" s="20" t="s">
        <v>192</v>
      </c>
      <c r="J14" s="20" t="s">
        <v>193</v>
      </c>
      <c r="K14" s="20" t="s">
        <v>194</v>
      </c>
      <c r="L14" s="20" t="s">
        <v>195</v>
      </c>
      <c r="M14" s="20" t="s">
        <v>196</v>
      </c>
      <c r="N14" s="20" t="s">
        <v>197</v>
      </c>
      <c r="O14" s="20" t="s">
        <v>198</v>
      </c>
      <c r="P14" s="20" t="s">
        <v>199</v>
      </c>
      <c r="Q14" s="20" t="s">
        <v>102</v>
      </c>
    </row>
    <row r="15" customFormat="false" ht="32.8" hidden="false" customHeight="false" outlineLevel="0" collapsed="false">
      <c r="A15" s="20" t="s">
        <v>200</v>
      </c>
      <c r="B15" s="20" t="s">
        <v>201</v>
      </c>
      <c r="C15" s="20" t="s">
        <v>149</v>
      </c>
      <c r="D15" s="20" t="s">
        <v>41</v>
      </c>
      <c r="E15" s="20" t="s">
        <v>51</v>
      </c>
      <c r="F15" s="20" t="s">
        <v>91</v>
      </c>
      <c r="G15" s="20" t="s">
        <v>105</v>
      </c>
      <c r="H15" s="20" t="s">
        <v>202</v>
      </c>
      <c r="I15" s="20" t="s">
        <v>203</v>
      </c>
      <c r="J15" s="20" t="s">
        <v>204</v>
      </c>
      <c r="K15" s="20" t="s">
        <v>205</v>
      </c>
      <c r="L15" s="20" t="s">
        <v>206</v>
      </c>
      <c r="M15" s="20" t="s">
        <v>207</v>
      </c>
      <c r="N15" s="20" t="s">
        <v>208</v>
      </c>
      <c r="O15" s="20" t="s">
        <v>209</v>
      </c>
      <c r="P15" s="20" t="s">
        <v>101</v>
      </c>
      <c r="Q15" s="20" t="s">
        <v>102</v>
      </c>
    </row>
    <row r="16" customFormat="false" ht="22.35" hidden="false" customHeight="false" outlineLevel="0" collapsed="false">
      <c r="A16" s="20" t="s">
        <v>210</v>
      </c>
      <c r="B16" s="20" t="s">
        <v>211</v>
      </c>
      <c r="C16" s="20" t="s">
        <v>189</v>
      </c>
      <c r="D16" s="20" t="s">
        <v>41</v>
      </c>
      <c r="E16" s="20" t="s">
        <v>52</v>
      </c>
      <c r="F16" s="20" t="s">
        <v>91</v>
      </c>
      <c r="G16" s="20" t="s">
        <v>190</v>
      </c>
      <c r="H16" s="20" t="s">
        <v>212</v>
      </c>
      <c r="I16" s="20" t="s">
        <v>213</v>
      </c>
      <c r="J16" s="20" t="s">
        <v>214</v>
      </c>
      <c r="K16" s="20" t="s">
        <v>215</v>
      </c>
      <c r="L16" s="20" t="s">
        <v>216</v>
      </c>
      <c r="M16" s="20" t="s">
        <v>217</v>
      </c>
      <c r="N16" s="20" t="s">
        <v>218</v>
      </c>
      <c r="O16" s="20" t="s">
        <v>219</v>
      </c>
      <c r="P16" s="20" t="s">
        <v>199</v>
      </c>
      <c r="Q16" s="20" t="s">
        <v>146</v>
      </c>
    </row>
    <row r="17" customFormat="false" ht="22.35" hidden="false" customHeight="false" outlineLevel="0" collapsed="false">
      <c r="A17" s="20" t="s">
        <v>220</v>
      </c>
      <c r="B17" s="20" t="s">
        <v>221</v>
      </c>
      <c r="C17" s="20" t="s">
        <v>222</v>
      </c>
      <c r="D17" s="20" t="s">
        <v>45</v>
      </c>
      <c r="E17" s="20" t="s">
        <v>53</v>
      </c>
      <c r="F17" s="20" t="s">
        <v>223</v>
      </c>
      <c r="G17" s="20" t="s">
        <v>190</v>
      </c>
      <c r="H17" s="20" t="s">
        <v>224</v>
      </c>
      <c r="I17" s="20" t="s">
        <v>225</v>
      </c>
      <c r="J17" s="20" t="s">
        <v>226</v>
      </c>
      <c r="K17" s="20" t="s">
        <v>227</v>
      </c>
      <c r="L17" s="20" t="s">
        <v>228</v>
      </c>
      <c r="M17" s="20" t="s">
        <v>229</v>
      </c>
      <c r="N17" s="20" t="s">
        <v>230</v>
      </c>
      <c r="O17" s="20" t="s">
        <v>231</v>
      </c>
      <c r="P17" s="20" t="s">
        <v>101</v>
      </c>
      <c r="Q17" s="20" t="s">
        <v>146</v>
      </c>
    </row>
    <row r="18" customFormat="false" ht="22.35" hidden="false" customHeight="false" outlineLevel="0" collapsed="false">
      <c r="A18" s="20" t="s">
        <v>232</v>
      </c>
      <c r="B18" s="20" t="s">
        <v>233</v>
      </c>
      <c r="C18" s="20" t="s">
        <v>222</v>
      </c>
      <c r="D18" s="20" t="s">
        <v>43</v>
      </c>
      <c r="E18" s="20" t="s">
        <v>53</v>
      </c>
      <c r="F18" s="20" t="s">
        <v>116</v>
      </c>
      <c r="G18" s="20" t="s">
        <v>190</v>
      </c>
      <c r="H18" s="20" t="s">
        <v>234</v>
      </c>
      <c r="I18" s="20" t="s">
        <v>235</v>
      </c>
      <c r="J18" s="20" t="s">
        <v>226</v>
      </c>
      <c r="K18" s="20" t="s">
        <v>236</v>
      </c>
      <c r="L18" s="20" t="s">
        <v>237</v>
      </c>
      <c r="M18" s="20" t="s">
        <v>238</v>
      </c>
      <c r="N18" s="20" t="s">
        <v>239</v>
      </c>
      <c r="O18" s="20" t="s">
        <v>240</v>
      </c>
      <c r="P18" s="20" t="s">
        <v>101</v>
      </c>
      <c r="Q18" s="20" t="s">
        <v>146</v>
      </c>
    </row>
    <row r="19" customFormat="false" ht="32.8" hidden="false" customHeight="false" outlineLevel="0" collapsed="false">
      <c r="A19" s="20" t="s">
        <v>241</v>
      </c>
      <c r="B19" s="20" t="s">
        <v>242</v>
      </c>
      <c r="C19" s="20" t="s">
        <v>222</v>
      </c>
      <c r="D19" s="20" t="s">
        <v>43</v>
      </c>
      <c r="E19" s="20" t="s">
        <v>53</v>
      </c>
      <c r="F19" s="20" t="s">
        <v>116</v>
      </c>
      <c r="G19" s="20" t="s">
        <v>190</v>
      </c>
      <c r="H19" s="20" t="s">
        <v>243</v>
      </c>
      <c r="I19" s="20" t="s">
        <v>244</v>
      </c>
      <c r="J19" s="20" t="s">
        <v>226</v>
      </c>
      <c r="K19" s="20" t="s">
        <v>245</v>
      </c>
      <c r="L19" s="20" t="s">
        <v>246</v>
      </c>
      <c r="M19" s="20" t="s">
        <v>247</v>
      </c>
      <c r="N19" s="20" t="s">
        <v>248</v>
      </c>
      <c r="O19" s="20" t="s">
        <v>249</v>
      </c>
      <c r="P19" s="20" t="s">
        <v>101</v>
      </c>
      <c r="Q19" s="20" t="s">
        <v>146</v>
      </c>
    </row>
    <row r="20" customFormat="false" ht="22.35" hidden="false" customHeight="false" outlineLevel="0" collapsed="false">
      <c r="A20" s="20" t="s">
        <v>250</v>
      </c>
      <c r="B20" s="20" t="s">
        <v>251</v>
      </c>
      <c r="C20" s="20" t="s">
        <v>222</v>
      </c>
      <c r="D20" s="20" t="s">
        <v>43</v>
      </c>
      <c r="E20" s="20" t="s">
        <v>53</v>
      </c>
      <c r="F20" s="20" t="s">
        <v>116</v>
      </c>
      <c r="G20" s="20" t="s">
        <v>252</v>
      </c>
      <c r="H20" s="20" t="s">
        <v>253</v>
      </c>
      <c r="I20" s="20" t="s">
        <v>254</v>
      </c>
      <c r="J20" s="20" t="s">
        <v>226</v>
      </c>
      <c r="K20" s="20" t="s">
        <v>255</v>
      </c>
      <c r="L20" s="20" t="s">
        <v>256</v>
      </c>
      <c r="M20" s="20" t="s">
        <v>257</v>
      </c>
      <c r="N20" s="20" t="s">
        <v>258</v>
      </c>
      <c r="O20" s="20" t="s">
        <v>231</v>
      </c>
      <c r="P20" s="20" t="s">
        <v>199</v>
      </c>
      <c r="Q20" s="20" t="s">
        <v>146</v>
      </c>
    </row>
    <row r="21" customFormat="false" ht="22.35" hidden="false" customHeight="false" outlineLevel="0" collapsed="false">
      <c r="A21" s="20" t="s">
        <v>259</v>
      </c>
      <c r="B21" s="20" t="s">
        <v>260</v>
      </c>
      <c r="C21" s="20" t="s">
        <v>189</v>
      </c>
      <c r="D21" s="20" t="s">
        <v>47</v>
      </c>
      <c r="E21" s="20" t="s">
        <v>54</v>
      </c>
      <c r="F21" s="20" t="s">
        <v>261</v>
      </c>
      <c r="G21" s="20" t="s">
        <v>227</v>
      </c>
      <c r="H21" s="20" t="s">
        <v>262</v>
      </c>
      <c r="I21" s="20" t="s">
        <v>263</v>
      </c>
      <c r="J21" s="20" t="s">
        <v>264</v>
      </c>
      <c r="K21" s="20" t="s">
        <v>227</v>
      </c>
      <c r="L21" s="20" t="s">
        <v>265</v>
      </c>
      <c r="M21" s="20" t="s">
        <v>266</v>
      </c>
      <c r="N21" s="20" t="s">
        <v>267</v>
      </c>
      <c r="O21" s="20" t="s">
        <v>100</v>
      </c>
      <c r="P21" s="20" t="s">
        <v>101</v>
      </c>
      <c r="Q21" s="20" t="s">
        <v>102</v>
      </c>
    </row>
    <row r="22" customFormat="false" ht="22.35" hidden="false" customHeight="false" outlineLevel="0" collapsed="false">
      <c r="A22" s="20" t="s">
        <v>268</v>
      </c>
      <c r="B22" s="20" t="s">
        <v>269</v>
      </c>
      <c r="C22" s="20" t="s">
        <v>189</v>
      </c>
      <c r="D22" s="20" t="s">
        <v>43</v>
      </c>
      <c r="E22" s="20" t="s">
        <v>53</v>
      </c>
      <c r="F22" s="20" t="s">
        <v>116</v>
      </c>
      <c r="G22" s="20" t="s">
        <v>270</v>
      </c>
      <c r="H22" s="20" t="s">
        <v>271</v>
      </c>
      <c r="I22" s="20" t="s">
        <v>272</v>
      </c>
      <c r="J22" s="20" t="s">
        <v>273</v>
      </c>
      <c r="K22" s="20" t="s">
        <v>274</v>
      </c>
      <c r="L22" s="20" t="s">
        <v>275</v>
      </c>
      <c r="M22" s="20" t="s">
        <v>276</v>
      </c>
      <c r="N22" s="20" t="s">
        <v>277</v>
      </c>
      <c r="O22" s="20" t="s">
        <v>231</v>
      </c>
      <c r="P22" s="20" t="s">
        <v>199</v>
      </c>
      <c r="Q22" s="20" t="s">
        <v>146</v>
      </c>
    </row>
    <row r="23" customFormat="false" ht="22.35" hidden="false" customHeight="false" outlineLevel="0" collapsed="false">
      <c r="A23" s="20" t="s">
        <v>278</v>
      </c>
      <c r="B23" s="20" t="s">
        <v>279</v>
      </c>
      <c r="C23" s="20" t="s">
        <v>189</v>
      </c>
      <c r="D23" s="20" t="s">
        <v>43</v>
      </c>
      <c r="E23" s="20" t="s">
        <v>53</v>
      </c>
      <c r="F23" s="20" t="s">
        <v>91</v>
      </c>
      <c r="G23" s="20" t="s">
        <v>190</v>
      </c>
      <c r="H23" s="20" t="s">
        <v>280</v>
      </c>
      <c r="I23" s="20" t="s">
        <v>281</v>
      </c>
      <c r="J23" s="20" t="s">
        <v>282</v>
      </c>
      <c r="K23" s="20" t="s">
        <v>283</v>
      </c>
      <c r="L23" s="20" t="s">
        <v>284</v>
      </c>
      <c r="M23" s="20" t="s">
        <v>285</v>
      </c>
      <c r="N23" s="20" t="s">
        <v>286</v>
      </c>
      <c r="O23" s="20" t="s">
        <v>287</v>
      </c>
      <c r="P23" s="20" t="s">
        <v>101</v>
      </c>
      <c r="Q23" s="20" t="s">
        <v>146</v>
      </c>
    </row>
    <row r="24" customFormat="false" ht="22.35" hidden="false" customHeight="false" outlineLevel="0" collapsed="false">
      <c r="A24" s="20" t="s">
        <v>288</v>
      </c>
      <c r="B24" s="20" t="s">
        <v>289</v>
      </c>
      <c r="C24" s="20" t="s">
        <v>149</v>
      </c>
      <c r="D24" s="20" t="s">
        <v>47</v>
      </c>
      <c r="E24" s="20" t="s">
        <v>54</v>
      </c>
      <c r="F24" s="20" t="s">
        <v>261</v>
      </c>
      <c r="G24" s="20" t="s">
        <v>227</v>
      </c>
      <c r="H24" s="20" t="s">
        <v>290</v>
      </c>
      <c r="I24" s="20" t="s">
        <v>291</v>
      </c>
      <c r="J24" s="20" t="s">
        <v>292</v>
      </c>
      <c r="K24" s="20" t="s">
        <v>227</v>
      </c>
      <c r="L24" s="20" t="s">
        <v>293</v>
      </c>
      <c r="M24" s="20" t="s">
        <v>294</v>
      </c>
      <c r="N24" s="20" t="s">
        <v>295</v>
      </c>
      <c r="O24" s="20" t="s">
        <v>296</v>
      </c>
      <c r="P24" s="20" t="s">
        <v>101</v>
      </c>
      <c r="Q24" s="20" t="s">
        <v>102</v>
      </c>
    </row>
    <row r="25" customFormat="false" ht="22.35" hidden="false" customHeight="false" outlineLevel="0" collapsed="false">
      <c r="A25" s="20" t="s">
        <v>297</v>
      </c>
      <c r="B25" s="20" t="s">
        <v>298</v>
      </c>
      <c r="C25" s="20" t="s">
        <v>149</v>
      </c>
      <c r="D25" s="20" t="s">
        <v>43</v>
      </c>
      <c r="E25" s="20" t="s">
        <v>53</v>
      </c>
      <c r="F25" s="20" t="s">
        <v>116</v>
      </c>
      <c r="G25" s="20" t="s">
        <v>150</v>
      </c>
      <c r="H25" s="20" t="s">
        <v>299</v>
      </c>
      <c r="I25" s="20" t="s">
        <v>300</v>
      </c>
      <c r="J25" s="20" t="s">
        <v>301</v>
      </c>
      <c r="K25" s="20" t="s">
        <v>302</v>
      </c>
      <c r="L25" s="20" t="s">
        <v>303</v>
      </c>
      <c r="M25" s="20" t="s">
        <v>304</v>
      </c>
      <c r="N25" s="20" t="s">
        <v>305</v>
      </c>
      <c r="O25" s="20" t="s">
        <v>209</v>
      </c>
      <c r="P25" s="20" t="s">
        <v>101</v>
      </c>
      <c r="Q25" s="20" t="s">
        <v>146</v>
      </c>
    </row>
    <row r="26" customFormat="false" ht="22.35" hidden="false" customHeight="false" outlineLevel="0" collapsed="false">
      <c r="A26" s="20" t="s">
        <v>306</v>
      </c>
      <c r="B26" s="20" t="s">
        <v>307</v>
      </c>
      <c r="C26" s="20" t="s">
        <v>222</v>
      </c>
      <c r="D26" s="20" t="s">
        <v>45</v>
      </c>
      <c r="E26" s="20" t="s">
        <v>54</v>
      </c>
      <c r="F26" s="20" t="s">
        <v>261</v>
      </c>
      <c r="G26" s="20" t="s">
        <v>227</v>
      </c>
      <c r="H26" s="20" t="s">
        <v>308</v>
      </c>
      <c r="I26" s="20" t="s">
        <v>309</v>
      </c>
      <c r="J26" s="20" t="s">
        <v>310</v>
      </c>
      <c r="K26" s="20" t="s">
        <v>227</v>
      </c>
      <c r="L26" s="20" t="s">
        <v>311</v>
      </c>
      <c r="M26" s="20" t="s">
        <v>312</v>
      </c>
      <c r="N26" s="20" t="s">
        <v>313</v>
      </c>
      <c r="O26" s="20" t="s">
        <v>287</v>
      </c>
      <c r="P26" s="20" t="s">
        <v>101</v>
      </c>
      <c r="Q26" s="20" t="s">
        <v>102</v>
      </c>
    </row>
    <row r="27" customFormat="false" ht="53.7" hidden="false" customHeight="false" outlineLevel="0" collapsed="false">
      <c r="A27" s="20" t="s">
        <v>314</v>
      </c>
      <c r="B27" s="20" t="s">
        <v>315</v>
      </c>
      <c r="C27" s="20" t="s">
        <v>316</v>
      </c>
      <c r="D27" s="20" t="s">
        <v>47</v>
      </c>
      <c r="E27" s="20" t="s">
        <v>54</v>
      </c>
      <c r="F27" s="20" t="s">
        <v>317</v>
      </c>
      <c r="G27" s="20" t="s">
        <v>227</v>
      </c>
      <c r="H27" s="20" t="s">
        <v>318</v>
      </c>
      <c r="I27" s="20" t="s">
        <v>319</v>
      </c>
      <c r="J27" s="20" t="s">
        <v>226</v>
      </c>
      <c r="K27" s="20" t="s">
        <v>227</v>
      </c>
      <c r="L27" s="20" t="s">
        <v>320</v>
      </c>
      <c r="M27" s="20" t="s">
        <v>321</v>
      </c>
      <c r="N27" s="20" t="s">
        <v>322</v>
      </c>
      <c r="O27" s="20" t="s">
        <v>323</v>
      </c>
      <c r="P27" s="20" t="s">
        <v>101</v>
      </c>
      <c r="Q27" s="20" t="s">
        <v>102</v>
      </c>
    </row>
    <row r="28" customFormat="false" ht="22.35" hidden="false" customHeight="false" outlineLevel="0" collapsed="false">
      <c r="A28" s="20" t="s">
        <v>324</v>
      </c>
      <c r="B28" s="20" t="s">
        <v>325</v>
      </c>
      <c r="C28" s="20" t="s">
        <v>316</v>
      </c>
      <c r="D28" s="20" t="s">
        <v>43</v>
      </c>
      <c r="E28" s="20" t="s">
        <v>52</v>
      </c>
      <c r="F28" s="20" t="s">
        <v>116</v>
      </c>
      <c r="G28" s="20" t="s">
        <v>92</v>
      </c>
      <c r="H28" s="20" t="s">
        <v>326</v>
      </c>
      <c r="I28" s="20" t="s">
        <v>327</v>
      </c>
      <c r="J28" s="20" t="s">
        <v>226</v>
      </c>
      <c r="K28" s="20" t="s">
        <v>328</v>
      </c>
      <c r="L28" s="20" t="s">
        <v>329</v>
      </c>
      <c r="M28" s="20" t="s">
        <v>330</v>
      </c>
      <c r="N28" s="20" t="s">
        <v>331</v>
      </c>
      <c r="O28" s="20" t="s">
        <v>332</v>
      </c>
      <c r="P28" s="20" t="s">
        <v>101</v>
      </c>
      <c r="Q28" s="20" t="s">
        <v>146</v>
      </c>
    </row>
    <row r="29" customFormat="false" ht="22.35" hidden="false" customHeight="false" outlineLevel="0" collapsed="false">
      <c r="A29" s="20" t="s">
        <v>333</v>
      </c>
      <c r="B29" s="20" t="s">
        <v>334</v>
      </c>
      <c r="C29" s="20" t="s">
        <v>316</v>
      </c>
      <c r="D29" s="20" t="s">
        <v>43</v>
      </c>
      <c r="E29" s="20" t="s">
        <v>53</v>
      </c>
      <c r="F29" s="20" t="s">
        <v>223</v>
      </c>
      <c r="G29" s="20" t="s">
        <v>252</v>
      </c>
      <c r="H29" s="20" t="s">
        <v>335</v>
      </c>
      <c r="I29" s="20" t="s">
        <v>336</v>
      </c>
      <c r="J29" s="20" t="s">
        <v>226</v>
      </c>
      <c r="K29" s="20" t="s">
        <v>337</v>
      </c>
      <c r="L29" s="20" t="s">
        <v>338</v>
      </c>
      <c r="M29" s="20" t="s">
        <v>339</v>
      </c>
      <c r="N29" s="20" t="s">
        <v>340</v>
      </c>
      <c r="O29" s="20" t="s">
        <v>341</v>
      </c>
      <c r="P29" s="20" t="s">
        <v>101</v>
      </c>
      <c r="Q29" s="20" t="s">
        <v>146</v>
      </c>
    </row>
    <row r="30" customFormat="false" ht="22.35" hidden="false" customHeight="false" outlineLevel="0" collapsed="false">
      <c r="A30" s="20" t="s">
        <v>342</v>
      </c>
      <c r="B30" s="20" t="s">
        <v>343</v>
      </c>
      <c r="C30" s="20" t="s">
        <v>316</v>
      </c>
      <c r="D30" s="20" t="s">
        <v>43</v>
      </c>
      <c r="E30" s="20" t="s">
        <v>53</v>
      </c>
      <c r="F30" s="20" t="s">
        <v>223</v>
      </c>
      <c r="G30" s="20" t="s">
        <v>252</v>
      </c>
      <c r="H30" s="20" t="s">
        <v>344</v>
      </c>
      <c r="I30" s="20" t="s">
        <v>345</v>
      </c>
      <c r="J30" s="20" t="s">
        <v>226</v>
      </c>
      <c r="K30" s="20" t="s">
        <v>346</v>
      </c>
      <c r="L30" s="20" t="s">
        <v>347</v>
      </c>
      <c r="M30" s="20" t="s">
        <v>348</v>
      </c>
      <c r="N30" s="20" t="s">
        <v>349</v>
      </c>
      <c r="O30" s="20" t="s">
        <v>144</v>
      </c>
      <c r="P30" s="20" t="s">
        <v>101</v>
      </c>
      <c r="Q30" s="20" t="s">
        <v>146</v>
      </c>
    </row>
    <row r="31" customFormat="false" ht="22.35" hidden="false" customHeight="false" outlineLevel="0" collapsed="false">
      <c r="A31" s="20" t="s">
        <v>350</v>
      </c>
      <c r="B31" s="20" t="s">
        <v>351</v>
      </c>
      <c r="C31" s="20" t="s">
        <v>316</v>
      </c>
      <c r="D31" s="20" t="s">
        <v>43</v>
      </c>
      <c r="E31" s="20" t="s">
        <v>53</v>
      </c>
      <c r="F31" s="20" t="s">
        <v>223</v>
      </c>
      <c r="G31" s="20" t="s">
        <v>252</v>
      </c>
      <c r="H31" s="20" t="s">
        <v>352</v>
      </c>
      <c r="I31" s="20" t="s">
        <v>353</v>
      </c>
      <c r="J31" s="20" t="s">
        <v>226</v>
      </c>
      <c r="K31" s="20" t="s">
        <v>354</v>
      </c>
      <c r="L31" s="20" t="s">
        <v>355</v>
      </c>
      <c r="M31" s="20" t="s">
        <v>356</v>
      </c>
      <c r="N31" s="20" t="s">
        <v>357</v>
      </c>
      <c r="O31" s="20" t="s">
        <v>358</v>
      </c>
      <c r="P31" s="20" t="s">
        <v>101</v>
      </c>
      <c r="Q31" s="20" t="s">
        <v>146</v>
      </c>
    </row>
    <row r="32" customFormat="false" ht="22.35" hidden="false" customHeight="false" outlineLevel="0" collapsed="false">
      <c r="A32" s="20" t="s">
        <v>359</v>
      </c>
      <c r="B32" s="20" t="s">
        <v>360</v>
      </c>
      <c r="C32" s="20" t="s">
        <v>316</v>
      </c>
      <c r="D32" s="20" t="s">
        <v>43</v>
      </c>
      <c r="E32" s="20" t="s">
        <v>53</v>
      </c>
      <c r="F32" s="20" t="s">
        <v>223</v>
      </c>
      <c r="G32" s="20" t="s">
        <v>92</v>
      </c>
      <c r="H32" s="20" t="s">
        <v>361</v>
      </c>
      <c r="I32" s="20" t="s">
        <v>362</v>
      </c>
      <c r="J32" s="20" t="s">
        <v>363</v>
      </c>
      <c r="K32" s="20" t="s">
        <v>364</v>
      </c>
      <c r="L32" s="20" t="s">
        <v>365</v>
      </c>
      <c r="M32" s="20" t="s">
        <v>366</v>
      </c>
      <c r="N32" s="20" t="s">
        <v>367</v>
      </c>
      <c r="O32" s="20" t="s">
        <v>368</v>
      </c>
      <c r="P32" s="20" t="s">
        <v>101</v>
      </c>
      <c r="Q32" s="20" t="s">
        <v>146</v>
      </c>
    </row>
    <row r="33" customFormat="false" ht="22.35" hidden="false" customHeight="false" outlineLevel="0" collapsed="false">
      <c r="A33" s="20" t="s">
        <v>369</v>
      </c>
      <c r="B33" s="20" t="s">
        <v>370</v>
      </c>
      <c r="C33" s="20" t="s">
        <v>316</v>
      </c>
      <c r="D33" s="20" t="s">
        <v>43</v>
      </c>
      <c r="E33" s="20" t="s">
        <v>53</v>
      </c>
      <c r="F33" s="20" t="s">
        <v>116</v>
      </c>
      <c r="G33" s="20" t="s">
        <v>117</v>
      </c>
      <c r="H33" s="20" t="s">
        <v>371</v>
      </c>
      <c r="I33" s="20" t="s">
        <v>372</v>
      </c>
      <c r="J33" s="20" t="s">
        <v>373</v>
      </c>
      <c r="K33" s="20" t="s">
        <v>374</v>
      </c>
      <c r="L33" s="20" t="s">
        <v>375</v>
      </c>
      <c r="M33" s="20" t="s">
        <v>376</v>
      </c>
      <c r="N33" s="20" t="s">
        <v>377</v>
      </c>
      <c r="O33" s="20" t="s">
        <v>341</v>
      </c>
      <c r="P33" s="20" t="s">
        <v>199</v>
      </c>
      <c r="Q33" s="20" t="s">
        <v>146</v>
      </c>
    </row>
    <row r="34" customFormat="false" ht="22.35" hidden="false" customHeight="false" outlineLevel="0" collapsed="false">
      <c r="A34" s="20" t="s">
        <v>378</v>
      </c>
      <c r="B34" s="20" t="s">
        <v>379</v>
      </c>
      <c r="C34" s="20" t="s">
        <v>316</v>
      </c>
      <c r="D34" s="20" t="s">
        <v>43</v>
      </c>
      <c r="E34" s="20" t="s">
        <v>53</v>
      </c>
      <c r="F34" s="20" t="s">
        <v>116</v>
      </c>
      <c r="G34" s="20" t="s">
        <v>117</v>
      </c>
      <c r="H34" s="20" t="s">
        <v>380</v>
      </c>
      <c r="I34" s="20" t="s">
        <v>381</v>
      </c>
      <c r="J34" s="20" t="s">
        <v>382</v>
      </c>
      <c r="K34" s="20" t="s">
        <v>383</v>
      </c>
      <c r="L34" s="20" t="s">
        <v>384</v>
      </c>
      <c r="M34" s="20" t="s">
        <v>385</v>
      </c>
      <c r="N34" s="20" t="s">
        <v>386</v>
      </c>
      <c r="O34" s="20" t="s">
        <v>387</v>
      </c>
      <c r="P34" s="20" t="s">
        <v>145</v>
      </c>
      <c r="Q34" s="20" t="s">
        <v>146</v>
      </c>
    </row>
    <row r="35" customFormat="false" ht="32.8" hidden="false" customHeight="false" outlineLevel="0" collapsed="false">
      <c r="A35" s="20" t="s">
        <v>388</v>
      </c>
      <c r="B35" s="20" t="s">
        <v>389</v>
      </c>
      <c r="C35" s="20" t="s">
        <v>316</v>
      </c>
      <c r="D35" s="20" t="s">
        <v>43</v>
      </c>
      <c r="E35" s="20" t="s">
        <v>53</v>
      </c>
      <c r="F35" s="20" t="s">
        <v>116</v>
      </c>
      <c r="G35" s="20" t="s">
        <v>117</v>
      </c>
      <c r="H35" s="20" t="s">
        <v>390</v>
      </c>
      <c r="I35" s="20" t="s">
        <v>391</v>
      </c>
      <c r="J35" s="20" t="s">
        <v>382</v>
      </c>
      <c r="K35" s="20" t="s">
        <v>392</v>
      </c>
      <c r="L35" s="20" t="s">
        <v>393</v>
      </c>
      <c r="M35" s="20" t="s">
        <v>394</v>
      </c>
      <c r="N35" s="20" t="s">
        <v>395</v>
      </c>
      <c r="O35" s="20" t="s">
        <v>396</v>
      </c>
      <c r="P35" s="20" t="s">
        <v>101</v>
      </c>
      <c r="Q35" s="20" t="s">
        <v>146</v>
      </c>
    </row>
    <row r="36" customFormat="false" ht="22.35" hidden="false" customHeight="false" outlineLevel="0" collapsed="false">
      <c r="A36" s="20" t="s">
        <v>397</v>
      </c>
      <c r="B36" s="20" t="s">
        <v>398</v>
      </c>
      <c r="C36" s="20" t="s">
        <v>316</v>
      </c>
      <c r="D36" s="20" t="s">
        <v>43</v>
      </c>
      <c r="E36" s="20" t="s">
        <v>52</v>
      </c>
      <c r="F36" s="20" t="s">
        <v>116</v>
      </c>
      <c r="G36" s="20" t="s">
        <v>117</v>
      </c>
      <c r="H36" s="20" t="s">
        <v>399</v>
      </c>
      <c r="I36" s="20" t="s">
        <v>400</v>
      </c>
      <c r="J36" s="20" t="s">
        <v>163</v>
      </c>
      <c r="K36" s="20" t="s">
        <v>401</v>
      </c>
      <c r="L36" s="20" t="s">
        <v>402</v>
      </c>
      <c r="M36" s="20" t="s">
        <v>403</v>
      </c>
      <c r="N36" s="20" t="s">
        <v>404</v>
      </c>
      <c r="O36" s="20" t="s">
        <v>405</v>
      </c>
      <c r="P36" s="20" t="s">
        <v>101</v>
      </c>
      <c r="Q36" s="20" t="s">
        <v>102</v>
      </c>
    </row>
    <row r="37" customFormat="false" ht="15" hidden="false" customHeight="false" outlineLevel="0" collapsed="false">
      <c r="A37" s="20" t="s">
        <v>406</v>
      </c>
      <c r="B37" s="20" t="s">
        <v>407</v>
      </c>
      <c r="C37" s="20" t="s">
        <v>316</v>
      </c>
      <c r="D37" s="20" t="s">
        <v>45</v>
      </c>
      <c r="E37" s="20" t="s">
        <v>53</v>
      </c>
      <c r="F37" s="20" t="s">
        <v>116</v>
      </c>
      <c r="G37" s="20" t="s">
        <v>117</v>
      </c>
      <c r="H37" s="20" t="s">
        <v>408</v>
      </c>
      <c r="I37" s="20" t="s">
        <v>409</v>
      </c>
      <c r="J37" s="20" t="s">
        <v>163</v>
      </c>
      <c r="K37" s="20" t="s">
        <v>227</v>
      </c>
      <c r="L37" s="20" t="s">
        <v>410</v>
      </c>
      <c r="M37" s="20" t="s">
        <v>411</v>
      </c>
      <c r="N37" s="20" t="s">
        <v>412</v>
      </c>
      <c r="O37" s="20" t="s">
        <v>332</v>
      </c>
      <c r="P37" s="20" t="s">
        <v>101</v>
      </c>
      <c r="Q37" s="20" t="s">
        <v>102</v>
      </c>
    </row>
    <row r="38" customFormat="false" ht="22.35" hidden="false" customHeight="false" outlineLevel="0" collapsed="false">
      <c r="A38" s="20" t="s">
        <v>413</v>
      </c>
      <c r="B38" s="20" t="s">
        <v>414</v>
      </c>
      <c r="C38" s="20" t="s">
        <v>316</v>
      </c>
      <c r="D38" s="20" t="s">
        <v>47</v>
      </c>
      <c r="E38" s="20" t="s">
        <v>54</v>
      </c>
      <c r="F38" s="20" t="s">
        <v>261</v>
      </c>
      <c r="G38" s="20" t="s">
        <v>227</v>
      </c>
      <c r="H38" s="20" t="s">
        <v>415</v>
      </c>
      <c r="I38" s="20" t="s">
        <v>416</v>
      </c>
      <c r="J38" s="20" t="s">
        <v>226</v>
      </c>
      <c r="K38" s="20" t="s">
        <v>227</v>
      </c>
      <c r="L38" s="20" t="s">
        <v>417</v>
      </c>
      <c r="M38" s="20" t="s">
        <v>418</v>
      </c>
      <c r="N38" s="20" t="s">
        <v>419</v>
      </c>
      <c r="O38" s="20" t="s">
        <v>323</v>
      </c>
      <c r="P38" s="20" t="s">
        <v>101</v>
      </c>
      <c r="Q38" s="20" t="s">
        <v>102</v>
      </c>
    </row>
    <row r="39" customFormat="false" ht="53.7" hidden="false" customHeight="false" outlineLevel="0" collapsed="false">
      <c r="A39" s="20" t="s">
        <v>420</v>
      </c>
      <c r="B39" s="20" t="s">
        <v>421</v>
      </c>
      <c r="C39" s="20" t="s">
        <v>422</v>
      </c>
      <c r="D39" s="20" t="s">
        <v>41</v>
      </c>
      <c r="E39" s="20" t="s">
        <v>52</v>
      </c>
      <c r="F39" s="20" t="s">
        <v>116</v>
      </c>
      <c r="G39" s="20" t="s">
        <v>117</v>
      </c>
      <c r="H39" s="20" t="s">
        <v>423</v>
      </c>
      <c r="I39" s="20" t="s">
        <v>424</v>
      </c>
      <c r="J39" s="20" t="s">
        <v>139</v>
      </c>
      <c r="K39" s="20" t="s">
        <v>425</v>
      </c>
      <c r="L39" s="20" t="s">
        <v>426</v>
      </c>
      <c r="M39" s="20" t="s">
        <v>427</v>
      </c>
      <c r="N39" s="20" t="s">
        <v>428</v>
      </c>
      <c r="O39" s="20" t="s">
        <v>323</v>
      </c>
      <c r="P39" s="20" t="s">
        <v>101</v>
      </c>
      <c r="Q39" s="20" t="s">
        <v>146</v>
      </c>
    </row>
    <row r="40" customFormat="false" ht="32.8" hidden="false" customHeight="false" outlineLevel="0" collapsed="false">
      <c r="A40" s="20" t="s">
        <v>429</v>
      </c>
      <c r="B40" s="20" t="s">
        <v>430</v>
      </c>
      <c r="C40" s="20" t="s">
        <v>422</v>
      </c>
      <c r="D40" s="20" t="s">
        <v>41</v>
      </c>
      <c r="E40" s="20" t="s">
        <v>52</v>
      </c>
      <c r="F40" s="20" t="s">
        <v>116</v>
      </c>
      <c r="G40" s="20" t="s">
        <v>136</v>
      </c>
      <c r="H40" s="20" t="s">
        <v>431</v>
      </c>
      <c r="I40" s="20" t="s">
        <v>432</v>
      </c>
      <c r="J40" s="20" t="s">
        <v>139</v>
      </c>
      <c r="K40" s="20" t="s">
        <v>433</v>
      </c>
      <c r="L40" s="20" t="s">
        <v>434</v>
      </c>
      <c r="M40" s="20" t="s">
        <v>435</v>
      </c>
      <c r="N40" s="20" t="s">
        <v>436</v>
      </c>
      <c r="O40" s="20" t="s">
        <v>124</v>
      </c>
      <c r="P40" s="20" t="s">
        <v>101</v>
      </c>
      <c r="Q40" s="20" t="s">
        <v>146</v>
      </c>
    </row>
    <row r="41" customFormat="false" ht="22.35" hidden="false" customHeight="false" outlineLevel="0" collapsed="false">
      <c r="A41" s="20" t="s">
        <v>437</v>
      </c>
      <c r="B41" s="20" t="s">
        <v>438</v>
      </c>
      <c r="C41" s="20" t="s">
        <v>422</v>
      </c>
      <c r="D41" s="20" t="s">
        <v>41</v>
      </c>
      <c r="E41" s="20" t="s">
        <v>52</v>
      </c>
      <c r="F41" s="20" t="s">
        <v>116</v>
      </c>
      <c r="G41" s="20" t="s">
        <v>117</v>
      </c>
      <c r="H41" s="20" t="s">
        <v>439</v>
      </c>
      <c r="I41" s="20" t="s">
        <v>440</v>
      </c>
      <c r="J41" s="20" t="s">
        <v>163</v>
      </c>
      <c r="K41" s="20" t="s">
        <v>441</v>
      </c>
      <c r="L41" s="20" t="s">
        <v>442</v>
      </c>
      <c r="M41" s="20" t="s">
        <v>443</v>
      </c>
      <c r="N41" s="20" t="s">
        <v>444</v>
      </c>
      <c r="O41" s="20" t="s">
        <v>445</v>
      </c>
      <c r="P41" s="20" t="s">
        <v>199</v>
      </c>
      <c r="Q41" s="20" t="s">
        <v>146</v>
      </c>
    </row>
    <row r="42" customFormat="false" ht="22.35" hidden="false" customHeight="false" outlineLevel="0" collapsed="false">
      <c r="A42" s="20" t="s">
        <v>446</v>
      </c>
      <c r="B42" s="20" t="s">
        <v>447</v>
      </c>
      <c r="C42" s="20" t="s">
        <v>422</v>
      </c>
      <c r="D42" s="20" t="s">
        <v>43</v>
      </c>
      <c r="E42" s="20" t="s">
        <v>53</v>
      </c>
      <c r="F42" s="20" t="s">
        <v>116</v>
      </c>
      <c r="G42" s="20" t="s">
        <v>448</v>
      </c>
      <c r="H42" s="20" t="s">
        <v>449</v>
      </c>
      <c r="I42" s="20" t="s">
        <v>450</v>
      </c>
      <c r="J42" s="20" t="s">
        <v>139</v>
      </c>
      <c r="K42" s="20" t="s">
        <v>451</v>
      </c>
      <c r="L42" s="20" t="s">
        <v>452</v>
      </c>
      <c r="M42" s="20" t="s">
        <v>453</v>
      </c>
      <c r="N42" s="20" t="s">
        <v>454</v>
      </c>
      <c r="O42" s="20" t="s">
        <v>455</v>
      </c>
      <c r="P42" s="20" t="s">
        <v>199</v>
      </c>
      <c r="Q42" s="20" t="s">
        <v>146</v>
      </c>
    </row>
    <row r="43" customFormat="false" ht="22.35" hidden="false" customHeight="false" outlineLevel="0" collapsed="false">
      <c r="A43" s="20" t="s">
        <v>456</v>
      </c>
      <c r="B43" s="20" t="s">
        <v>457</v>
      </c>
      <c r="C43" s="20" t="s">
        <v>422</v>
      </c>
      <c r="D43" s="20" t="s">
        <v>43</v>
      </c>
      <c r="E43" s="20" t="s">
        <v>53</v>
      </c>
      <c r="F43" s="20" t="s">
        <v>116</v>
      </c>
      <c r="G43" s="20" t="s">
        <v>448</v>
      </c>
      <c r="H43" s="20" t="s">
        <v>458</v>
      </c>
      <c r="I43" s="20" t="s">
        <v>459</v>
      </c>
      <c r="J43" s="20" t="s">
        <v>139</v>
      </c>
      <c r="K43" s="20" t="s">
        <v>460</v>
      </c>
      <c r="L43" s="20" t="s">
        <v>461</v>
      </c>
      <c r="M43" s="20" t="s">
        <v>462</v>
      </c>
      <c r="N43" s="20" t="s">
        <v>463</v>
      </c>
      <c r="O43" s="20" t="s">
        <v>144</v>
      </c>
      <c r="P43" s="20" t="s">
        <v>199</v>
      </c>
      <c r="Q43" s="20" t="s">
        <v>146</v>
      </c>
    </row>
    <row r="44" customFormat="false" ht="22.35" hidden="false" customHeight="false" outlineLevel="0" collapsed="false">
      <c r="A44" s="20" t="s">
        <v>464</v>
      </c>
      <c r="B44" s="20" t="s">
        <v>465</v>
      </c>
      <c r="C44" s="20" t="s">
        <v>422</v>
      </c>
      <c r="D44" s="20" t="s">
        <v>45</v>
      </c>
      <c r="E44" s="20" t="s">
        <v>54</v>
      </c>
      <c r="F44" s="20" t="s">
        <v>261</v>
      </c>
      <c r="G44" s="20" t="s">
        <v>227</v>
      </c>
      <c r="H44" s="20" t="s">
        <v>466</v>
      </c>
      <c r="I44" s="20" t="s">
        <v>309</v>
      </c>
      <c r="J44" s="20" t="s">
        <v>467</v>
      </c>
      <c r="K44" s="20" t="s">
        <v>227</v>
      </c>
      <c r="L44" s="20" t="s">
        <v>468</v>
      </c>
      <c r="M44" s="20" t="s">
        <v>469</v>
      </c>
      <c r="N44" s="20" t="s">
        <v>470</v>
      </c>
      <c r="O44" s="20" t="s">
        <v>471</v>
      </c>
      <c r="P44" s="20" t="s">
        <v>101</v>
      </c>
      <c r="Q44" s="20" t="s">
        <v>102</v>
      </c>
    </row>
    <row r="45" customFormat="false" ht="43.25" hidden="false" customHeight="false" outlineLevel="0" collapsed="false">
      <c r="A45" s="20" t="s">
        <v>472</v>
      </c>
      <c r="B45" s="20" t="s">
        <v>473</v>
      </c>
      <c r="C45" s="20" t="s">
        <v>474</v>
      </c>
      <c r="D45" s="20" t="s">
        <v>41</v>
      </c>
      <c r="E45" s="20" t="s">
        <v>52</v>
      </c>
      <c r="F45" s="20" t="s">
        <v>116</v>
      </c>
      <c r="G45" s="20" t="s">
        <v>92</v>
      </c>
      <c r="H45" s="20" t="s">
        <v>475</v>
      </c>
      <c r="I45" s="20" t="s">
        <v>476</v>
      </c>
      <c r="J45" s="20" t="s">
        <v>477</v>
      </c>
      <c r="K45" s="20" t="s">
        <v>478</v>
      </c>
      <c r="L45" s="20" t="s">
        <v>479</v>
      </c>
      <c r="M45" s="20" t="s">
        <v>480</v>
      </c>
      <c r="N45" s="20" t="s">
        <v>481</v>
      </c>
      <c r="O45" s="20" t="s">
        <v>482</v>
      </c>
      <c r="P45" s="20" t="s">
        <v>199</v>
      </c>
      <c r="Q45" s="20" t="s">
        <v>102</v>
      </c>
    </row>
    <row r="46" customFormat="false" ht="22.35" hidden="false" customHeight="false" outlineLevel="0" collapsed="false">
      <c r="A46" s="20" t="s">
        <v>483</v>
      </c>
      <c r="B46" s="20" t="s">
        <v>484</v>
      </c>
      <c r="C46" s="20" t="s">
        <v>485</v>
      </c>
      <c r="D46" s="20" t="s">
        <v>41</v>
      </c>
      <c r="E46" s="20" t="s">
        <v>52</v>
      </c>
      <c r="F46" s="20" t="s">
        <v>91</v>
      </c>
      <c r="G46" s="20" t="s">
        <v>486</v>
      </c>
      <c r="H46" s="20" t="s">
        <v>487</v>
      </c>
      <c r="I46" s="20" t="s">
        <v>488</v>
      </c>
      <c r="J46" s="20" t="s">
        <v>489</v>
      </c>
      <c r="K46" s="20" t="s">
        <v>490</v>
      </c>
      <c r="L46" s="20" t="s">
        <v>491</v>
      </c>
      <c r="M46" s="20" t="s">
        <v>492</v>
      </c>
      <c r="N46" s="20" t="s">
        <v>493</v>
      </c>
      <c r="O46" s="20" t="s">
        <v>494</v>
      </c>
      <c r="P46" s="20" t="s">
        <v>199</v>
      </c>
      <c r="Q46" s="20" t="s">
        <v>102</v>
      </c>
    </row>
    <row r="47" customFormat="false" ht="22.35" hidden="false" customHeight="false" outlineLevel="0" collapsed="false">
      <c r="A47" s="20" t="s">
        <v>495</v>
      </c>
      <c r="B47" s="20" t="s">
        <v>496</v>
      </c>
      <c r="C47" s="20" t="s">
        <v>485</v>
      </c>
      <c r="D47" s="20" t="s">
        <v>41</v>
      </c>
      <c r="E47" s="20" t="s">
        <v>52</v>
      </c>
      <c r="F47" s="20" t="s">
        <v>116</v>
      </c>
      <c r="G47" s="20" t="s">
        <v>486</v>
      </c>
      <c r="H47" s="20" t="s">
        <v>497</v>
      </c>
      <c r="I47" s="20" t="s">
        <v>498</v>
      </c>
      <c r="J47" s="20" t="s">
        <v>499</v>
      </c>
      <c r="K47" s="20" t="s">
        <v>500</v>
      </c>
      <c r="L47" s="20" t="s">
        <v>501</v>
      </c>
      <c r="M47" s="20" t="s">
        <v>502</v>
      </c>
      <c r="N47" s="20" t="s">
        <v>503</v>
      </c>
      <c r="O47" s="20" t="s">
        <v>504</v>
      </c>
      <c r="P47" s="20" t="s">
        <v>101</v>
      </c>
      <c r="Q47" s="20" t="s">
        <v>102</v>
      </c>
    </row>
    <row r="48" customFormat="false" ht="22.35" hidden="false" customHeight="false" outlineLevel="0" collapsed="false">
      <c r="A48" s="20" t="s">
        <v>505</v>
      </c>
      <c r="B48" s="20" t="s">
        <v>506</v>
      </c>
      <c r="C48" s="20" t="s">
        <v>485</v>
      </c>
      <c r="D48" s="20" t="s">
        <v>43</v>
      </c>
      <c r="E48" s="20" t="s">
        <v>53</v>
      </c>
      <c r="F48" s="20" t="s">
        <v>116</v>
      </c>
      <c r="G48" s="20" t="s">
        <v>507</v>
      </c>
      <c r="H48" s="20" t="s">
        <v>508</v>
      </c>
      <c r="I48" s="20" t="s">
        <v>509</v>
      </c>
      <c r="J48" s="20" t="s">
        <v>510</v>
      </c>
      <c r="K48" s="20" t="s">
        <v>511</v>
      </c>
      <c r="L48" s="20" t="s">
        <v>512</v>
      </c>
      <c r="M48" s="20" t="s">
        <v>513</v>
      </c>
      <c r="N48" s="20" t="s">
        <v>514</v>
      </c>
      <c r="O48" s="20" t="s">
        <v>515</v>
      </c>
      <c r="P48" s="20" t="s">
        <v>199</v>
      </c>
      <c r="Q48" s="20" t="s">
        <v>146</v>
      </c>
    </row>
    <row r="49" customFormat="false" ht="22.35" hidden="false" customHeight="false" outlineLevel="0" collapsed="false">
      <c r="A49" s="20" t="s">
        <v>516</v>
      </c>
      <c r="B49" s="20" t="s">
        <v>517</v>
      </c>
      <c r="C49" s="20" t="s">
        <v>149</v>
      </c>
      <c r="D49" s="20" t="s">
        <v>45</v>
      </c>
      <c r="E49" s="20" t="s">
        <v>51</v>
      </c>
      <c r="F49" s="20" t="s">
        <v>127</v>
      </c>
      <c r="G49" s="20" t="s">
        <v>507</v>
      </c>
      <c r="H49" s="20" t="s">
        <v>518</v>
      </c>
      <c r="I49" s="20" t="s">
        <v>519</v>
      </c>
      <c r="J49" s="20" t="s">
        <v>520</v>
      </c>
      <c r="K49" s="20" t="s">
        <v>227</v>
      </c>
      <c r="L49" s="20" t="s">
        <v>521</v>
      </c>
      <c r="M49" s="20" t="s">
        <v>522</v>
      </c>
      <c r="N49" s="20" t="s">
        <v>523</v>
      </c>
      <c r="O49" s="20" t="s">
        <v>209</v>
      </c>
      <c r="P49" s="20" t="s">
        <v>101</v>
      </c>
      <c r="Q49" s="20" t="s">
        <v>102</v>
      </c>
    </row>
    <row r="50" customFormat="false" ht="22.35" hidden="false" customHeight="false" outlineLevel="0" collapsed="false">
      <c r="A50" s="20" t="s">
        <v>524</v>
      </c>
      <c r="B50" s="20" t="s">
        <v>525</v>
      </c>
      <c r="C50" s="20" t="s">
        <v>485</v>
      </c>
      <c r="D50" s="20" t="s">
        <v>43</v>
      </c>
      <c r="E50" s="20" t="s">
        <v>53</v>
      </c>
      <c r="F50" s="20" t="s">
        <v>116</v>
      </c>
      <c r="G50" s="20" t="s">
        <v>108</v>
      </c>
      <c r="H50" s="20" t="s">
        <v>526</v>
      </c>
      <c r="I50" s="20" t="s">
        <v>527</v>
      </c>
      <c r="J50" s="20" t="s">
        <v>363</v>
      </c>
      <c r="K50" s="20" t="s">
        <v>528</v>
      </c>
      <c r="L50" s="20" t="s">
        <v>529</v>
      </c>
      <c r="M50" s="20" t="s">
        <v>530</v>
      </c>
      <c r="N50" s="20" t="s">
        <v>531</v>
      </c>
      <c r="O50" s="20" t="s">
        <v>358</v>
      </c>
      <c r="P50" s="20" t="s">
        <v>199</v>
      </c>
      <c r="Q50" s="20" t="s">
        <v>102</v>
      </c>
    </row>
    <row r="51" customFormat="false" ht="22.35" hidden="false" customHeight="false" outlineLevel="0" collapsed="false">
      <c r="A51" s="20" t="s">
        <v>532</v>
      </c>
      <c r="B51" s="20" t="s">
        <v>533</v>
      </c>
      <c r="C51" s="20" t="s">
        <v>485</v>
      </c>
      <c r="D51" s="20" t="s">
        <v>43</v>
      </c>
      <c r="E51" s="20" t="s">
        <v>52</v>
      </c>
      <c r="F51" s="20" t="s">
        <v>116</v>
      </c>
      <c r="G51" s="20" t="s">
        <v>92</v>
      </c>
      <c r="H51" s="20" t="s">
        <v>534</v>
      </c>
      <c r="I51" s="20" t="s">
        <v>535</v>
      </c>
      <c r="J51" s="20" t="s">
        <v>536</v>
      </c>
      <c r="K51" s="20" t="s">
        <v>537</v>
      </c>
      <c r="L51" s="20" t="s">
        <v>538</v>
      </c>
      <c r="M51" s="20" t="s">
        <v>539</v>
      </c>
      <c r="N51" s="20" t="s">
        <v>540</v>
      </c>
      <c r="O51" s="20" t="s">
        <v>541</v>
      </c>
      <c r="P51" s="20" t="s">
        <v>199</v>
      </c>
      <c r="Q51" s="20" t="s">
        <v>146</v>
      </c>
    </row>
    <row r="52" customFormat="false" ht="22.35" hidden="false" customHeight="false" outlineLevel="0" collapsed="false">
      <c r="A52" s="20" t="s">
        <v>542</v>
      </c>
      <c r="B52" s="20" t="s">
        <v>543</v>
      </c>
      <c r="C52" s="20" t="s">
        <v>222</v>
      </c>
      <c r="D52" s="20" t="s">
        <v>45</v>
      </c>
      <c r="E52" s="20" t="s">
        <v>54</v>
      </c>
      <c r="F52" s="20" t="s">
        <v>261</v>
      </c>
      <c r="G52" s="20" t="s">
        <v>227</v>
      </c>
      <c r="H52" s="20" t="s">
        <v>544</v>
      </c>
      <c r="I52" s="20" t="s">
        <v>309</v>
      </c>
      <c r="J52" s="20" t="s">
        <v>226</v>
      </c>
      <c r="K52" s="20" t="s">
        <v>227</v>
      </c>
      <c r="L52" s="20" t="s">
        <v>545</v>
      </c>
      <c r="M52" s="20" t="s">
        <v>312</v>
      </c>
      <c r="N52" s="20" t="s">
        <v>546</v>
      </c>
      <c r="O52" s="20" t="s">
        <v>323</v>
      </c>
      <c r="P52" s="20" t="s">
        <v>101</v>
      </c>
      <c r="Q52" s="20" t="s">
        <v>102</v>
      </c>
    </row>
    <row r="53" customFormat="false" ht="22.35" hidden="false" customHeight="false" outlineLevel="0" collapsed="false">
      <c r="A53" s="20" t="s">
        <v>547</v>
      </c>
      <c r="B53" s="20" t="s">
        <v>548</v>
      </c>
      <c r="C53" s="20" t="s">
        <v>222</v>
      </c>
      <c r="D53" s="20" t="s">
        <v>47</v>
      </c>
      <c r="E53" s="20" t="s">
        <v>54</v>
      </c>
      <c r="F53" s="20" t="s">
        <v>261</v>
      </c>
      <c r="G53" s="20" t="s">
        <v>227</v>
      </c>
      <c r="H53" s="20" t="s">
        <v>549</v>
      </c>
      <c r="I53" s="20" t="s">
        <v>309</v>
      </c>
      <c r="J53" s="20" t="s">
        <v>550</v>
      </c>
      <c r="K53" s="20" t="s">
        <v>227</v>
      </c>
      <c r="L53" s="20" t="s">
        <v>551</v>
      </c>
      <c r="M53" s="20" t="s">
        <v>552</v>
      </c>
      <c r="N53" s="20" t="s">
        <v>553</v>
      </c>
      <c r="O53" s="20" t="s">
        <v>186</v>
      </c>
      <c r="P53" s="20" t="s">
        <v>101</v>
      </c>
      <c r="Q53" s="20" t="s">
        <v>102</v>
      </c>
    </row>
    <row r="54" customFormat="false" ht="15" hidden="false" customHeight="false" outlineLevel="0" collapsed="false">
      <c r="A54" s="21"/>
      <c r="B54" s="21"/>
      <c r="C54" s="21"/>
      <c r="D54" s="21"/>
      <c r="E54" s="21"/>
      <c r="F54" s="21"/>
      <c r="G54" s="21"/>
      <c r="H54" s="21"/>
      <c r="I54" s="21"/>
      <c r="J54" s="21"/>
      <c r="K54" s="21"/>
      <c r="L54" s="21"/>
      <c r="M54" s="21"/>
      <c r="N54" s="21"/>
      <c r="O54" s="21"/>
      <c r="P54" s="21"/>
      <c r="Q54" s="21"/>
    </row>
    <row r="55" customFormat="false" ht="15" hidden="false" customHeight="false" outlineLevel="0" collapsed="false">
      <c r="A55" s="21"/>
      <c r="B55" s="21"/>
      <c r="C55" s="21"/>
      <c r="D55" s="21"/>
      <c r="E55" s="21"/>
      <c r="F55" s="21"/>
      <c r="G55" s="21"/>
      <c r="H55" s="21"/>
      <c r="I55" s="21"/>
      <c r="J55" s="21"/>
      <c r="K55" s="21"/>
      <c r="L55" s="21"/>
      <c r="M55" s="21"/>
      <c r="N55" s="21"/>
      <c r="O55" s="21"/>
      <c r="P55" s="21"/>
      <c r="Q55" s="21"/>
    </row>
    <row r="56" customFormat="false" ht="15" hidden="false" customHeight="false" outlineLevel="0" collapsed="false">
      <c r="A56" s="21"/>
      <c r="B56" s="21"/>
      <c r="C56" s="21"/>
      <c r="D56" s="21"/>
      <c r="E56" s="21"/>
      <c r="F56" s="21"/>
      <c r="G56" s="21"/>
      <c r="H56" s="21"/>
      <c r="I56" s="21"/>
      <c r="J56" s="21"/>
      <c r="K56" s="21"/>
      <c r="L56" s="21"/>
      <c r="M56" s="21"/>
      <c r="N56" s="21"/>
      <c r="O56" s="21"/>
      <c r="P56" s="21"/>
      <c r="Q56" s="21"/>
    </row>
    <row r="57" customFormat="false" ht="15" hidden="false" customHeight="false" outlineLevel="0" collapsed="false">
      <c r="A57" s="21"/>
      <c r="B57" s="21"/>
      <c r="C57" s="21"/>
      <c r="D57" s="21"/>
      <c r="E57" s="21"/>
      <c r="F57" s="21"/>
      <c r="G57" s="21"/>
      <c r="H57" s="21"/>
      <c r="I57" s="21"/>
      <c r="J57" s="21"/>
      <c r="K57" s="21"/>
      <c r="L57" s="21"/>
      <c r="M57" s="21"/>
      <c r="N57" s="21"/>
      <c r="O57" s="21"/>
      <c r="P57" s="21"/>
      <c r="Q57" s="21"/>
    </row>
    <row r="58" customFormat="false" ht="15" hidden="false" customHeight="false" outlineLevel="0" collapsed="false">
      <c r="A58" s="21"/>
      <c r="B58" s="21"/>
      <c r="C58" s="21"/>
      <c r="D58" s="21"/>
      <c r="E58" s="21"/>
      <c r="F58" s="21"/>
      <c r="G58" s="21"/>
      <c r="H58" s="21"/>
      <c r="I58" s="21"/>
      <c r="J58" s="21"/>
      <c r="K58" s="21"/>
      <c r="L58" s="21"/>
      <c r="M58" s="21"/>
      <c r="N58" s="21"/>
      <c r="O58" s="21"/>
      <c r="P58" s="21"/>
      <c r="Q58" s="21"/>
    </row>
    <row r="59" customFormat="false" ht="15" hidden="false" customHeight="false" outlineLevel="0" collapsed="false">
      <c r="A59" s="21"/>
      <c r="B59" s="21"/>
      <c r="C59" s="21"/>
      <c r="D59" s="21"/>
      <c r="E59" s="21"/>
      <c r="F59" s="21"/>
      <c r="G59" s="21"/>
      <c r="H59" s="21"/>
      <c r="I59" s="21"/>
      <c r="J59" s="21"/>
      <c r="K59" s="21"/>
      <c r="L59" s="21"/>
      <c r="M59" s="21"/>
      <c r="N59" s="21"/>
      <c r="O59" s="21"/>
      <c r="P59" s="21"/>
      <c r="Q59" s="21"/>
    </row>
    <row r="60" customFormat="false" ht="15" hidden="false" customHeight="false" outlineLevel="0" collapsed="false">
      <c r="A60" s="21"/>
      <c r="B60" s="21"/>
      <c r="C60" s="21"/>
      <c r="D60" s="21"/>
      <c r="E60" s="21"/>
      <c r="F60" s="21"/>
      <c r="G60" s="21"/>
      <c r="H60" s="21"/>
      <c r="I60" s="21"/>
      <c r="J60" s="21"/>
      <c r="K60" s="21"/>
      <c r="L60" s="21"/>
      <c r="M60" s="21"/>
      <c r="N60" s="21"/>
      <c r="O60" s="21"/>
      <c r="P60" s="21"/>
      <c r="Q60" s="21"/>
    </row>
    <row r="61" customFormat="false" ht="15" hidden="false" customHeight="false" outlineLevel="0" collapsed="false">
      <c r="A61" s="21"/>
      <c r="B61" s="21"/>
      <c r="C61" s="21"/>
      <c r="D61" s="21"/>
      <c r="E61" s="21"/>
      <c r="F61" s="21"/>
      <c r="G61" s="21"/>
      <c r="H61" s="21"/>
      <c r="I61" s="21"/>
      <c r="J61" s="21"/>
      <c r="K61" s="21"/>
      <c r="L61" s="21"/>
      <c r="M61" s="21"/>
      <c r="N61" s="21"/>
      <c r="O61" s="21"/>
      <c r="P61" s="21"/>
      <c r="Q61" s="21"/>
    </row>
    <row r="62" customFormat="false" ht="15" hidden="false" customHeight="false" outlineLevel="0" collapsed="false">
      <c r="A62" s="21"/>
      <c r="B62" s="21"/>
      <c r="C62" s="21"/>
      <c r="D62" s="21"/>
      <c r="E62" s="21"/>
      <c r="F62" s="21"/>
      <c r="G62" s="21"/>
      <c r="H62" s="21"/>
      <c r="I62" s="21"/>
      <c r="J62" s="21"/>
      <c r="K62" s="21"/>
      <c r="L62" s="21"/>
      <c r="M62" s="21"/>
      <c r="N62" s="21"/>
      <c r="O62" s="21"/>
      <c r="P62" s="21"/>
      <c r="Q62" s="21"/>
    </row>
    <row r="63" customFormat="false" ht="15" hidden="false" customHeight="false" outlineLevel="0" collapsed="false">
      <c r="A63" s="21"/>
      <c r="B63" s="21"/>
      <c r="C63" s="21"/>
      <c r="D63" s="21"/>
      <c r="E63" s="21"/>
      <c r="F63" s="21"/>
      <c r="G63" s="21"/>
      <c r="H63" s="21"/>
      <c r="I63" s="21"/>
      <c r="J63" s="21"/>
      <c r="K63" s="21"/>
      <c r="L63" s="21"/>
      <c r="M63" s="21"/>
      <c r="N63" s="21"/>
      <c r="O63" s="21"/>
      <c r="P63" s="21"/>
      <c r="Q63" s="21"/>
    </row>
  </sheetData>
  <sheetProtection sheet="true" formatColumns="false" formatRows="false" sort="false" autoFilter="false"/>
  <autoFilter ref="A4:Q63"/>
  <conditionalFormatting sqref="D5:D63">
    <cfRule type="cellIs" priority="2" operator="equal" aboveAverage="0" equalAverage="0" bottom="0" percent="0" rank="0" text="" dxfId="0">
      <formula>"Decision"</formula>
    </cfRule>
    <cfRule type="cellIs" priority="3" operator="equal" aboveAverage="0" equalAverage="0" bottom="0" percent="0" rank="0" text="" dxfId="13">
      <formula>"Investigation trigger"</formula>
    </cfRule>
    <cfRule type="cellIs" priority="4" operator="equal" aboveAverage="0" equalAverage="0" bottom="0" percent="0" rank="0" text="" dxfId="14">
      <formula>"Context"</formula>
    </cfRule>
    <cfRule type="cellIs" priority="5" operator="equal" aboveAverage="0" equalAverage="0" bottom="0" percent="0" rank="0" text="" dxfId="1">
      <formula>"Misleading"</formula>
    </cfRule>
  </conditionalFormatting>
  <dataValidations count="3">
    <dataValidation allowBlank="true" errorStyle="stop" operator="between" showDropDown="false" showErrorMessage="false" showInputMessage="false" sqref="D5:D63" type="list">
      <formula1>"Decision,Investigation trigger,Context,Misleading"</formula1>
      <formula2>0</formula2>
    </dataValidation>
    <dataValidation allowBlank="true" errorStyle="stop" operator="between" showDropDown="false" showErrorMessage="false" showInputMessage="false" sqref="E5:E63" type="list">
      <formula1>"Board,SLT,Department,None"</formula1>
      <formula2>0</formula2>
    </dataValidation>
    <dataValidation allowBlank="true" errorStyle="stop" operator="between" showDropDown="false" showErrorMessage="false" showInputMessage="false" sqref="P5:P63" type="list">
      <formula1>"Higher,Lower,Band"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40"/>
    <col collapsed="false" customWidth="true" hidden="false" outlineLevel="0" max="3" min="3" style="0" width="20"/>
    <col collapsed="false" customWidth="true" hidden="false" outlineLevel="0" max="6" min="4" style="0" width="12"/>
    <col collapsed="false" customWidth="true" hidden="false" outlineLevel="0" max="7" min="7" style="0" width="13"/>
    <col collapsed="false" customWidth="true" hidden="false" outlineLevel="0" max="8" min="8" style="0" width="15"/>
    <col collapsed="false" customWidth="true" hidden="false" outlineLevel="0" max="9" min="9" style="0" width="12"/>
    <col collapsed="false" customWidth="true" hidden="false" outlineLevel="0" max="10" min="10" style="0" width="8"/>
    <col collapsed="false" customWidth="true" hidden="false" outlineLevel="0" max="12" min="11" style="0" width="30"/>
  </cols>
  <sheetData>
    <row r="1" customFormat="false" ht="17.35" hidden="false" customHeight="false" outlineLevel="0" collapsed="false">
      <c r="A1" s="1" t="s">
        <v>554</v>
      </c>
    </row>
    <row r="2" customFormat="false" ht="15" hidden="false" customHeight="false" outlineLevel="0" collapsed="false">
      <c r="A2" s="2" t="s">
        <v>555</v>
      </c>
    </row>
    <row r="4" customFormat="false" ht="60" hidden="false" customHeight="true" outlineLevel="0" collapsed="false">
      <c r="A4" s="15" t="s">
        <v>556</v>
      </c>
      <c r="B4" s="15" t="s">
        <v>557</v>
      </c>
      <c r="C4" s="15" t="s">
        <v>558</v>
      </c>
      <c r="D4" s="15" t="s">
        <v>559</v>
      </c>
      <c r="E4" s="15" t="s">
        <v>560</v>
      </c>
      <c r="F4" s="15" t="s">
        <v>561</v>
      </c>
      <c r="G4" s="15" t="s">
        <v>562</v>
      </c>
      <c r="H4" s="15" t="s">
        <v>563</v>
      </c>
      <c r="I4" s="15" t="s">
        <v>564</v>
      </c>
      <c r="J4" s="15" t="s">
        <v>565</v>
      </c>
      <c r="K4" s="15" t="s">
        <v>566</v>
      </c>
      <c r="L4" s="15" t="s">
        <v>85</v>
      </c>
    </row>
    <row r="5" customFormat="false" ht="15" hidden="false" customHeight="false" outlineLevel="0" collapsed="false">
      <c r="A5" s="9" t="n">
        <v>1</v>
      </c>
      <c r="B5" s="22" t="s">
        <v>221</v>
      </c>
      <c r="C5" s="10" t="str">
        <f aca="false">IF(B5="","",IFERROR(INDEX('KPI Library'!$D$5:$D$63,MATCH(B5,'KPI Library'!$B$5:$B$63,0)),"Not in library"))</f>
        <v>Context</v>
      </c>
      <c r="D5" s="22" t="s">
        <v>567</v>
      </c>
      <c r="E5" s="22" t="s">
        <v>568</v>
      </c>
      <c r="F5" s="22" t="s">
        <v>568</v>
      </c>
      <c r="G5" s="22" t="s">
        <v>567</v>
      </c>
      <c r="H5" s="22" t="s">
        <v>568</v>
      </c>
      <c r="I5" s="22" t="s">
        <v>568</v>
      </c>
      <c r="J5" s="16" t="n">
        <f aca="false">IF(B5="","",COUNTIF(D5:I5,"Y"))</f>
        <v>2</v>
      </c>
      <c r="K5" s="23" t="str">
        <f aca="false">IF(B5="","",IF(COUNTA(D5:I5)&lt;6,"Answer all six",IF(C5="Misleading","Replace with its pair",IF(AND(D5="Y",E5="Y",F5="Y"),IF(I5="Y","Keep: decision KPI","Keep: decision KPI, add its pair"),IF(AND(G5="Y",OR(E5="Y",F5="Y",H5="Y")),"Keep below the line: trigger",IF(AND(D5="N",E5="N",H5="N"),"Delete","Demote to context"))))))</f>
        <v>Demote to context</v>
      </c>
      <c r="L5" s="10" t="str">
        <f aca="false">IF(B5="","",IFERROR(INDEX('KPI Library'!$O$5:$O$63,MATCH(B5,'KPI Library'!$B$5:$B$63,0)),""))</f>
        <v>K15 Engaged sessions</v>
      </c>
    </row>
    <row r="6" customFormat="false" ht="15" hidden="false" customHeight="false" outlineLevel="0" collapsed="false">
      <c r="A6" s="9" t="n">
        <v>2</v>
      </c>
      <c r="B6" s="22" t="s">
        <v>543</v>
      </c>
      <c r="C6" s="10" t="str">
        <f aca="false">IF(B6="","",IFERROR(INDEX('KPI Library'!$D$5:$D$63,MATCH(B6,'KPI Library'!$B$5:$B$63,0)),"Not in library"))</f>
        <v>Context</v>
      </c>
      <c r="D6" s="22" t="s">
        <v>568</v>
      </c>
      <c r="E6" s="22" t="s">
        <v>568</v>
      </c>
      <c r="F6" s="22" t="s">
        <v>568</v>
      </c>
      <c r="G6" s="22" t="s">
        <v>567</v>
      </c>
      <c r="H6" s="22" t="s">
        <v>568</v>
      </c>
      <c r="I6" s="22" t="s">
        <v>568</v>
      </c>
      <c r="J6" s="16" t="n">
        <f aca="false">IF(B6="","",COUNTIF(D6:I6,"Y"))</f>
        <v>1</v>
      </c>
      <c r="K6" s="23" t="str">
        <f aca="false">IF(B6="","",IF(COUNTA(D6:I6)&lt;6,"Answer all six",IF(C6="Misleading","Replace with its pair",IF(AND(D6="Y",E6="Y",F6="Y"),IF(I6="Y","Keep: decision KPI","Keep: decision KPI, add its pair"),IF(AND(G6="Y",OR(E6="Y",F6="Y",H6="Y")),"Keep below the line: trigger",IF(AND(D6="N",E6="N",H6="N"),"Delete","Demote to context"))))))</f>
        <v>Delete</v>
      </c>
      <c r="L6" s="10" t="str">
        <f aca="false">IF(B6="","",IFERROR(INDEX('KPI Library'!$O$5:$O$63,MATCH(B6,'KPI Library'!$B$5:$B$63,0)),""))</f>
        <v>K24 Committed-journey conversion</v>
      </c>
    </row>
    <row r="7" customFormat="false" ht="15" hidden="false" customHeight="false" outlineLevel="0" collapsed="false">
      <c r="A7" s="9" t="n">
        <v>3</v>
      </c>
      <c r="B7" s="22" t="s">
        <v>569</v>
      </c>
      <c r="C7" s="10" t="str">
        <f aca="false">IF(B7="","",IFERROR(INDEX('KPI Library'!$D$5:$D$63,MATCH(B7,'KPI Library'!$B$5:$B$63,0)),"Not in library"))</f>
        <v>Not in library</v>
      </c>
      <c r="D7" s="22" t="s">
        <v>568</v>
      </c>
      <c r="E7" s="22" t="s">
        <v>568</v>
      </c>
      <c r="F7" s="22" t="s">
        <v>568</v>
      </c>
      <c r="G7" s="22" t="s">
        <v>567</v>
      </c>
      <c r="H7" s="22" t="s">
        <v>568</v>
      </c>
      <c r="I7" s="22" t="s">
        <v>568</v>
      </c>
      <c r="J7" s="16" t="n">
        <f aca="false">IF(B7="","",COUNTIF(D7:I7,"Y"))</f>
        <v>1</v>
      </c>
      <c r="K7" s="23" t="str">
        <f aca="false">IF(B7="","",IF(COUNTA(D7:I7)&lt;6,"Answer all six",IF(C7="Misleading","Replace with its pair",IF(AND(D7="Y",E7="Y",F7="Y"),IF(I7="Y","Keep: decision KPI","Keep: decision KPI, add its pair"),IF(AND(G7="Y",OR(E7="Y",F7="Y",H7="Y")),"Keep below the line: trigger",IF(AND(D7="N",E7="N",H7="N"),"Delete","Demote to context"))))))</f>
        <v>Delete</v>
      </c>
      <c r="L7" s="10" t="str">
        <f aca="false">IF(B7="","",IFERROR(INDEX('KPI Library'!$O$5:$O$63,MATCH(B7,'KPI Library'!$B$5:$B$63,0)),""))</f>
        <v/>
      </c>
    </row>
    <row r="8" customFormat="false" ht="15" hidden="false" customHeight="false" outlineLevel="0" collapsed="false">
      <c r="A8" s="9" t="n">
        <v>4</v>
      </c>
      <c r="B8" s="22" t="s">
        <v>315</v>
      </c>
      <c r="C8" s="10" t="str">
        <f aca="false">IF(B8="","",IFERROR(INDEX('KPI Library'!$D$5:$D$63,MATCH(B8,'KPI Library'!$B$5:$B$63,0)),"Not in library"))</f>
        <v>Misleading</v>
      </c>
      <c r="D8" s="22" t="s">
        <v>567</v>
      </c>
      <c r="E8" s="22" t="s">
        <v>567</v>
      </c>
      <c r="F8" s="22" t="s">
        <v>568</v>
      </c>
      <c r="G8" s="22" t="s">
        <v>567</v>
      </c>
      <c r="H8" s="22" t="s">
        <v>568</v>
      </c>
      <c r="I8" s="22" t="s">
        <v>568</v>
      </c>
      <c r="J8" s="16" t="n">
        <f aca="false">IF(B8="","",COUNTIF(D8:I8,"Y"))</f>
        <v>3</v>
      </c>
      <c r="K8" s="23" t="str">
        <f aca="false">IF(B8="","",IF(COUNTA(D8:I8)&lt;6,"Answer all six",IF(C8="Misleading","Replace with its pair",IF(AND(D8="Y",E8="Y",F8="Y"),IF(I8="Y","Keep: decision KPI","Keep: decision KPI, add its pair"),IF(AND(G8="Y",OR(E8="Y",F8="Y",H8="Y")),"Keep below the line: trigger",IF(AND(D8="N",E8="N",H8="N"),"Delete","Demote to context"))))))</f>
        <v>Replace with its pair</v>
      </c>
      <c r="L8" s="10" t="str">
        <f aca="false">IF(B8="","",IFERROR(INDEX('KPI Library'!$O$5:$O$63,MATCH(B8,'KPI Library'!$B$5:$B$63,0)),""))</f>
        <v>K24 Committed-journey conversion</v>
      </c>
    </row>
    <row r="9" customFormat="false" ht="15" hidden="false" customHeight="false" outlineLevel="0" collapsed="false">
      <c r="A9" s="9" t="n">
        <v>5</v>
      </c>
      <c r="B9" s="22" t="s">
        <v>260</v>
      </c>
      <c r="C9" s="10" t="str">
        <f aca="false">IF(B9="","",IFERROR(INDEX('KPI Library'!$D$5:$D$63,MATCH(B9,'KPI Library'!$B$5:$B$63,0)),"Not in library"))</f>
        <v>Misleading</v>
      </c>
      <c r="D9" s="22" t="s">
        <v>567</v>
      </c>
      <c r="E9" s="22" t="s">
        <v>567</v>
      </c>
      <c r="F9" s="22" t="s">
        <v>567</v>
      </c>
      <c r="G9" s="22" t="s">
        <v>567</v>
      </c>
      <c r="H9" s="22" t="s">
        <v>568</v>
      </c>
      <c r="I9" s="22" t="s">
        <v>568</v>
      </c>
      <c r="J9" s="16" t="n">
        <f aca="false">IF(B9="","",COUNTIF(D9:I9,"Y"))</f>
        <v>4</v>
      </c>
      <c r="K9" s="23" t="str">
        <f aca="false">IF(B9="","",IF(COUNTA(D9:I9)&lt;6,"Answer all six",IF(C9="Misleading","Replace with its pair",IF(AND(D9="Y",E9="Y",F9="Y"),IF(I9="Y","Keep: decision KPI","Keep: decision KPI, add its pair"),IF(AND(G9="Y",OR(E9="Y",F9="Y",H9="Y")),"Keep below the line: trigger",IF(AND(D9="N",E9="N",H9="N"),"Delete","Demote to context"))))))</f>
        <v>Replace with its pair</v>
      </c>
      <c r="L9" s="10" t="str">
        <f aca="false">IF(B9="","",IFERROR(INDEX('KPI Library'!$O$5:$O$63,MATCH(B9,'KPI Library'!$B$5:$B$63,0)),""))</f>
        <v>K02 Contribution after marketing</v>
      </c>
    </row>
    <row r="10" customFormat="false" ht="15" hidden="false" customHeight="false" outlineLevel="0" collapsed="false">
      <c r="A10" s="9" t="n">
        <v>6</v>
      </c>
      <c r="B10" s="22" t="s">
        <v>289</v>
      </c>
      <c r="C10" s="10" t="str">
        <f aca="false">IF(B10="","",IFERROR(INDEX('KPI Library'!$D$5:$D$63,MATCH(B10,'KPI Library'!$B$5:$B$63,0)),"Not in library"))</f>
        <v>Misleading</v>
      </c>
      <c r="D10" s="22" t="s">
        <v>567</v>
      </c>
      <c r="E10" s="22" t="s">
        <v>568</v>
      </c>
      <c r="F10" s="22" t="s">
        <v>568</v>
      </c>
      <c r="G10" s="22" t="s">
        <v>568</v>
      </c>
      <c r="H10" s="22" t="s">
        <v>568</v>
      </c>
      <c r="I10" s="22" t="s">
        <v>568</v>
      </c>
      <c r="J10" s="16" t="n">
        <f aca="false">IF(B10="","",COUNTIF(D10:I10,"Y"))</f>
        <v>1</v>
      </c>
      <c r="K10" s="23" t="str">
        <f aca="false">IF(B10="","",IF(COUNTA(D10:I10)&lt;6,"Answer all six",IF(C10="Misleading","Replace with its pair",IF(AND(D10="Y",E10="Y",F10="Y"),IF(I10="Y","Keep: decision KPI","Keep: decision KPI, add its pair"),IF(AND(G10="Y",OR(E10="Y",F10="Y",H10="Y")),"Keep below the line: trigger",IF(AND(D10="N",E10="N",H10="N"),"Delete","Demote to context"))))))</f>
        <v>Replace with its pair</v>
      </c>
      <c r="L10" s="10" t="str">
        <f aca="false">IF(B10="","",IFERROR(INDEX('KPI Library'!$O$5:$O$63,MATCH(B10,'KPI Library'!$B$5:$B$63,0)),""))</f>
        <v>K21 Revenue per email sent</v>
      </c>
    </row>
    <row r="11" customFormat="false" ht="15" hidden="false" customHeight="false" outlineLevel="0" collapsed="false">
      <c r="A11" s="9" t="n">
        <v>7</v>
      </c>
      <c r="B11" s="22" t="s">
        <v>307</v>
      </c>
      <c r="C11" s="10" t="str">
        <f aca="false">IF(B11="","",IFERROR(INDEX('KPI Library'!$D$5:$D$63,MATCH(B11,'KPI Library'!$B$5:$B$63,0)),"Not in library"))</f>
        <v>Context</v>
      </c>
      <c r="D11" s="22" t="s">
        <v>568</v>
      </c>
      <c r="E11" s="22" t="s">
        <v>568</v>
      </c>
      <c r="F11" s="22" t="s">
        <v>568</v>
      </c>
      <c r="G11" s="22" t="s">
        <v>568</v>
      </c>
      <c r="H11" s="22" t="s">
        <v>568</v>
      </c>
      <c r="I11" s="22" t="s">
        <v>568</v>
      </c>
      <c r="J11" s="16" t="n">
        <f aca="false">IF(B11="","",COUNTIF(D11:I11,"Y"))</f>
        <v>0</v>
      </c>
      <c r="K11" s="23" t="str">
        <f aca="false">IF(B11="","",IF(COUNTA(D11:I11)&lt;6,"Answer all six",IF(C11="Misleading","Replace with its pair",IF(AND(D11="Y",E11="Y",F11="Y"),IF(I11="Y","Keep: decision KPI","Keep: decision KPI, add its pair"),IF(AND(G11="Y",OR(E11="Y",F11="Y",H11="Y")),"Keep below the line: trigger",IF(AND(D11="N",E11="N",H11="N"),"Delete","Demote to context"))))))</f>
        <v>Delete</v>
      </c>
      <c r="L11" s="10" t="str">
        <f aca="false">IF(B11="","",IFERROR(INDEX('KPI Library'!$O$5:$O$63,MATCH(B11,'KPI Library'!$B$5:$B$63,0)),""))</f>
        <v>K14 Sessions by channel mix</v>
      </c>
    </row>
    <row r="12" customFormat="false" ht="15" hidden="false" customHeight="false" outlineLevel="0" collapsed="false">
      <c r="A12" s="9" t="n">
        <v>8</v>
      </c>
      <c r="B12" s="22" t="s">
        <v>414</v>
      </c>
      <c r="C12" s="10" t="str">
        <f aca="false">IF(B12="","",IFERROR(INDEX('KPI Library'!$D$5:$D$63,MATCH(B12,'KPI Library'!$B$5:$B$63,0)),"Not in library"))</f>
        <v>Misleading</v>
      </c>
      <c r="D12" s="22" t="s">
        <v>568</v>
      </c>
      <c r="E12" s="22" t="s">
        <v>568</v>
      </c>
      <c r="F12" s="22" t="s">
        <v>568</v>
      </c>
      <c r="G12" s="22" t="s">
        <v>567</v>
      </c>
      <c r="H12" s="22" t="s">
        <v>568</v>
      </c>
      <c r="I12" s="22" t="s">
        <v>568</v>
      </c>
      <c r="J12" s="16" t="n">
        <f aca="false">IF(B12="","",COUNTIF(D12:I12,"Y"))</f>
        <v>1</v>
      </c>
      <c r="K12" s="23" t="str">
        <f aca="false">IF(B12="","",IF(COUNTA(D12:I12)&lt;6,"Answer all six",IF(C12="Misleading","Replace with its pair",IF(AND(D12="Y",E12="Y",F12="Y"),IF(I12="Y","Keep: decision KPI","Keep: decision KPI, add its pair"),IF(AND(G12="Y",OR(E12="Y",F12="Y",H12="Y")),"Keep below the line: trigger",IF(AND(D12="N",E12="N",H12="N"),"Delete","Demote to context"))))))</f>
        <v>Replace with its pair</v>
      </c>
      <c r="L12" s="10" t="str">
        <f aca="false">IF(B12="","",IFERROR(INDEX('KPI Library'!$O$5:$O$63,MATCH(B12,'KPI Library'!$B$5:$B$63,0)),""))</f>
        <v>K24 Committed-journey conversion</v>
      </c>
    </row>
    <row r="13" customFormat="false" ht="15" hidden="false" customHeight="false" outlineLevel="0" collapsed="false">
      <c r="A13" s="9" t="n">
        <v>9</v>
      </c>
      <c r="B13" s="22" t="s">
        <v>548</v>
      </c>
      <c r="C13" s="10" t="str">
        <f aca="false">IF(B13="","",IFERROR(INDEX('KPI Library'!$D$5:$D$63,MATCH(B13,'KPI Library'!$B$5:$B$63,0)),"Not in library"))</f>
        <v>Misleading</v>
      </c>
      <c r="D13" s="22" t="s">
        <v>567</v>
      </c>
      <c r="E13" s="22" t="s">
        <v>568</v>
      </c>
      <c r="F13" s="22" t="s">
        <v>568</v>
      </c>
      <c r="G13" s="22" t="s">
        <v>568</v>
      </c>
      <c r="H13" s="22" t="s">
        <v>568</v>
      </c>
      <c r="I13" s="22" t="s">
        <v>568</v>
      </c>
      <c r="J13" s="16" t="n">
        <f aca="false">IF(B13="","",COUNTIF(D13:I13,"Y"))</f>
        <v>1</v>
      </c>
      <c r="K13" s="23" t="str">
        <f aca="false">IF(B13="","",IF(COUNTA(D13:I13)&lt;6,"Answer all six",IF(C13="Misleading","Replace with its pair",IF(AND(D13="Y",E13="Y",F13="Y"),IF(I13="Y","Keep: decision KPI","Keep: decision KPI, add its pair"),IF(AND(G13="Y",OR(E13="Y",F13="Y",H13="Y")),"Keep below the line: trigger",IF(AND(D13="N",E13="N",H13="N"),"Delete","Demote to context"))))))</f>
        <v>Replace with its pair</v>
      </c>
      <c r="L13" s="10" t="str">
        <f aca="false">IF(B13="","",IFERROR(INDEX('KPI Library'!$O$5:$O$63,MATCH(B13,'KPI Library'!$B$5:$B$63,0)),""))</f>
        <v>K06 Active customers</v>
      </c>
    </row>
    <row r="14" customFormat="false" ht="15" hidden="false" customHeight="false" outlineLevel="0" collapsed="false">
      <c r="A14" s="9" t="n">
        <v>10</v>
      </c>
      <c r="B14" s="22" t="s">
        <v>89</v>
      </c>
      <c r="C14" s="10" t="str">
        <f aca="false">IF(B14="","",IFERROR(INDEX('KPI Library'!$D$5:$D$63,MATCH(B14,'KPI Library'!$B$5:$B$63,0)),"Not in library"))</f>
        <v>Decision</v>
      </c>
      <c r="D14" s="22" t="s">
        <v>567</v>
      </c>
      <c r="E14" s="22" t="s">
        <v>567</v>
      </c>
      <c r="F14" s="22" t="s">
        <v>567</v>
      </c>
      <c r="G14" s="22" t="s">
        <v>567</v>
      </c>
      <c r="H14" s="22" t="s">
        <v>567</v>
      </c>
      <c r="I14" s="22" t="s">
        <v>568</v>
      </c>
      <c r="J14" s="16" t="n">
        <f aca="false">IF(B14="","",COUNTIF(D14:I14,"Y"))</f>
        <v>5</v>
      </c>
      <c r="K14" s="23" t="str">
        <f aca="false">IF(B14="","",IF(COUNTA(D14:I14)&lt;6,"Answer all six",IF(C14="Misleading","Replace with its pair",IF(AND(D14="Y",E14="Y",F14="Y"),IF(I14="Y","Keep: decision KPI","Keep: decision KPI, add its pair"),IF(AND(G14="Y",OR(E14="Y",F14="Y",H14="Y")),"Keep below the line: trigger",IF(AND(D14="N",E14="N",H14="N"),"Delete","Demote to context"))))))</f>
        <v>Keep: decision KPI, add its pair</v>
      </c>
      <c r="L14" s="10" t="str">
        <f aca="false">IF(B14="","",IFERROR(INDEX('KPI Library'!$O$5:$O$63,MATCH(B14,'KPI Library'!$B$5:$B$63,0)),""))</f>
        <v>K02 Contribution after marketing</v>
      </c>
    </row>
    <row r="15" customFormat="false" ht="15" hidden="false" customHeight="false" outlineLevel="0" collapsed="false">
      <c r="A15" s="9" t="n">
        <v>11</v>
      </c>
      <c r="B15" s="22" t="s">
        <v>104</v>
      </c>
      <c r="C15" s="10" t="str">
        <f aca="false">IF(B15="","",IFERROR(INDEX('KPI Library'!$D$5:$D$63,MATCH(B15,'KPI Library'!$B$5:$B$63,0)),"Not in library"))</f>
        <v>Decision</v>
      </c>
      <c r="D15" s="22" t="s">
        <v>567</v>
      </c>
      <c r="E15" s="22" t="s">
        <v>567</v>
      </c>
      <c r="F15" s="22" t="s">
        <v>567</v>
      </c>
      <c r="G15" s="22" t="s">
        <v>567</v>
      </c>
      <c r="H15" s="22" t="s">
        <v>567</v>
      </c>
      <c r="I15" s="22" t="s">
        <v>567</v>
      </c>
      <c r="J15" s="16" t="n">
        <f aca="false">IF(B15="","",COUNTIF(D15:I15,"Y"))</f>
        <v>6</v>
      </c>
      <c r="K15" s="23" t="str">
        <f aca="false">IF(B15="","",IF(COUNTA(D15:I15)&lt;6,"Answer all six",IF(C15="Misleading","Replace with its pair",IF(AND(D15="Y",E15="Y",F15="Y"),IF(I15="Y","Keep: decision KPI","Keep: decision KPI, add its pair"),IF(AND(G15="Y",OR(E15="Y",F15="Y",H15="Y")),"Keep below the line: trigger",IF(AND(D15="N",E15="N",H15="N"),"Delete","Demote to context"))))))</f>
        <v>Keep: decision KPI</v>
      </c>
      <c r="L15" s="10" t="str">
        <f aca="false">IF(B15="","",IFERROR(INDEX('KPI Library'!$O$5:$O$63,MATCH(B15,'KPI Library'!$B$5:$B$63,0)),""))</f>
        <v>K01 Net sales vs plan</v>
      </c>
    </row>
    <row r="16" customFormat="false" ht="15" hidden="false" customHeight="false" outlineLevel="0" collapsed="false">
      <c r="A16" s="9" t="n">
        <v>12</v>
      </c>
      <c r="B16" s="22" t="s">
        <v>398</v>
      </c>
      <c r="C16" s="10" t="str">
        <f aca="false">IF(B16="","",IFERROR(INDEX('KPI Library'!$D$5:$D$63,MATCH(B16,'KPI Library'!$B$5:$B$63,0)),"Not in library"))</f>
        <v>Investigation trigger</v>
      </c>
      <c r="D16" s="22" t="s">
        <v>567</v>
      </c>
      <c r="E16" s="22" t="s">
        <v>568</v>
      </c>
      <c r="F16" s="22" t="s">
        <v>568</v>
      </c>
      <c r="G16" s="22" t="s">
        <v>567</v>
      </c>
      <c r="H16" s="22" t="s">
        <v>567</v>
      </c>
      <c r="I16" s="22" t="s">
        <v>568</v>
      </c>
      <c r="J16" s="16" t="n">
        <f aca="false">IF(B16="","",COUNTIF(D16:I16,"Y"))</f>
        <v>3</v>
      </c>
      <c r="K16" s="23" t="str">
        <f aca="false">IF(B16="","",IF(COUNTA(D16:I16)&lt;6,"Answer all six",IF(C16="Misleading","Replace with its pair",IF(AND(D16="Y",E16="Y",F16="Y"),IF(I16="Y","Keep: decision KPI","Keep: decision KPI, add its pair"),IF(AND(G16="Y",OR(E16="Y",F16="Y",H16="Y")),"Keep below the line: trigger",IF(AND(D16="N",E16="N",H16="N"),"Delete","Demote to context"))))))</f>
        <v>Keep below the line: trigger</v>
      </c>
      <c r="L16" s="10" t="str">
        <f aca="false">IF(B16="","",IFERROR(INDEX('KPI Library'!$O$5:$O$63,MATCH(B16,'KPI Library'!$B$5:$B$63,0)),""))</f>
        <v>K30 Units per order</v>
      </c>
    </row>
    <row r="17" customFormat="false" ht="15" hidden="false" customHeight="false" outlineLevel="0" collapsed="false">
      <c r="A17" s="9" t="n">
        <v>13</v>
      </c>
      <c r="B17" s="22" t="s">
        <v>160</v>
      </c>
      <c r="C17" s="10" t="str">
        <f aca="false">IF(B17="","",IFERROR(INDEX('KPI Library'!$D$5:$D$63,MATCH(B17,'KPI Library'!$B$5:$B$63,0)),"Not in library"))</f>
        <v>Investigation trigger</v>
      </c>
      <c r="D17" s="22" t="s">
        <v>567</v>
      </c>
      <c r="E17" s="22" t="s">
        <v>568</v>
      </c>
      <c r="F17" s="22" t="s">
        <v>567</v>
      </c>
      <c r="G17" s="22" t="s">
        <v>567</v>
      </c>
      <c r="H17" s="22" t="s">
        <v>567</v>
      </c>
      <c r="I17" s="22" t="s">
        <v>568</v>
      </c>
      <c r="J17" s="16" t="n">
        <f aca="false">IF(B17="","",COUNTIF(D17:I17,"Y"))</f>
        <v>4</v>
      </c>
      <c r="K17" s="23" t="str">
        <f aca="false">IF(B17="","",IF(COUNTA(D17:I17)&lt;6,"Answer all six",IF(C17="Misleading","Replace with its pair",IF(AND(D17="Y",E17="Y",F17="Y"),IF(I17="Y","Keep: decision KPI","Keep: decision KPI, add its pair"),IF(AND(G17="Y",OR(E17="Y",F17="Y",H17="Y")),"Keep below the line: trigger",IF(AND(D17="N",E17="N",H17="N"),"Delete","Demote to context"))))))</f>
        <v>Keep below the line: trigger</v>
      </c>
      <c r="L17" s="10" t="str">
        <f aca="false">IF(B17="","",IFERROR(INDEX('KPI Library'!$O$5:$O$63,MATCH(B17,'KPI Library'!$B$5:$B$63,0)),""))</f>
        <v>K11 First-order payback</v>
      </c>
    </row>
    <row r="18" customFormat="false" ht="15" hidden="false" customHeight="false" outlineLevel="0" collapsed="false">
      <c r="A18" s="9" t="n">
        <v>14</v>
      </c>
      <c r="B18" s="22" t="s">
        <v>473</v>
      </c>
      <c r="C18" s="10" t="str">
        <f aca="false">IF(B18="","",IFERROR(INDEX('KPI Library'!$D$5:$D$63,MATCH(B18,'KPI Library'!$B$5:$B$63,0)),"Not in library"))</f>
        <v>Decision</v>
      </c>
      <c r="D18" s="22" t="s">
        <v>567</v>
      </c>
      <c r="E18" s="22" t="s">
        <v>567</v>
      </c>
      <c r="F18" s="22" t="s">
        <v>567</v>
      </c>
      <c r="G18" s="22" t="s">
        <v>567</v>
      </c>
      <c r="H18" s="22" t="s">
        <v>567</v>
      </c>
      <c r="I18" s="22" t="s">
        <v>567</v>
      </c>
      <c r="J18" s="16" t="n">
        <f aca="false">IF(B18="","",COUNTIF(D18:I18,"Y"))</f>
        <v>6</v>
      </c>
      <c r="K18" s="23" t="str">
        <f aca="false">IF(B18="","",IF(COUNTA(D18:I18)&lt;6,"Answer all six",IF(C18="Misleading","Replace with its pair",IF(AND(D18="Y",E18="Y",F18="Y"),IF(I18="Y","Keep: decision KPI","Keep: decision KPI, add its pair"),IF(AND(G18="Y",OR(E18="Y",F18="Y",H18="Y")),"Keep below the line: trigger",IF(AND(D18="N",E18="N",H18="N"),"Delete","Demote to context"))))))</f>
        <v>Keep: decision KPI</v>
      </c>
      <c r="L18" s="10" t="str">
        <f aca="false">IF(B18="","",IFERROR(INDEX('KPI Library'!$O$5:$O$63,MATCH(B18,'KPI Library'!$B$5:$B$63,0)),""))</f>
        <v>K39 Cost to serve per order</v>
      </c>
    </row>
    <row r="19" customFormat="false" ht="15" hidden="false" customHeight="false" outlineLevel="0" collapsed="false">
      <c r="A19" s="9" t="n">
        <v>15</v>
      </c>
      <c r="B19" s="22" t="s">
        <v>421</v>
      </c>
      <c r="C19" s="10" t="str">
        <f aca="false">IF(B19="","",IFERROR(INDEX('KPI Library'!$D$5:$D$63,MATCH(B19,'KPI Library'!$B$5:$B$63,0)),"Not in library"))</f>
        <v>Decision</v>
      </c>
      <c r="D19" s="22" t="s">
        <v>567</v>
      </c>
      <c r="E19" s="22" t="s">
        <v>567</v>
      </c>
      <c r="F19" s="22" t="s">
        <v>567</v>
      </c>
      <c r="G19" s="22" t="s">
        <v>567</v>
      </c>
      <c r="H19" s="22" t="s">
        <v>567</v>
      </c>
      <c r="I19" s="22" t="s">
        <v>567</v>
      </c>
      <c r="J19" s="16" t="n">
        <f aca="false">IF(B19="","",COUNTIF(D19:I19,"Y"))</f>
        <v>6</v>
      </c>
      <c r="K19" s="23" t="str">
        <f aca="false">IF(B19="","",IF(COUNTA(D19:I19)&lt;6,"Answer all six",IF(C19="Misleading","Replace with its pair",IF(AND(D19="Y",E19="Y",F19="Y"),IF(I19="Y","Keep: decision KPI","Keep: decision KPI, add its pair"),IF(AND(G19="Y",OR(E19="Y",F19="Y",H19="Y")),"Keep below the line: trigger",IF(AND(D19="N",E19="N",H19="N"),"Delete","Demote to context"))))))</f>
        <v>Keep: decision KPI</v>
      </c>
      <c r="L19" s="10" t="str">
        <f aca="false">IF(B19="","",IFERROR(INDEX('KPI Library'!$O$5:$O$63,MATCH(B19,'KPI Library'!$B$5:$B$63,0)),""))</f>
        <v>K24 Committed-journey conversion</v>
      </c>
    </row>
    <row r="20" customFormat="false" ht="15" hidden="false" customHeight="false" outlineLevel="0" collapsed="false">
      <c r="A20" s="9" t="n">
        <v>16</v>
      </c>
      <c r="B20" s="22" t="s">
        <v>351</v>
      </c>
      <c r="C20" s="10" t="str">
        <f aca="false">IF(B20="","",IFERROR(INDEX('KPI Library'!$D$5:$D$63,MATCH(B20,'KPI Library'!$B$5:$B$63,0)),"Not in library"))</f>
        <v>Investigation trigger</v>
      </c>
      <c r="D20" s="22" t="s">
        <v>567</v>
      </c>
      <c r="E20" s="22" t="s">
        <v>567</v>
      </c>
      <c r="F20" s="22" t="s">
        <v>567</v>
      </c>
      <c r="G20" s="22" t="s">
        <v>567</v>
      </c>
      <c r="H20" s="22" t="s">
        <v>568</v>
      </c>
      <c r="I20" s="22" t="s">
        <v>568</v>
      </c>
      <c r="J20" s="16" t="n">
        <f aca="false">IF(B20="","",COUNTIF(D20:I20,"Y"))</f>
        <v>4</v>
      </c>
      <c r="K20" s="23" t="str">
        <f aca="false">IF(B20="","",IF(COUNTA(D20:I20)&lt;6,"Answer all six",IF(C20="Misleading","Replace with its pair",IF(AND(D20="Y",E20="Y",F20="Y"),IF(I20="Y","Keep: decision KPI","Keep: decision KPI, add its pair"),IF(AND(G20="Y",OR(E20="Y",F20="Y",H20="Y")),"Keep below the line: trigger",IF(AND(D20="N",E20="N",H20="N"),"Delete","Demote to context"))))))</f>
        <v>Keep: decision KPI, add its pair</v>
      </c>
      <c r="L20" s="10" t="str">
        <f aca="false">IF(B20="","",IFERROR(INDEX('KPI Library'!$O$5:$O$63,MATCH(B20,'KPI Library'!$B$5:$B$63,0)),""))</f>
        <v>K27 Payment acceptance rate</v>
      </c>
    </row>
    <row r="21" customFormat="false" ht="15" hidden="false" customHeight="false" outlineLevel="0" collapsed="false">
      <c r="A21" s="9" t="n">
        <v>17</v>
      </c>
      <c r="B21" s="22" t="s">
        <v>269</v>
      </c>
      <c r="C21" s="10" t="str">
        <f aca="false">IF(B21="","",IFERROR(INDEX('KPI Library'!$D$5:$D$63,MATCH(B21,'KPI Library'!$B$5:$B$63,0)),"Not in library"))</f>
        <v>Investigation trigger</v>
      </c>
      <c r="D21" s="22" t="s">
        <v>567</v>
      </c>
      <c r="E21" s="22" t="s">
        <v>568</v>
      </c>
      <c r="F21" s="22" t="s">
        <v>567</v>
      </c>
      <c r="G21" s="22" t="s">
        <v>567</v>
      </c>
      <c r="H21" s="22" t="s">
        <v>568</v>
      </c>
      <c r="I21" s="22" t="s">
        <v>567</v>
      </c>
      <c r="J21" s="16" t="n">
        <f aca="false">IF(B21="","",COUNTIF(D21:I21,"Y"))</f>
        <v>4</v>
      </c>
      <c r="K21" s="23" t="str">
        <f aca="false">IF(B21="","",IF(COUNTA(D21:I21)&lt;6,"Answer all six",IF(C21="Misleading","Replace with its pair",IF(AND(D21="Y",E21="Y",F21="Y"),IF(I21="Y","Keep: decision KPI","Keep: decision KPI, add its pair"),IF(AND(G21="Y",OR(E21="Y",F21="Y",H21="Y")),"Keep below the line: trigger",IF(AND(D21="N",E21="N",H21="N"),"Delete","Demote to context"))))))</f>
        <v>Keep below the line: trigger</v>
      </c>
      <c r="L21" s="10" t="str">
        <f aca="false">IF(B21="","",IFERROR(INDEX('KPI Library'!$O$5:$O$63,MATCH(B21,'KPI Library'!$B$5:$B$63,0)),""))</f>
        <v>K15 Engaged sessions</v>
      </c>
    </row>
    <row r="22" customFormat="false" ht="15" hidden="false" customHeight="false" outlineLevel="0" collapsed="false">
      <c r="A22" s="9" t="n">
        <v>18</v>
      </c>
      <c r="B22" s="22" t="s">
        <v>517</v>
      </c>
      <c r="C22" s="10" t="str">
        <f aca="false">IF(B22="","",IFERROR(INDEX('KPI Library'!$D$5:$D$63,MATCH(B22,'KPI Library'!$B$5:$B$63,0)),"Not in library"))</f>
        <v>Context</v>
      </c>
      <c r="D22" s="22" t="s">
        <v>567</v>
      </c>
      <c r="E22" s="22" t="s">
        <v>568</v>
      </c>
      <c r="F22" s="22" t="s">
        <v>568</v>
      </c>
      <c r="G22" s="22" t="s">
        <v>568</v>
      </c>
      <c r="H22" s="22" t="s">
        <v>567</v>
      </c>
      <c r="I22" s="22" t="s">
        <v>568</v>
      </c>
      <c r="J22" s="16" t="n">
        <f aca="false">IF(B22="","",COUNTIF(D22:I22,"Y"))</f>
        <v>2</v>
      </c>
      <c r="K22" s="23" t="str">
        <f aca="false">IF(B22="","",IF(COUNTA(D22:I22)&lt;6,"Answer all six",IF(C22="Misleading","Replace with its pair",IF(AND(D22="Y",E22="Y",F22="Y"),IF(I22="Y","Keep: decision KPI","Keep: decision KPI, add its pair"),IF(AND(G22="Y",OR(E22="Y",F22="Y",H22="Y")),"Keep below the line: trigger",IF(AND(D22="N",E22="N",H22="N"),"Delete","Demote to context"))))))</f>
        <v>Demote to context</v>
      </c>
      <c r="L22" s="10" t="str">
        <f aca="false">IF(B22="","",IFERROR(INDEX('KPI Library'!$O$5:$O$63,MATCH(B22,'KPI Library'!$B$5:$B$63,0)),""))</f>
        <v>K08 Second-order rate</v>
      </c>
    </row>
    <row r="23" customFormat="false" ht="15" hidden="false" customHeight="false" outlineLevel="0" collapsed="false">
      <c r="A23" s="9" t="n">
        <v>19</v>
      </c>
      <c r="B23" s="22" t="s">
        <v>465</v>
      </c>
      <c r="C23" s="10" t="str">
        <f aca="false">IF(B23="","",IFERROR(INDEX('KPI Library'!$D$5:$D$63,MATCH(B23,'KPI Library'!$B$5:$B$63,0)),"Not in library"))</f>
        <v>Context</v>
      </c>
      <c r="D23" s="22" t="s">
        <v>568</v>
      </c>
      <c r="E23" s="22" t="s">
        <v>568</v>
      </c>
      <c r="F23" s="22" t="s">
        <v>568</v>
      </c>
      <c r="G23" s="22" t="s">
        <v>568</v>
      </c>
      <c r="H23" s="22" t="s">
        <v>568</v>
      </c>
      <c r="I23" s="22" t="s">
        <v>568</v>
      </c>
      <c r="J23" s="16" t="n">
        <f aca="false">IF(B23="","",COUNTIF(D23:I23,"Y"))</f>
        <v>0</v>
      </c>
      <c r="K23" s="23" t="str">
        <f aca="false">IF(B23="","",IF(COUNTA(D23:I23)&lt;6,"Answer all six",IF(C23="Misleading","Replace with its pair",IF(AND(D23="Y",E23="Y",F23="Y"),IF(I23="Y","Keep: decision KPI","Keep: decision KPI, add its pair"),IF(AND(G23="Y",OR(E23="Y",F23="Y",H23="Y")),"Keep below the line: trigger",IF(AND(D23="N",E23="N",H23="N"),"Delete","Demote to context"))))))</f>
        <v>Delete</v>
      </c>
      <c r="L23" s="10" t="str">
        <f aca="false">IF(B23="","",IFERROR(INDEX('KPI Library'!$O$5:$O$63,MATCH(B23,'KPI Library'!$B$5:$B$63,0)),""))</f>
        <v>K33 Full-price sell-through</v>
      </c>
    </row>
    <row r="24" customFormat="false" ht="15" hidden="false" customHeight="false" outlineLevel="0" collapsed="false">
      <c r="A24" s="9" t="n">
        <v>20</v>
      </c>
      <c r="B24" s="22" t="s">
        <v>438</v>
      </c>
      <c r="C24" s="10" t="str">
        <f aca="false">IF(B24="","",IFERROR(INDEX('KPI Library'!$D$5:$D$63,MATCH(B24,'KPI Library'!$B$5:$B$63,0)),"Not in library"))</f>
        <v>Decision</v>
      </c>
      <c r="D24" s="22" t="s">
        <v>567</v>
      </c>
      <c r="E24" s="22" t="s">
        <v>567</v>
      </c>
      <c r="F24" s="22" t="s">
        <v>567</v>
      </c>
      <c r="G24" s="22" t="s">
        <v>567</v>
      </c>
      <c r="H24" s="22" t="s">
        <v>567</v>
      </c>
      <c r="I24" s="22" t="s">
        <v>567</v>
      </c>
      <c r="J24" s="16" t="n">
        <f aca="false">IF(B24="","",COUNTIF(D24:I24,"Y"))</f>
        <v>6</v>
      </c>
      <c r="K24" s="23" t="str">
        <f aca="false">IF(B24="","",IF(COUNTA(D24:I24)&lt;6,"Answer all six",IF(C24="Misleading","Replace with its pair",IF(AND(D24="Y",E24="Y",F24="Y"),IF(I24="Y","Keep: decision KPI","Keep: decision KPI, add its pair"),IF(AND(G24="Y",OR(E24="Y",F24="Y",H24="Y")),"Keep below the line: trigger",IF(AND(D24="N",E24="N",H24="N"),"Delete","Demote to context"))))))</f>
        <v>Keep: decision KPI</v>
      </c>
      <c r="L24" s="10" t="str">
        <f aca="false">IF(B24="","",IFERROR(INDEX('KPI Library'!$O$5:$O$63,MATCH(B24,'KPI Library'!$B$5:$B$63,0)),""))</f>
        <v>K03 Gross margin %</v>
      </c>
    </row>
    <row r="25" customFormat="false" ht="15" hidden="false" customHeight="false" outlineLevel="0" collapsed="false">
      <c r="A25" s="9" t="n">
        <v>21</v>
      </c>
      <c r="B25" s="22" t="s">
        <v>407</v>
      </c>
      <c r="C25" s="10" t="str">
        <f aca="false">IF(B25="","",IFERROR(INDEX('KPI Library'!$D$5:$D$63,MATCH(B25,'KPI Library'!$B$5:$B$63,0)),"Not in library"))</f>
        <v>Context</v>
      </c>
      <c r="D25" s="22" t="s">
        <v>568</v>
      </c>
      <c r="E25" s="22" t="s">
        <v>568</v>
      </c>
      <c r="F25" s="22" t="s">
        <v>568</v>
      </c>
      <c r="G25" s="22" t="s">
        <v>567</v>
      </c>
      <c r="H25" s="22" t="s">
        <v>568</v>
      </c>
      <c r="I25" s="22" t="s">
        <v>568</v>
      </c>
      <c r="J25" s="16" t="n">
        <f aca="false">IF(B25="","",COUNTIF(D25:I25,"Y"))</f>
        <v>1</v>
      </c>
      <c r="K25" s="23" t="str">
        <f aca="false">IF(B25="","",IF(COUNTA(D25:I25)&lt;6,"Answer all six",IF(C25="Misleading","Replace with its pair",IF(AND(D25="Y",E25="Y",F25="Y"),IF(I25="Y","Keep: decision KPI","Keep: decision KPI, add its pair"),IF(AND(G25="Y",OR(E25="Y",F25="Y",H25="Y")),"Keep below the line: trigger",IF(AND(D25="N",E25="N",H25="N"),"Delete","Demote to context"))))))</f>
        <v>Delete</v>
      </c>
      <c r="L25" s="10" t="str">
        <f aca="false">IF(B25="","",IFERROR(INDEX('KPI Library'!$O$5:$O$63,MATCH(B25,'KPI Library'!$B$5:$B$63,0)),""))</f>
        <v>K29 AOV</v>
      </c>
    </row>
    <row r="26" customFormat="false" ht="15" hidden="false" customHeight="false" outlineLevel="0" collapsed="false">
      <c r="A26" s="9" t="n">
        <v>22</v>
      </c>
      <c r="B26" s="22" t="s">
        <v>115</v>
      </c>
      <c r="C26" s="10" t="str">
        <f aca="false">IF(B26="","",IFERROR(INDEX('KPI Library'!$D$5:$D$63,MATCH(B26,'KPI Library'!$B$5:$B$63,0)),"Not in library"))</f>
        <v>Decision</v>
      </c>
      <c r="D26" s="22" t="s">
        <v>567</v>
      </c>
      <c r="E26" s="22" t="s">
        <v>567</v>
      </c>
      <c r="F26" s="22" t="s">
        <v>567</v>
      </c>
      <c r="G26" s="22" t="s">
        <v>567</v>
      </c>
      <c r="H26" s="22" t="s">
        <v>567</v>
      </c>
      <c r="I26" s="22" t="s">
        <v>567</v>
      </c>
      <c r="J26" s="16" t="n">
        <f aca="false">IF(B26="","",COUNTIF(D26:I26,"Y"))</f>
        <v>6</v>
      </c>
      <c r="K26" s="23" t="str">
        <f aca="false">IF(B26="","",IF(COUNTA(D26:I26)&lt;6,"Answer all six",IF(C26="Misleading","Replace with its pair",IF(AND(D26="Y",E26="Y",F26="Y"),IF(I26="Y","Keep: decision KPI","Keep: decision KPI, add its pair"),IF(AND(G26="Y",OR(E26="Y",F26="Y",H26="Y")),"Keep below the line: trigger",IF(AND(D26="N",E26="N",H26="N"),"Delete","Demote to context"))))))</f>
        <v>Keep: decision KPI</v>
      </c>
      <c r="L26" s="10" t="str">
        <f aca="false">IF(B26="","",IFERROR(INDEX('KPI Library'!$O$5:$O$63,MATCH(B26,'KPI Library'!$B$5:$B$63,0)),""))</f>
        <v>K34 Discount depth</v>
      </c>
    </row>
    <row r="27" customFormat="false" ht="15" hidden="false" customHeight="false" outlineLevel="0" collapsed="false">
      <c r="A27" s="9" t="n">
        <v>23</v>
      </c>
      <c r="B27" s="22" t="s">
        <v>188</v>
      </c>
      <c r="C27" s="10" t="str">
        <f aca="false">IF(B27="","",IFERROR(INDEX('KPI Library'!$D$5:$D$63,MATCH(B27,'KPI Library'!$B$5:$B$63,0)),"Not in library"))</f>
        <v>Decision</v>
      </c>
      <c r="D27" s="22" t="s">
        <v>567</v>
      </c>
      <c r="E27" s="22" t="s">
        <v>567</v>
      </c>
      <c r="F27" s="22" t="s">
        <v>567</v>
      </c>
      <c r="G27" s="22" t="s">
        <v>567</v>
      </c>
      <c r="H27" s="22" t="s">
        <v>567</v>
      </c>
      <c r="I27" s="22" t="s">
        <v>568</v>
      </c>
      <c r="J27" s="16" t="n">
        <f aca="false">IF(B27="","",COUNTIF(D27:I27,"Y"))</f>
        <v>5</v>
      </c>
      <c r="K27" s="23" t="str">
        <f aca="false">IF(B27="","",IF(COUNTA(D27:I27)&lt;6,"Answer all six",IF(C27="Misleading","Replace with its pair",IF(AND(D27="Y",E27="Y",F27="Y"),IF(I27="Y","Keep: decision KPI","Keep: decision KPI, add its pair"),IF(AND(G27="Y",OR(E27="Y",F27="Y",H27="Y")),"Keep below the line: trigger",IF(AND(D27="N",E27="N",H27="N"),"Delete","Demote to context"))))))</f>
        <v>Keep: decision KPI, add its pair</v>
      </c>
      <c r="L27" s="10" t="str">
        <f aca="false">IF(B27="","",IFERROR(INDEX('KPI Library'!$O$5:$O$63,MATCH(B27,'KPI Library'!$B$5:$B$63,0)),""))</f>
        <v>K12 Marginal cost per new customer</v>
      </c>
    </row>
    <row r="28" customFormat="false" ht="15" hidden="false" customHeight="false" outlineLevel="0" collapsed="false">
      <c r="A28" s="9" t="n">
        <v>24</v>
      </c>
      <c r="B28" s="22" t="s">
        <v>496</v>
      </c>
      <c r="C28" s="10" t="str">
        <f aca="false">IF(B28="","",IFERROR(INDEX('KPI Library'!$D$5:$D$63,MATCH(B28,'KPI Library'!$B$5:$B$63,0)),"Not in library"))</f>
        <v>Decision</v>
      </c>
      <c r="D28" s="22" t="s">
        <v>567</v>
      </c>
      <c r="E28" s="22" t="s">
        <v>567</v>
      </c>
      <c r="F28" s="22" t="s">
        <v>567</v>
      </c>
      <c r="G28" s="22" t="s">
        <v>567</v>
      </c>
      <c r="H28" s="22" t="s">
        <v>567</v>
      </c>
      <c r="I28" s="22" t="s">
        <v>567</v>
      </c>
      <c r="J28" s="16" t="n">
        <f aca="false">IF(B28="","",COUNTIF(D28:I28,"Y"))</f>
        <v>6</v>
      </c>
      <c r="K28" s="23" t="str">
        <f aca="false">IF(B28="","",IF(COUNTA(D28:I28)&lt;6,"Answer all six",IF(C28="Misleading","Replace with its pair",IF(AND(D28="Y",E28="Y",F28="Y"),IF(I28="Y","Keep: decision KPI","Keep: decision KPI, add its pair"),IF(AND(G28="Y",OR(E28="Y",F28="Y",H28="Y")),"Keep below the line: trigger",IF(AND(D28="N",E28="N",H28="N"),"Delete","Demote to context"))))))</f>
        <v>Keep: decision KPI</v>
      </c>
      <c r="L28" s="10" t="str">
        <f aca="false">IF(B28="","",IFERROR(INDEX('KPI Library'!$O$5:$O$63,MATCH(B28,'KPI Library'!$B$5:$B$63,0)),""))</f>
        <v>K41 Contacts per order</v>
      </c>
    </row>
    <row r="29" customFormat="false" ht="15" hidden="false" customHeight="false" outlineLevel="0" collapsed="false">
      <c r="A29" s="9" t="n">
        <v>25</v>
      </c>
      <c r="B29" s="24"/>
      <c r="C29" s="10" t="str">
        <f aca="false">IF(B29="","",IFERROR(INDEX('KPI Library'!$D$5:$D$63,MATCH(B29,'KPI Library'!$B$5:$B$63,0)),"Not in library"))</f>
        <v/>
      </c>
      <c r="D29" s="24"/>
      <c r="E29" s="24"/>
      <c r="F29" s="24"/>
      <c r="G29" s="24"/>
      <c r="H29" s="24"/>
      <c r="I29" s="24"/>
      <c r="J29" s="16" t="str">
        <f aca="false">IF(B29="","",COUNTIF(D29:I29,"Y"))</f>
        <v/>
      </c>
      <c r="K29" s="23" t="str">
        <f aca="false">IF(B29="","",IF(COUNTA(D29:I29)&lt;6,"Answer all six",IF(C29="Misleading","Replace with its pair",IF(AND(D29="Y",E29="Y",F29="Y"),IF(I29="Y","Keep: decision KPI","Keep: decision KPI, add its pair"),IF(AND(G29="Y",OR(E29="Y",F29="Y",H29="Y")),"Keep below the line: trigger",IF(AND(D29="N",E29="N",H29="N"),"Delete","Demote to context"))))))</f>
        <v/>
      </c>
      <c r="L29" s="10" t="str">
        <f aca="false">IF(B29="","",IFERROR(INDEX('KPI Library'!$O$5:$O$63,MATCH(B29,'KPI Library'!$B$5:$B$63,0)),""))</f>
        <v/>
      </c>
    </row>
    <row r="30" customFormat="false" ht="15" hidden="false" customHeight="false" outlineLevel="0" collapsed="false">
      <c r="A30" s="9" t="n">
        <v>26</v>
      </c>
      <c r="B30" s="24"/>
      <c r="C30" s="10" t="str">
        <f aca="false">IF(B30="","",IFERROR(INDEX('KPI Library'!$D$5:$D$63,MATCH(B30,'KPI Library'!$B$5:$B$63,0)),"Not in library"))</f>
        <v/>
      </c>
      <c r="D30" s="24"/>
      <c r="E30" s="24"/>
      <c r="F30" s="24"/>
      <c r="G30" s="24"/>
      <c r="H30" s="24"/>
      <c r="I30" s="24"/>
      <c r="J30" s="16" t="str">
        <f aca="false">IF(B30="","",COUNTIF(D30:I30,"Y"))</f>
        <v/>
      </c>
      <c r="K30" s="23" t="str">
        <f aca="false">IF(B30="","",IF(COUNTA(D30:I30)&lt;6,"Answer all six",IF(C30="Misleading","Replace with its pair",IF(AND(D30="Y",E30="Y",F30="Y"),IF(I30="Y","Keep: decision KPI","Keep: decision KPI, add its pair"),IF(AND(G30="Y",OR(E30="Y",F30="Y",H30="Y")),"Keep below the line: trigger",IF(AND(D30="N",E30="N",H30="N"),"Delete","Demote to context"))))))</f>
        <v/>
      </c>
      <c r="L30" s="10" t="str">
        <f aca="false">IF(B30="","",IFERROR(INDEX('KPI Library'!$O$5:$O$63,MATCH(B30,'KPI Library'!$B$5:$B$63,0)),""))</f>
        <v/>
      </c>
    </row>
    <row r="31" customFormat="false" ht="15" hidden="false" customHeight="false" outlineLevel="0" collapsed="false">
      <c r="A31" s="9" t="n">
        <v>27</v>
      </c>
      <c r="B31" s="24"/>
      <c r="C31" s="10" t="str">
        <f aca="false">IF(B31="","",IFERROR(INDEX('KPI Library'!$D$5:$D$63,MATCH(B31,'KPI Library'!$B$5:$B$63,0)),"Not in library"))</f>
        <v/>
      </c>
      <c r="D31" s="24"/>
      <c r="E31" s="24"/>
      <c r="F31" s="24"/>
      <c r="G31" s="24"/>
      <c r="H31" s="24"/>
      <c r="I31" s="24"/>
      <c r="J31" s="16" t="str">
        <f aca="false">IF(B31="","",COUNTIF(D31:I31,"Y"))</f>
        <v/>
      </c>
      <c r="K31" s="23" t="str">
        <f aca="false">IF(B31="","",IF(COUNTA(D31:I31)&lt;6,"Answer all six",IF(C31="Misleading","Replace with its pair",IF(AND(D31="Y",E31="Y",F31="Y"),IF(I31="Y","Keep: decision KPI","Keep: decision KPI, add its pair"),IF(AND(G31="Y",OR(E31="Y",F31="Y",H31="Y")),"Keep below the line: trigger",IF(AND(D31="N",E31="N",H31="N"),"Delete","Demote to context"))))))</f>
        <v/>
      </c>
      <c r="L31" s="10" t="str">
        <f aca="false">IF(B31="","",IFERROR(INDEX('KPI Library'!$O$5:$O$63,MATCH(B31,'KPI Library'!$B$5:$B$63,0)),""))</f>
        <v/>
      </c>
    </row>
    <row r="32" customFormat="false" ht="15" hidden="false" customHeight="false" outlineLevel="0" collapsed="false">
      <c r="A32" s="9" t="n">
        <v>28</v>
      </c>
      <c r="B32" s="24"/>
      <c r="C32" s="10" t="str">
        <f aca="false">IF(B32="","",IFERROR(INDEX('KPI Library'!$D$5:$D$63,MATCH(B32,'KPI Library'!$B$5:$B$63,0)),"Not in library"))</f>
        <v/>
      </c>
      <c r="D32" s="24"/>
      <c r="E32" s="24"/>
      <c r="F32" s="24"/>
      <c r="G32" s="24"/>
      <c r="H32" s="24"/>
      <c r="I32" s="24"/>
      <c r="J32" s="16" t="str">
        <f aca="false">IF(B32="","",COUNTIF(D32:I32,"Y"))</f>
        <v/>
      </c>
      <c r="K32" s="23" t="str">
        <f aca="false">IF(B32="","",IF(COUNTA(D32:I32)&lt;6,"Answer all six",IF(C32="Misleading","Replace with its pair",IF(AND(D32="Y",E32="Y",F32="Y"),IF(I32="Y","Keep: decision KPI","Keep: decision KPI, add its pair"),IF(AND(G32="Y",OR(E32="Y",F32="Y",H32="Y")),"Keep below the line: trigger",IF(AND(D32="N",E32="N",H32="N"),"Delete","Demote to context"))))))</f>
        <v/>
      </c>
      <c r="L32" s="10" t="str">
        <f aca="false">IF(B32="","",IFERROR(INDEX('KPI Library'!$O$5:$O$63,MATCH(B32,'KPI Library'!$B$5:$B$63,0)),""))</f>
        <v/>
      </c>
    </row>
    <row r="33" customFormat="false" ht="15" hidden="false" customHeight="false" outlineLevel="0" collapsed="false">
      <c r="A33" s="9" t="n">
        <v>29</v>
      </c>
      <c r="B33" s="24"/>
      <c r="C33" s="10" t="str">
        <f aca="false">IF(B33="","",IFERROR(INDEX('KPI Library'!$D$5:$D$63,MATCH(B33,'KPI Library'!$B$5:$B$63,0)),"Not in library"))</f>
        <v/>
      </c>
      <c r="D33" s="24"/>
      <c r="E33" s="24"/>
      <c r="F33" s="24"/>
      <c r="G33" s="24"/>
      <c r="H33" s="24"/>
      <c r="I33" s="24"/>
      <c r="J33" s="16" t="str">
        <f aca="false">IF(B33="","",COUNTIF(D33:I33,"Y"))</f>
        <v/>
      </c>
      <c r="K33" s="23" t="str">
        <f aca="false">IF(B33="","",IF(COUNTA(D33:I33)&lt;6,"Answer all six",IF(C33="Misleading","Replace with its pair",IF(AND(D33="Y",E33="Y",F33="Y"),IF(I33="Y","Keep: decision KPI","Keep: decision KPI, add its pair"),IF(AND(G33="Y",OR(E33="Y",F33="Y",H33="Y")),"Keep below the line: trigger",IF(AND(D33="N",E33="N",H33="N"),"Delete","Demote to context"))))))</f>
        <v/>
      </c>
      <c r="L33" s="10" t="str">
        <f aca="false">IF(B33="","",IFERROR(INDEX('KPI Library'!$O$5:$O$63,MATCH(B33,'KPI Library'!$B$5:$B$63,0)),""))</f>
        <v/>
      </c>
    </row>
    <row r="34" customFormat="false" ht="15" hidden="false" customHeight="false" outlineLevel="0" collapsed="false">
      <c r="A34" s="9" t="n">
        <v>30</v>
      </c>
      <c r="B34" s="24"/>
      <c r="C34" s="10" t="str">
        <f aca="false">IF(B34="","",IFERROR(INDEX('KPI Library'!$D$5:$D$63,MATCH(B34,'KPI Library'!$B$5:$B$63,0)),"Not in library"))</f>
        <v/>
      </c>
      <c r="D34" s="24"/>
      <c r="E34" s="24"/>
      <c r="F34" s="24"/>
      <c r="G34" s="24"/>
      <c r="H34" s="24"/>
      <c r="I34" s="24"/>
      <c r="J34" s="16" t="str">
        <f aca="false">IF(B34="","",COUNTIF(D34:I34,"Y"))</f>
        <v/>
      </c>
      <c r="K34" s="23" t="str">
        <f aca="false">IF(B34="","",IF(COUNTA(D34:I34)&lt;6,"Answer all six",IF(C34="Misleading","Replace with its pair",IF(AND(D34="Y",E34="Y",F34="Y"),IF(I34="Y","Keep: decision KPI","Keep: decision KPI, add its pair"),IF(AND(G34="Y",OR(E34="Y",F34="Y",H34="Y")),"Keep below the line: trigger",IF(AND(D34="N",E34="N",H34="N"),"Delete","Demote to context"))))))</f>
        <v/>
      </c>
      <c r="L34" s="10" t="str">
        <f aca="false">IF(B34="","",IFERROR(INDEX('KPI Library'!$O$5:$O$63,MATCH(B34,'KPI Library'!$B$5:$B$63,0)),""))</f>
        <v/>
      </c>
    </row>
    <row r="35" customFormat="false" ht="15" hidden="false" customHeight="false" outlineLevel="0" collapsed="false">
      <c r="A35" s="9" t="n">
        <v>31</v>
      </c>
      <c r="B35" s="24"/>
      <c r="C35" s="10" t="str">
        <f aca="false">IF(B35="","",IFERROR(INDEX('KPI Library'!$D$5:$D$63,MATCH(B35,'KPI Library'!$B$5:$B$63,0)),"Not in library"))</f>
        <v/>
      </c>
      <c r="D35" s="24"/>
      <c r="E35" s="24"/>
      <c r="F35" s="24"/>
      <c r="G35" s="24"/>
      <c r="H35" s="24"/>
      <c r="I35" s="24"/>
      <c r="J35" s="16" t="str">
        <f aca="false">IF(B35="","",COUNTIF(D35:I35,"Y"))</f>
        <v/>
      </c>
      <c r="K35" s="23" t="str">
        <f aca="false">IF(B35="","",IF(COUNTA(D35:I35)&lt;6,"Answer all six",IF(C35="Misleading","Replace with its pair",IF(AND(D35="Y",E35="Y",F35="Y"),IF(I35="Y","Keep: decision KPI","Keep: decision KPI, add its pair"),IF(AND(G35="Y",OR(E35="Y",F35="Y",H35="Y")),"Keep below the line: trigger",IF(AND(D35="N",E35="N",H35="N"),"Delete","Demote to context"))))))</f>
        <v/>
      </c>
      <c r="L35" s="10" t="str">
        <f aca="false">IF(B35="","",IFERROR(INDEX('KPI Library'!$O$5:$O$63,MATCH(B35,'KPI Library'!$B$5:$B$63,0)),""))</f>
        <v/>
      </c>
    </row>
    <row r="36" customFormat="false" ht="15" hidden="false" customHeight="false" outlineLevel="0" collapsed="false">
      <c r="A36" s="9" t="n">
        <v>32</v>
      </c>
      <c r="B36" s="24"/>
      <c r="C36" s="10" t="str">
        <f aca="false">IF(B36="","",IFERROR(INDEX('KPI Library'!$D$5:$D$63,MATCH(B36,'KPI Library'!$B$5:$B$63,0)),"Not in library"))</f>
        <v/>
      </c>
      <c r="D36" s="24"/>
      <c r="E36" s="24"/>
      <c r="F36" s="24"/>
      <c r="G36" s="24"/>
      <c r="H36" s="24"/>
      <c r="I36" s="24"/>
      <c r="J36" s="16" t="str">
        <f aca="false">IF(B36="","",COUNTIF(D36:I36,"Y"))</f>
        <v/>
      </c>
      <c r="K36" s="23" t="str">
        <f aca="false">IF(B36="","",IF(COUNTA(D36:I36)&lt;6,"Answer all six",IF(C36="Misleading","Replace with its pair",IF(AND(D36="Y",E36="Y",F36="Y"),IF(I36="Y","Keep: decision KPI","Keep: decision KPI, add its pair"),IF(AND(G36="Y",OR(E36="Y",F36="Y",H36="Y")),"Keep below the line: trigger",IF(AND(D36="N",E36="N",H36="N"),"Delete","Demote to context"))))))</f>
        <v/>
      </c>
      <c r="L36" s="10" t="str">
        <f aca="false">IF(B36="","",IFERROR(INDEX('KPI Library'!$O$5:$O$63,MATCH(B36,'KPI Library'!$B$5:$B$63,0)),""))</f>
        <v/>
      </c>
    </row>
    <row r="37" customFormat="false" ht="15" hidden="false" customHeight="false" outlineLevel="0" collapsed="false">
      <c r="A37" s="9" t="n">
        <v>33</v>
      </c>
      <c r="B37" s="24"/>
      <c r="C37" s="10" t="str">
        <f aca="false">IF(B37="","",IFERROR(INDEX('KPI Library'!$D$5:$D$63,MATCH(B37,'KPI Library'!$B$5:$B$63,0)),"Not in library"))</f>
        <v/>
      </c>
      <c r="D37" s="24"/>
      <c r="E37" s="24"/>
      <c r="F37" s="24"/>
      <c r="G37" s="24"/>
      <c r="H37" s="24"/>
      <c r="I37" s="24"/>
      <c r="J37" s="16" t="str">
        <f aca="false">IF(B37="","",COUNTIF(D37:I37,"Y"))</f>
        <v/>
      </c>
      <c r="K37" s="23" t="str">
        <f aca="false">IF(B37="","",IF(COUNTA(D37:I37)&lt;6,"Answer all six",IF(C37="Misleading","Replace with its pair",IF(AND(D37="Y",E37="Y",F37="Y"),IF(I37="Y","Keep: decision KPI","Keep: decision KPI, add its pair"),IF(AND(G37="Y",OR(E37="Y",F37="Y",H37="Y")),"Keep below the line: trigger",IF(AND(D37="N",E37="N",H37="N"),"Delete","Demote to context"))))))</f>
        <v/>
      </c>
      <c r="L37" s="10" t="str">
        <f aca="false">IF(B37="","",IFERROR(INDEX('KPI Library'!$O$5:$O$63,MATCH(B37,'KPI Library'!$B$5:$B$63,0)),""))</f>
        <v/>
      </c>
    </row>
    <row r="38" customFormat="false" ht="15" hidden="false" customHeight="false" outlineLevel="0" collapsed="false">
      <c r="A38" s="9" t="n">
        <v>34</v>
      </c>
      <c r="B38" s="24"/>
      <c r="C38" s="10" t="str">
        <f aca="false">IF(B38="","",IFERROR(INDEX('KPI Library'!$D$5:$D$63,MATCH(B38,'KPI Library'!$B$5:$B$63,0)),"Not in library"))</f>
        <v/>
      </c>
      <c r="D38" s="24"/>
      <c r="E38" s="24"/>
      <c r="F38" s="24"/>
      <c r="G38" s="24"/>
      <c r="H38" s="24"/>
      <c r="I38" s="24"/>
      <c r="J38" s="16" t="str">
        <f aca="false">IF(B38="","",COUNTIF(D38:I38,"Y"))</f>
        <v/>
      </c>
      <c r="K38" s="23" t="str">
        <f aca="false">IF(B38="","",IF(COUNTA(D38:I38)&lt;6,"Answer all six",IF(C38="Misleading","Replace with its pair",IF(AND(D38="Y",E38="Y",F38="Y"),IF(I38="Y","Keep: decision KPI","Keep: decision KPI, add its pair"),IF(AND(G38="Y",OR(E38="Y",F38="Y",H38="Y")),"Keep below the line: trigger",IF(AND(D38="N",E38="N",H38="N"),"Delete","Demote to context"))))))</f>
        <v/>
      </c>
      <c r="L38" s="10" t="str">
        <f aca="false">IF(B38="","",IFERROR(INDEX('KPI Library'!$O$5:$O$63,MATCH(B38,'KPI Library'!$B$5:$B$63,0)),""))</f>
        <v/>
      </c>
    </row>
    <row r="39" customFormat="false" ht="15" hidden="false" customHeight="false" outlineLevel="0" collapsed="false">
      <c r="A39" s="9" t="n">
        <v>35</v>
      </c>
      <c r="B39" s="24"/>
      <c r="C39" s="10" t="str">
        <f aca="false">IF(B39="","",IFERROR(INDEX('KPI Library'!$D$5:$D$63,MATCH(B39,'KPI Library'!$B$5:$B$63,0)),"Not in library"))</f>
        <v/>
      </c>
      <c r="D39" s="24"/>
      <c r="E39" s="24"/>
      <c r="F39" s="24"/>
      <c r="G39" s="24"/>
      <c r="H39" s="24"/>
      <c r="I39" s="24"/>
      <c r="J39" s="16" t="str">
        <f aca="false">IF(B39="","",COUNTIF(D39:I39,"Y"))</f>
        <v/>
      </c>
      <c r="K39" s="23" t="str">
        <f aca="false">IF(B39="","",IF(COUNTA(D39:I39)&lt;6,"Answer all six",IF(C39="Misleading","Replace with its pair",IF(AND(D39="Y",E39="Y",F39="Y"),IF(I39="Y","Keep: decision KPI","Keep: decision KPI, add its pair"),IF(AND(G39="Y",OR(E39="Y",F39="Y",H39="Y")),"Keep below the line: trigger",IF(AND(D39="N",E39="N",H39="N"),"Delete","Demote to context"))))))</f>
        <v/>
      </c>
      <c r="L39" s="10" t="str">
        <f aca="false">IF(B39="","",IFERROR(INDEX('KPI Library'!$O$5:$O$63,MATCH(B39,'KPI Library'!$B$5:$B$63,0)),""))</f>
        <v/>
      </c>
    </row>
    <row r="40" customFormat="false" ht="15" hidden="false" customHeight="false" outlineLevel="0" collapsed="false">
      <c r="A40" s="9" t="n">
        <v>36</v>
      </c>
      <c r="B40" s="24"/>
      <c r="C40" s="10" t="str">
        <f aca="false">IF(B40="","",IFERROR(INDEX('KPI Library'!$D$5:$D$63,MATCH(B40,'KPI Library'!$B$5:$B$63,0)),"Not in library"))</f>
        <v/>
      </c>
      <c r="D40" s="24"/>
      <c r="E40" s="24"/>
      <c r="F40" s="24"/>
      <c r="G40" s="24"/>
      <c r="H40" s="24"/>
      <c r="I40" s="24"/>
      <c r="J40" s="16" t="str">
        <f aca="false">IF(B40="","",COUNTIF(D40:I40,"Y"))</f>
        <v/>
      </c>
      <c r="K40" s="23" t="str">
        <f aca="false">IF(B40="","",IF(COUNTA(D40:I40)&lt;6,"Answer all six",IF(C40="Misleading","Replace with its pair",IF(AND(D40="Y",E40="Y",F40="Y"),IF(I40="Y","Keep: decision KPI","Keep: decision KPI, add its pair"),IF(AND(G40="Y",OR(E40="Y",F40="Y",H40="Y")),"Keep below the line: trigger",IF(AND(D40="N",E40="N",H40="N"),"Delete","Demote to context"))))))</f>
        <v/>
      </c>
      <c r="L40" s="10" t="str">
        <f aca="false">IF(B40="","",IFERROR(INDEX('KPI Library'!$O$5:$O$63,MATCH(B40,'KPI Library'!$B$5:$B$63,0)),""))</f>
        <v/>
      </c>
    </row>
    <row r="41" customFormat="false" ht="15" hidden="false" customHeight="false" outlineLevel="0" collapsed="false">
      <c r="A41" s="9" t="n">
        <v>37</v>
      </c>
      <c r="B41" s="24"/>
      <c r="C41" s="10" t="str">
        <f aca="false">IF(B41="","",IFERROR(INDEX('KPI Library'!$D$5:$D$63,MATCH(B41,'KPI Library'!$B$5:$B$63,0)),"Not in library"))</f>
        <v/>
      </c>
      <c r="D41" s="24"/>
      <c r="E41" s="24"/>
      <c r="F41" s="24"/>
      <c r="G41" s="24"/>
      <c r="H41" s="24"/>
      <c r="I41" s="24"/>
      <c r="J41" s="16" t="str">
        <f aca="false">IF(B41="","",COUNTIF(D41:I41,"Y"))</f>
        <v/>
      </c>
      <c r="K41" s="23" t="str">
        <f aca="false">IF(B41="","",IF(COUNTA(D41:I41)&lt;6,"Answer all six",IF(C41="Misleading","Replace with its pair",IF(AND(D41="Y",E41="Y",F41="Y"),IF(I41="Y","Keep: decision KPI","Keep: decision KPI, add its pair"),IF(AND(G41="Y",OR(E41="Y",F41="Y",H41="Y")),"Keep below the line: trigger",IF(AND(D41="N",E41="N",H41="N"),"Delete","Demote to context"))))))</f>
        <v/>
      </c>
      <c r="L41" s="10" t="str">
        <f aca="false">IF(B41="","",IFERROR(INDEX('KPI Library'!$O$5:$O$63,MATCH(B41,'KPI Library'!$B$5:$B$63,0)),""))</f>
        <v/>
      </c>
    </row>
    <row r="42" customFormat="false" ht="15" hidden="false" customHeight="false" outlineLevel="0" collapsed="false">
      <c r="A42" s="9" t="n">
        <v>38</v>
      </c>
      <c r="B42" s="24"/>
      <c r="C42" s="10" t="str">
        <f aca="false">IF(B42="","",IFERROR(INDEX('KPI Library'!$D$5:$D$63,MATCH(B42,'KPI Library'!$B$5:$B$63,0)),"Not in library"))</f>
        <v/>
      </c>
      <c r="D42" s="24"/>
      <c r="E42" s="24"/>
      <c r="F42" s="24"/>
      <c r="G42" s="24"/>
      <c r="H42" s="24"/>
      <c r="I42" s="24"/>
      <c r="J42" s="16" t="str">
        <f aca="false">IF(B42="","",COUNTIF(D42:I42,"Y"))</f>
        <v/>
      </c>
      <c r="K42" s="23" t="str">
        <f aca="false">IF(B42="","",IF(COUNTA(D42:I42)&lt;6,"Answer all six",IF(C42="Misleading","Replace with its pair",IF(AND(D42="Y",E42="Y",F42="Y"),IF(I42="Y","Keep: decision KPI","Keep: decision KPI, add its pair"),IF(AND(G42="Y",OR(E42="Y",F42="Y",H42="Y")),"Keep below the line: trigger",IF(AND(D42="N",E42="N",H42="N"),"Delete","Demote to context"))))))</f>
        <v/>
      </c>
      <c r="L42" s="10" t="str">
        <f aca="false">IF(B42="","",IFERROR(INDEX('KPI Library'!$O$5:$O$63,MATCH(B42,'KPI Library'!$B$5:$B$63,0)),""))</f>
        <v/>
      </c>
    </row>
    <row r="43" customFormat="false" ht="15" hidden="false" customHeight="false" outlineLevel="0" collapsed="false">
      <c r="A43" s="9" t="n">
        <v>39</v>
      </c>
      <c r="B43" s="24"/>
      <c r="C43" s="10" t="str">
        <f aca="false">IF(B43="","",IFERROR(INDEX('KPI Library'!$D$5:$D$63,MATCH(B43,'KPI Library'!$B$5:$B$63,0)),"Not in library"))</f>
        <v/>
      </c>
      <c r="D43" s="24"/>
      <c r="E43" s="24"/>
      <c r="F43" s="24"/>
      <c r="G43" s="24"/>
      <c r="H43" s="24"/>
      <c r="I43" s="24"/>
      <c r="J43" s="16" t="str">
        <f aca="false">IF(B43="","",COUNTIF(D43:I43,"Y"))</f>
        <v/>
      </c>
      <c r="K43" s="23" t="str">
        <f aca="false">IF(B43="","",IF(COUNTA(D43:I43)&lt;6,"Answer all six",IF(C43="Misleading","Replace with its pair",IF(AND(D43="Y",E43="Y",F43="Y"),IF(I43="Y","Keep: decision KPI","Keep: decision KPI, add its pair"),IF(AND(G43="Y",OR(E43="Y",F43="Y",H43="Y")),"Keep below the line: trigger",IF(AND(D43="N",E43="N",H43="N"),"Delete","Demote to context"))))))</f>
        <v/>
      </c>
      <c r="L43" s="10" t="str">
        <f aca="false">IF(B43="","",IFERROR(INDEX('KPI Library'!$O$5:$O$63,MATCH(B43,'KPI Library'!$B$5:$B$63,0)),""))</f>
        <v/>
      </c>
    </row>
    <row r="44" customFormat="false" ht="15" hidden="false" customHeight="false" outlineLevel="0" collapsed="false">
      <c r="A44" s="9" t="n">
        <v>40</v>
      </c>
      <c r="B44" s="24"/>
      <c r="C44" s="10" t="str">
        <f aca="false">IF(B44="","",IFERROR(INDEX('KPI Library'!$D$5:$D$63,MATCH(B44,'KPI Library'!$B$5:$B$63,0)),"Not in library"))</f>
        <v/>
      </c>
      <c r="D44" s="24"/>
      <c r="E44" s="24"/>
      <c r="F44" s="24"/>
      <c r="G44" s="24"/>
      <c r="H44" s="24"/>
      <c r="I44" s="24"/>
      <c r="J44" s="16" t="str">
        <f aca="false">IF(B44="","",COUNTIF(D44:I44,"Y"))</f>
        <v/>
      </c>
      <c r="K44" s="23" t="str">
        <f aca="false">IF(B44="","",IF(COUNTA(D44:I44)&lt;6,"Answer all six",IF(C44="Misleading","Replace with its pair",IF(AND(D44="Y",E44="Y",F44="Y"),IF(I44="Y","Keep: decision KPI","Keep: decision KPI, add its pair"),IF(AND(G44="Y",OR(E44="Y",F44="Y",H44="Y")),"Keep below the line: trigger",IF(AND(D44="N",E44="N",H44="N"),"Delete","Demote to context"))))))</f>
        <v/>
      </c>
      <c r="L44" s="10" t="str">
        <f aca="false">IF(B44="","",IFERROR(INDEX('KPI Library'!$O$5:$O$63,MATCH(B44,'KPI Library'!$B$5:$B$63,0)),""))</f>
        <v/>
      </c>
    </row>
    <row r="46" customFormat="false" ht="15" hidden="false" customHeight="false" outlineLevel="0" collapsed="false">
      <c r="A46" s="11" t="s">
        <v>570</v>
      </c>
      <c r="B46" s="11"/>
      <c r="C46" s="11"/>
      <c r="D46" s="11"/>
      <c r="E46" s="11"/>
      <c r="F46" s="11"/>
      <c r="G46" s="11"/>
      <c r="H46" s="11"/>
      <c r="I46" s="11"/>
      <c r="J46" s="11"/>
      <c r="K46" s="11"/>
      <c r="L46" s="11"/>
    </row>
    <row r="47" customFormat="false" ht="15" hidden="false" customHeight="false" outlineLevel="0" collapsed="false">
      <c r="A47" s="9" t="s">
        <v>57</v>
      </c>
      <c r="B47" s="16" t="n">
        <f aca="false">COUNTA(B5:B44)</f>
        <v>24</v>
      </c>
    </row>
    <row r="48" customFormat="false" ht="15" hidden="false" customHeight="false" outlineLevel="0" collapsed="false">
      <c r="A48" s="9" t="s">
        <v>58</v>
      </c>
      <c r="B48" s="16" t="n">
        <f aca="false">COUNTIF(K5:K44,"Keep: decision KPI*")</f>
        <v>9</v>
      </c>
    </row>
    <row r="49" customFormat="false" ht="15" hidden="false" customHeight="false" outlineLevel="0" collapsed="false">
      <c r="A49" s="9" t="s">
        <v>59</v>
      </c>
      <c r="B49" s="16" t="n">
        <f aca="false">COUNTIF(K5:K44,"Keep below the line: trigger")</f>
        <v>3</v>
      </c>
    </row>
    <row r="50" customFormat="false" ht="15" hidden="false" customHeight="false" outlineLevel="0" collapsed="false">
      <c r="A50" s="9" t="s">
        <v>60</v>
      </c>
      <c r="B50" s="16" t="n">
        <f aca="false">COUNTIF(K5:K44,"Demote to context")</f>
        <v>2</v>
      </c>
    </row>
    <row r="51" customFormat="false" ht="15" hidden="false" customHeight="false" outlineLevel="0" collapsed="false">
      <c r="A51" s="9" t="s">
        <v>61</v>
      </c>
      <c r="B51" s="16" t="n">
        <f aca="false">COUNTIF(K5:K44,"Delete")</f>
        <v>5</v>
      </c>
    </row>
    <row r="52" customFormat="false" ht="15" hidden="false" customHeight="false" outlineLevel="0" collapsed="false">
      <c r="A52" s="9" t="s">
        <v>571</v>
      </c>
      <c r="B52" s="16" t="n">
        <f aca="false">COUNTIF(K5:K44,"Replace with its pair")</f>
        <v>5</v>
      </c>
    </row>
    <row r="53" customFormat="false" ht="15" hidden="false" customHeight="false" outlineLevel="0" collapsed="false">
      <c r="A53" s="9" t="s">
        <v>572</v>
      </c>
      <c r="B53" s="16" t="n">
        <f aca="false">COUNTIF(K5:K44,"Answer all six")</f>
        <v>0</v>
      </c>
    </row>
    <row r="54" customFormat="false" ht="15" hidden="false" customHeight="false" outlineLevel="0" collapsed="false">
      <c r="A54" s="9" t="s">
        <v>573</v>
      </c>
      <c r="B54" s="25" t="n">
        <f aca="false">IFERROR(B48/B47,0)</f>
        <v>0.375</v>
      </c>
    </row>
    <row r="56" customFormat="false" ht="15" hidden="false" customHeight="false" outlineLevel="0" collapsed="false">
      <c r="A56" s="9" t="s">
        <v>574</v>
      </c>
    </row>
  </sheetData>
  <sheetProtection sheet="true" formatColumns="false" formatRows="false" sort="false" autoFilter="false"/>
  <conditionalFormatting sqref="K5:K44">
    <cfRule type="expression" priority="2" aboveAverage="0" equalAverage="0" bottom="0" percent="0" rank="0" text="" dxfId="0">
      <formula>LEFT(K5,4)="Keep"</formula>
    </cfRule>
    <cfRule type="expression" priority="3" aboveAverage="0" equalAverage="0" bottom="0" percent="0" rank="0" text="" dxfId="2">
      <formula>OR(K5="Delete",K5="Replace with its pair")</formula>
    </cfRule>
    <cfRule type="expression" priority="4" aboveAverage="0" equalAverage="0" bottom="0" percent="0" rank="0" text="" dxfId="1">
      <formula>OR(K5="Demote to context",K5="Answer all six")</formula>
    </cfRule>
  </conditionalFormatting>
  <dataValidations count="1">
    <dataValidation allowBlank="true" errorStyle="stop" operator="between" showDropDown="false" showErrorMessage="false" showInputMessage="false" sqref="D5:I44" type="list">
      <formula1>"Y,N"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6"/>
    <col collapsed="false" customWidth="true" hidden="false" outlineLevel="0" max="3" min="3" style="0" width="9"/>
    <col collapsed="false" customWidth="true" hidden="false" outlineLevel="0" max="4" min="4" style="0" width="10"/>
    <col collapsed="false" customWidth="true" hidden="false" outlineLevel="0" max="13" min="5" style="0" width="11"/>
    <col collapsed="false" customWidth="true" hidden="false" outlineLevel="0" max="15" min="14" style="0" width="9"/>
    <col collapsed="false" customWidth="true" hidden="false" outlineLevel="0" max="16" min="16" style="0" width="10"/>
    <col collapsed="false" customWidth="true" hidden="false" outlineLevel="0" max="17" min="17" style="0" width="20"/>
    <col collapsed="false" customWidth="true" hidden="false" outlineLevel="0" max="18" min="18" style="0" width="30"/>
    <col collapsed="false" customWidth="true" hidden="false" outlineLevel="0" max="20" min="19" style="0" width="44"/>
  </cols>
  <sheetData>
    <row r="1" customFormat="false" ht="17.35" hidden="false" customHeight="false" outlineLevel="0" collapsed="false">
      <c r="A1" s="1" t="s">
        <v>575</v>
      </c>
    </row>
    <row r="2" customFormat="false" ht="15" hidden="false" customHeight="false" outlineLevel="0" collapsed="false">
      <c r="A2" s="2" t="s">
        <v>576</v>
      </c>
    </row>
    <row r="4" customFormat="false" ht="43.5" hidden="false" customHeight="true" outlineLevel="0" collapsed="false">
      <c r="A4" s="15" t="s">
        <v>577</v>
      </c>
      <c r="B4" s="15" t="s">
        <v>73</v>
      </c>
      <c r="C4" s="15" t="s">
        <v>86</v>
      </c>
      <c r="D4" s="15" t="s">
        <v>578</v>
      </c>
      <c r="E4" s="15" t="s">
        <v>579</v>
      </c>
      <c r="F4" s="15" t="s">
        <v>580</v>
      </c>
      <c r="G4" s="15" t="s">
        <v>581</v>
      </c>
      <c r="H4" s="15" t="s">
        <v>582</v>
      </c>
      <c r="I4" s="15" t="s">
        <v>583</v>
      </c>
      <c r="J4" s="15" t="s">
        <v>584</v>
      </c>
      <c r="K4" s="15" t="s">
        <v>585</v>
      </c>
      <c r="L4" s="15" t="s">
        <v>586</v>
      </c>
      <c r="M4" s="15" t="s">
        <v>587</v>
      </c>
      <c r="N4" s="15" t="s">
        <v>588</v>
      </c>
      <c r="O4" s="15" t="s">
        <v>589</v>
      </c>
      <c r="P4" s="15" t="s">
        <v>590</v>
      </c>
      <c r="Q4" s="15" t="s">
        <v>77</v>
      </c>
      <c r="R4" s="15" t="s">
        <v>64</v>
      </c>
      <c r="S4" s="15" t="s">
        <v>66</v>
      </c>
      <c r="T4" s="15" t="s">
        <v>591</v>
      </c>
    </row>
    <row r="5" customFormat="false" ht="26.85" hidden="false" customHeight="false" outlineLevel="0" collapsed="false">
      <c r="A5" s="22" t="s">
        <v>592</v>
      </c>
      <c r="B5" s="22" t="s">
        <v>88</v>
      </c>
      <c r="C5" s="22" t="s">
        <v>101</v>
      </c>
      <c r="D5" s="22" t="s">
        <v>593</v>
      </c>
      <c r="E5" s="26" t="n">
        <v>1560000</v>
      </c>
      <c r="F5" s="26" t="n">
        <v>1490000</v>
      </c>
      <c r="G5" s="26" t="n">
        <v>1980000</v>
      </c>
      <c r="H5" s="26" t="n">
        <v>1520000</v>
      </c>
      <c r="I5" s="26" t="n">
        <v>1710000</v>
      </c>
      <c r="J5" s="26" t="n">
        <v>2310000</v>
      </c>
      <c r="K5" s="27" t="n">
        <f aca="false">SUM(E5:J5)</f>
        <v>10570000</v>
      </c>
      <c r="L5" s="26" t="n">
        <v>10900000</v>
      </c>
      <c r="M5" s="28" t="n">
        <f aca="false">IFERROR(K5/L5-1,0)</f>
        <v>-0.0302752293577981</v>
      </c>
      <c r="N5" s="29" t="n">
        <v>0.02</v>
      </c>
      <c r="O5" s="29" t="n">
        <v>0.05</v>
      </c>
      <c r="P5" s="23" t="str">
        <f aca="false">IF(L5=0,"Set a plan",IF(ROUND(IF(C5="Band",-ABS(M5),IF(C5="Lower",-M5,M5)),6)&gt;=-N5,"On plan",IF(ROUND(IF(C5="Band",-ABS(M5),IF(C5="Lower",-M5,M5)),6)&gt;=-O5,"Watch","Act")))</f>
        <v>Watch</v>
      </c>
      <c r="Q5" s="22" t="s">
        <v>92</v>
      </c>
      <c r="R5" s="30" t="str">
        <f aca="false">IF(L5=0,"",TEXT(M5,"+0.0%;-0.0%;0.0%")&amp;" against plan, year to date: "&amp;LOWER(P5))</f>
        <v>-3.0% against plan, year to date: watch</v>
      </c>
      <c r="S5" s="20" t="s">
        <v>594</v>
      </c>
      <c r="T5" s="20" t="s">
        <v>595</v>
      </c>
    </row>
    <row r="6" customFormat="false" ht="26.85" hidden="false" customHeight="false" outlineLevel="0" collapsed="false">
      <c r="A6" s="22" t="s">
        <v>104</v>
      </c>
      <c r="B6" s="22" t="s">
        <v>103</v>
      </c>
      <c r="C6" s="22" t="s">
        <v>101</v>
      </c>
      <c r="D6" s="22" t="s">
        <v>593</v>
      </c>
      <c r="E6" s="26" t="n">
        <v>390000</v>
      </c>
      <c r="F6" s="26" t="n">
        <v>360000</v>
      </c>
      <c r="G6" s="26" t="n">
        <v>460000</v>
      </c>
      <c r="H6" s="26" t="n">
        <v>350000</v>
      </c>
      <c r="I6" s="26" t="n">
        <v>390000</v>
      </c>
      <c r="J6" s="26" t="n">
        <v>500000</v>
      </c>
      <c r="K6" s="27" t="n">
        <f aca="false">SUM(E6:J6)</f>
        <v>2450000</v>
      </c>
      <c r="L6" s="26" t="n">
        <v>2750000</v>
      </c>
      <c r="M6" s="28" t="n">
        <f aca="false">IFERROR(K6/L6-1,0)</f>
        <v>-0.109090909090909</v>
      </c>
      <c r="N6" s="29" t="n">
        <v>0.03</v>
      </c>
      <c r="O6" s="29" t="n">
        <v>0.08</v>
      </c>
      <c r="P6" s="23" t="str">
        <f aca="false">IF(L6=0,"Set a plan",IF(ROUND(IF(C6="Band",-ABS(M6),IF(C6="Lower",-M6,M6)),6)&gt;=-N6,"On plan",IF(ROUND(IF(C6="Band",-ABS(M6),IF(C6="Lower",-M6,M6)),6)&gt;=-O6,"Watch","Act")))</f>
        <v>Act</v>
      </c>
      <c r="Q6" s="22" t="s">
        <v>105</v>
      </c>
      <c r="R6" s="30" t="str">
        <f aca="false">IF(L6=0,"",TEXT(M6,"+0.0%;-0.0%;0.0%")&amp;" against plan, year to date: "&amp;LOWER(P6))</f>
        <v>-10.9% against plan, year to date: act</v>
      </c>
      <c r="S6" s="20" t="s">
        <v>596</v>
      </c>
      <c r="T6" s="20" t="s">
        <v>597</v>
      </c>
    </row>
    <row r="7" customFormat="false" ht="32.8" hidden="false" customHeight="false" outlineLevel="0" collapsed="false">
      <c r="A7" s="22" t="s">
        <v>598</v>
      </c>
      <c r="B7" s="22" t="s">
        <v>103</v>
      </c>
      <c r="C7" s="22" t="s">
        <v>101</v>
      </c>
      <c r="D7" s="22" t="s">
        <v>599</v>
      </c>
      <c r="E7" s="25" t="n">
        <f aca="false">IFERROR(E6/E5,0)</f>
        <v>0.25</v>
      </c>
      <c r="F7" s="25" t="n">
        <f aca="false">IFERROR(F6/F5,0)</f>
        <v>0.241610738255034</v>
      </c>
      <c r="G7" s="25" t="n">
        <f aca="false">IFERROR(G6/G5,0)</f>
        <v>0.232323232323232</v>
      </c>
      <c r="H7" s="25" t="n">
        <f aca="false">IFERROR(H6/H5,0)</f>
        <v>0.230263157894737</v>
      </c>
      <c r="I7" s="25" t="n">
        <f aca="false">IFERROR(I6/I5,0)</f>
        <v>0.228070175438596</v>
      </c>
      <c r="J7" s="25" t="n">
        <f aca="false">IFERROR(J6/J5,0)</f>
        <v>0.216450216450216</v>
      </c>
      <c r="K7" s="25" t="n">
        <f aca="false">IFERROR(K6/K5,0)</f>
        <v>0.231788079470199</v>
      </c>
      <c r="L7" s="25" t="n">
        <f aca="false">IFERROR(L6/L5,0)</f>
        <v>0.252293577981651</v>
      </c>
      <c r="M7" s="28" t="n">
        <f aca="false">IFERROR(K7/L7-1,0)</f>
        <v>-0.0812763395544852</v>
      </c>
      <c r="N7" s="29" t="n">
        <v>0.02</v>
      </c>
      <c r="O7" s="29" t="n">
        <v>0.05</v>
      </c>
      <c r="P7" s="23" t="str">
        <f aca="false">IF(L7=0,"Set a plan",IF(ROUND(IF(C7="Band",-ABS(M7),IF(C7="Lower",-M7,M7)),6)&gt;=-N7,"On plan",IF(ROUND(IF(C7="Band",-ABS(M7),IF(C7="Lower",-M7,M7)),6)&gt;=-O7,"Watch","Act")))</f>
        <v>Act</v>
      </c>
      <c r="Q7" s="22" t="s">
        <v>105</v>
      </c>
      <c r="R7" s="30" t="str">
        <f aca="false">IF(L7=0,"",TEXT(M7,"+0.0%;-0.0%;0.0%")&amp;" against plan, year to date: "&amp;LOWER(P7))</f>
        <v>-8.1% against plan, year to date: act</v>
      </c>
      <c r="S7" s="20" t="s">
        <v>600</v>
      </c>
      <c r="T7" s="20" t="s">
        <v>601</v>
      </c>
    </row>
    <row r="8" customFormat="false" ht="26.85" hidden="false" customHeight="false" outlineLevel="0" collapsed="false">
      <c r="A8" s="22" t="s">
        <v>115</v>
      </c>
      <c r="B8" s="22" t="s">
        <v>114</v>
      </c>
      <c r="C8" s="22" t="s">
        <v>101</v>
      </c>
      <c r="D8" s="22" t="s">
        <v>602</v>
      </c>
      <c r="E8" s="29" t="n">
        <v>0.552</v>
      </c>
      <c r="F8" s="29" t="n">
        <v>0.548</v>
      </c>
      <c r="G8" s="29" t="n">
        <v>0.541</v>
      </c>
      <c r="H8" s="29" t="n">
        <v>0.55</v>
      </c>
      <c r="I8" s="29" t="n">
        <v>0.546</v>
      </c>
      <c r="J8" s="29" t="n">
        <v>0.528</v>
      </c>
      <c r="K8" s="25" t="n">
        <f aca="false">IFERROR(INDEX(E8:J8,COUNT(E8:J8)),0)</f>
        <v>0.528</v>
      </c>
      <c r="L8" s="29" t="n">
        <v>0.55</v>
      </c>
      <c r="M8" s="28" t="n">
        <f aca="false">IFERROR(K8/L8-1,0)</f>
        <v>-0.04</v>
      </c>
      <c r="N8" s="29" t="n">
        <v>0.02</v>
      </c>
      <c r="O8" s="29" t="n">
        <v>0.04</v>
      </c>
      <c r="P8" s="23" t="str">
        <f aca="false">IF(L8=0,"Set a plan",IF(ROUND(IF(C8="Band",-ABS(M8),IF(C8="Lower",-M8,M8)),6)&gt;=-N8,"On plan",IF(ROUND(IF(C8="Band",-ABS(M8),IF(C8="Lower",-M8,M8)),6)&gt;=-O8,"Watch","Act")))</f>
        <v>Watch</v>
      </c>
      <c r="Q8" s="22" t="s">
        <v>117</v>
      </c>
      <c r="R8" s="30" t="str">
        <f aca="false">IF(L8=0,"",TEXT(M8,"+0.0%;-0.0%;0.0%")&amp;" against plan, year to date: "&amp;LOWER(P8))</f>
        <v>-4.0% against plan, year to date: watch</v>
      </c>
      <c r="S8" s="20" t="s">
        <v>603</v>
      </c>
      <c r="T8" s="20" t="s">
        <v>604</v>
      </c>
    </row>
    <row r="9" customFormat="false" ht="26.85" hidden="false" customHeight="false" outlineLevel="0" collapsed="false">
      <c r="A9" s="22" t="s">
        <v>201</v>
      </c>
      <c r="B9" s="22" t="s">
        <v>200</v>
      </c>
      <c r="C9" s="22" t="s">
        <v>101</v>
      </c>
      <c r="D9" s="22" t="s">
        <v>602</v>
      </c>
      <c r="E9" s="31" t="n">
        <v>1.12</v>
      </c>
      <c r="F9" s="31" t="n">
        <v>1.08</v>
      </c>
      <c r="G9" s="31" t="n">
        <v>1.05</v>
      </c>
      <c r="H9" s="31" t="n">
        <v>1.1</v>
      </c>
      <c r="I9" s="31" t="n">
        <v>1.02</v>
      </c>
      <c r="J9" s="31" t="n">
        <v>0.94</v>
      </c>
      <c r="K9" s="32" t="n">
        <f aca="false">IFERROR(INDEX(E9:J9,COUNT(E9:J9)),0)</f>
        <v>0.94</v>
      </c>
      <c r="L9" s="31" t="n">
        <v>1.05</v>
      </c>
      <c r="M9" s="28" t="n">
        <f aca="false">IFERROR(K9/L9-1,0)</f>
        <v>-0.104761904761905</v>
      </c>
      <c r="N9" s="29" t="n">
        <v>0.05</v>
      </c>
      <c r="O9" s="29" t="n">
        <v>0.1</v>
      </c>
      <c r="P9" s="23" t="str">
        <f aca="false">IF(L9=0,"Set a plan",IF(ROUND(IF(C9="Band",-ABS(M9),IF(C9="Lower",-M9,M9)),6)&gt;=-N9,"On plan",IF(ROUND(IF(C9="Band",-ABS(M9),IF(C9="Lower",-M9,M9)),6)&gt;=-O9,"Watch","Act")))</f>
        <v>Act</v>
      </c>
      <c r="Q9" s="22" t="s">
        <v>105</v>
      </c>
      <c r="R9" s="30" t="str">
        <f aca="false">IF(L9=0,"",TEXT(M9,"+0.0%;-0.0%;0.0%")&amp;" against plan, year to date: "&amp;LOWER(P9))</f>
        <v>-10.5% against plan, year to date: act</v>
      </c>
      <c r="S9" s="20" t="s">
        <v>605</v>
      </c>
      <c r="T9" s="20" t="s">
        <v>606</v>
      </c>
    </row>
    <row r="10" customFormat="false" ht="26.85" hidden="false" customHeight="false" outlineLevel="0" collapsed="false">
      <c r="A10" s="22" t="s">
        <v>148</v>
      </c>
      <c r="B10" s="22" t="s">
        <v>147</v>
      </c>
      <c r="C10" s="22" t="s">
        <v>101</v>
      </c>
      <c r="D10" s="22" t="s">
        <v>602</v>
      </c>
      <c r="E10" s="33" t="n">
        <v>212000</v>
      </c>
      <c r="F10" s="33" t="n">
        <v>213500</v>
      </c>
      <c r="G10" s="33" t="n">
        <v>215800</v>
      </c>
      <c r="H10" s="33" t="n">
        <v>216200</v>
      </c>
      <c r="I10" s="33" t="n">
        <v>217900</v>
      </c>
      <c r="J10" s="33" t="n">
        <v>220400</v>
      </c>
      <c r="K10" s="34" t="n">
        <f aca="false">IFERROR(INDEX(E10:J10,COUNT(E10:J10)),0)</f>
        <v>220400</v>
      </c>
      <c r="L10" s="33" t="n">
        <v>218000</v>
      </c>
      <c r="M10" s="28" t="n">
        <f aca="false">IFERROR(K10/L10-1,0)</f>
        <v>0.0110091743119265</v>
      </c>
      <c r="N10" s="29" t="n">
        <v>0.02</v>
      </c>
      <c r="O10" s="29" t="n">
        <v>0.05</v>
      </c>
      <c r="P10" s="23" t="str">
        <f aca="false">IF(L10=0,"Set a plan",IF(ROUND(IF(C10="Band",-ABS(M10),IF(C10="Lower",-M10,M10)),6)&gt;=-N10,"On plan",IF(ROUND(IF(C10="Band",-ABS(M10),IF(C10="Lower",-M10,M10)),6)&gt;=-O10,"Watch","Act")))</f>
        <v>On plan</v>
      </c>
      <c r="Q10" s="22" t="s">
        <v>150</v>
      </c>
      <c r="R10" s="30" t="str">
        <f aca="false">IF(L10=0,"",TEXT(M10,"+0.0%;-0.0%;0.0%")&amp;" against plan, year to date: "&amp;LOWER(P10))</f>
        <v>+1.1% against plan, year to date: on plan</v>
      </c>
      <c r="S10" s="20" t="s">
        <v>607</v>
      </c>
      <c r="T10" s="20" t="s">
        <v>608</v>
      </c>
    </row>
    <row r="11" customFormat="false" ht="26.85" hidden="false" customHeight="false" outlineLevel="0" collapsed="false">
      <c r="A11" s="22" t="s">
        <v>609</v>
      </c>
      <c r="B11" s="22" t="s">
        <v>134</v>
      </c>
      <c r="C11" s="22" t="s">
        <v>145</v>
      </c>
      <c r="D11" s="22" t="s">
        <v>602</v>
      </c>
      <c r="E11" s="35" t="n">
        <v>14.2</v>
      </c>
      <c r="F11" s="35" t="n">
        <v>13.8</v>
      </c>
      <c r="G11" s="35" t="n">
        <v>12.1</v>
      </c>
      <c r="H11" s="35" t="n">
        <v>12.6</v>
      </c>
      <c r="I11" s="35" t="n">
        <v>13.4</v>
      </c>
      <c r="J11" s="35" t="n">
        <v>9.6</v>
      </c>
      <c r="K11" s="36" t="n">
        <f aca="false">IFERROR(INDEX(E11:J11,COUNT(E11:J11)),0)</f>
        <v>9.6</v>
      </c>
      <c r="L11" s="35" t="n">
        <v>12</v>
      </c>
      <c r="M11" s="28" t="n">
        <f aca="false">IFERROR(K11/L11-1,0)</f>
        <v>-0.2</v>
      </c>
      <c r="N11" s="29" t="n">
        <v>0.1</v>
      </c>
      <c r="O11" s="29" t="n">
        <v>0.2</v>
      </c>
      <c r="P11" s="23" t="str">
        <f aca="false">IF(L11=0,"Set a plan",IF(ROUND(IF(C11="Band",-ABS(M11),IF(C11="Lower",-M11,M11)),6)&gt;=-N11,"On plan",IF(ROUND(IF(C11="Band",-ABS(M11),IF(C11="Lower",-M11,M11)),6)&gt;=-O11,"Watch","Act")))</f>
        <v>Watch</v>
      </c>
      <c r="Q11" s="22" t="s">
        <v>136</v>
      </c>
      <c r="R11" s="30" t="str">
        <f aca="false">IF(L11=0,"",TEXT(M11,"+0.0%;-0.0%;0.0%")&amp;" against plan, year to date: "&amp;LOWER(P11))</f>
        <v>-20.0% against plan, year to date: watch</v>
      </c>
      <c r="S11" s="20" t="s">
        <v>610</v>
      </c>
      <c r="T11" s="20" t="s">
        <v>611</v>
      </c>
    </row>
    <row r="12" customFormat="false" ht="26.85" hidden="false" customHeight="false" outlineLevel="0" collapsed="false">
      <c r="A12" s="22" t="s">
        <v>612</v>
      </c>
      <c r="B12" s="22" t="s">
        <v>472</v>
      </c>
      <c r="C12" s="22" t="s">
        <v>199</v>
      </c>
      <c r="D12" s="22" t="s">
        <v>602</v>
      </c>
      <c r="E12" s="29" t="n">
        <v>0.252</v>
      </c>
      <c r="F12" s="29" t="n">
        <v>0.255</v>
      </c>
      <c r="G12" s="29" t="n">
        <v>0.258</v>
      </c>
      <c r="H12" s="29" t="n">
        <v>0.256</v>
      </c>
      <c r="I12" s="29" t="n">
        <v>0.262</v>
      </c>
      <c r="J12" s="29" t="n">
        <v>0.271</v>
      </c>
      <c r="K12" s="25" t="n">
        <f aca="false">IFERROR(INDEX(E12:J12,COUNT(E12:J12)),0)</f>
        <v>0.271</v>
      </c>
      <c r="L12" s="29" t="n">
        <v>0.255</v>
      </c>
      <c r="M12" s="28" t="n">
        <f aca="false">IFERROR(K12/L12-1,0)</f>
        <v>0.0627450980392157</v>
      </c>
      <c r="N12" s="29" t="n">
        <v>0.03</v>
      </c>
      <c r="O12" s="29" t="n">
        <v>0.06</v>
      </c>
      <c r="P12" s="23" t="str">
        <f aca="false">IF(L12=0,"Set a plan",IF(ROUND(IF(C12="Band",-ABS(M12),IF(C12="Lower",-M12,M12)),6)&gt;=-N12,"On plan",IF(ROUND(IF(C12="Band",-ABS(M12),IF(C12="Lower",-M12,M12)),6)&gt;=-O12,"Watch","Act")))</f>
        <v>Act</v>
      </c>
      <c r="Q12" s="22" t="s">
        <v>92</v>
      </c>
      <c r="R12" s="30" t="str">
        <f aca="false">IF(L12=0,"",TEXT(M12,"+0.0%;-0.0%;0.0%")&amp;" against plan, year to date: "&amp;LOWER(P12))</f>
        <v>+6.3% against plan, year to date: act</v>
      </c>
      <c r="S12" s="20" t="s">
        <v>613</v>
      </c>
      <c r="T12" s="20" t="s">
        <v>614</v>
      </c>
    </row>
    <row r="14" customFormat="false" ht="15" hidden="false" customHeight="false" outlineLevel="0" collapsed="false">
      <c r="A14" s="9" t="s">
        <v>615</v>
      </c>
    </row>
    <row r="15" customFormat="false" ht="15" hidden="false" customHeight="false" outlineLevel="0" collapsed="false">
      <c r="A15" s="9" t="s">
        <v>616</v>
      </c>
    </row>
  </sheetData>
  <sheetProtection sheet="true" formatColumns="false" formatRows="false" sort="false" autoFilter="false"/>
  <conditionalFormatting sqref="P5:P12">
    <cfRule type="cellIs" priority="2" operator="equal" aboveAverage="0" equalAverage="0" bottom="0" percent="0" rank="0" text="" dxfId="0">
      <formula>"PASS"</formula>
    </cfRule>
    <cfRule type="cellIs" priority="3" operator="equal" aboveAverage="0" equalAverage="0" bottom="0" percent="0" rank="0" text="" dxfId="0">
      <formula>"On plan"</formula>
    </cfRule>
    <cfRule type="cellIs" priority="4" operator="equal" aboveAverage="0" equalAverage="0" bottom="0" percent="0" rank="0" text="" dxfId="0">
      <formula>"OK"</formula>
    </cfRule>
    <cfRule type="cellIs" priority="5" operator="equal" aboveAverage="0" equalAverage="0" bottom="0" percent="0" rank="0" text="" dxfId="0">
      <formula>"Ahead"</formula>
    </cfRule>
    <cfRule type="cellIs" priority="6" operator="equal" aboveAverage="0" equalAverage="0" bottom="0" percent="0" rank="0" text="" dxfId="1">
      <formula>"WARN"</formula>
    </cfRule>
    <cfRule type="cellIs" priority="7" operator="equal" aboveAverage="0" equalAverage="0" bottom="0" percent="0" rank="0" text="" dxfId="1">
      <formula>"Watch"</formula>
    </cfRule>
    <cfRule type="cellIs" priority="8" operator="equal" aboveAverage="0" equalAverage="0" bottom="0" percent="0" rank="0" text="" dxfId="2">
      <formula>"FAIL"</formula>
    </cfRule>
    <cfRule type="cellIs" priority="9" operator="equal" aboveAverage="0" equalAverage="0" bottom="0" percent="0" rank="0" text="" dxfId="2">
      <formula>"Act"</formula>
    </cfRule>
  </conditionalFormatting>
  <dataValidations count="2">
    <dataValidation allowBlank="false" errorStyle="stop" operator="between" showDropDown="false" showErrorMessage="false" showInputMessage="false" sqref="C5:C12" type="list">
      <formula1>"Higher,Lower,Band"</formula1>
      <formula2>0</formula2>
    </dataValidation>
    <dataValidation allowBlank="false" errorStyle="stop" operator="between" showDropDown="false" showErrorMessage="false" showInputMessage="false" sqref="D5:D12" type="list">
      <formula1>"Sum,Latest,Ratio"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6"/>
    <col collapsed="false" customWidth="true" hidden="false" outlineLevel="0" max="3" min="3" style="0" width="9"/>
    <col collapsed="false" customWidth="true" hidden="false" outlineLevel="0" max="12" min="4" style="0" width="11"/>
    <col collapsed="false" customWidth="true" hidden="false" outlineLevel="0" max="13" min="13" style="0" width="9"/>
    <col collapsed="false" customWidth="true" hidden="false" outlineLevel="0" max="14" min="14" style="0" width="11"/>
    <col collapsed="false" customWidth="true" hidden="false" outlineLevel="0" max="15" min="15" style="0" width="12"/>
    <col collapsed="false" customWidth="true" hidden="false" outlineLevel="0" max="16" min="16" style="0" width="22"/>
    <col collapsed="false" customWidth="true" hidden="false" outlineLevel="0" max="17" min="17" style="0" width="30"/>
    <col collapsed="false" customWidth="true" hidden="false" outlineLevel="0" max="18" min="18" style="0" width="40"/>
    <col collapsed="false" customWidth="true" hidden="false" outlineLevel="0" max="19" min="19" style="0" width="46"/>
    <col collapsed="false" customWidth="true" hidden="false" outlineLevel="0" max="20" min="20" style="0" width="11"/>
  </cols>
  <sheetData>
    <row r="1" customFormat="false" ht="17.35" hidden="false" customHeight="false" outlineLevel="0" collapsed="false">
      <c r="A1" s="1" t="s">
        <v>617</v>
      </c>
    </row>
    <row r="2" customFormat="false" ht="15" hidden="false" customHeight="false" outlineLevel="0" collapsed="false">
      <c r="A2" s="2" t="s">
        <v>618</v>
      </c>
    </row>
    <row r="4" customFormat="false" ht="43.5" hidden="false" customHeight="true" outlineLevel="0" collapsed="false">
      <c r="A4" s="15" t="s">
        <v>577</v>
      </c>
      <c r="B4" s="15" t="s">
        <v>73</v>
      </c>
      <c r="C4" s="15" t="s">
        <v>86</v>
      </c>
      <c r="D4" s="15" t="s">
        <v>619</v>
      </c>
      <c r="E4" s="15" t="s">
        <v>620</v>
      </c>
      <c r="F4" s="15" t="s">
        <v>621</v>
      </c>
      <c r="G4" s="15" t="s">
        <v>622</v>
      </c>
      <c r="H4" s="15" t="s">
        <v>623</v>
      </c>
      <c r="I4" s="15" t="s">
        <v>624</v>
      </c>
      <c r="J4" s="15" t="s">
        <v>625</v>
      </c>
      <c r="K4" s="15" t="s">
        <v>587</v>
      </c>
      <c r="L4" s="15" t="s">
        <v>626</v>
      </c>
      <c r="M4" s="15" t="s">
        <v>627</v>
      </c>
      <c r="N4" s="15" t="s">
        <v>590</v>
      </c>
      <c r="O4" s="15" t="s">
        <v>628</v>
      </c>
      <c r="P4" s="15" t="s">
        <v>77</v>
      </c>
      <c r="Q4" s="15" t="s">
        <v>64</v>
      </c>
      <c r="R4" s="15" t="s">
        <v>66</v>
      </c>
      <c r="S4" s="15" t="s">
        <v>68</v>
      </c>
      <c r="T4" s="15" t="s">
        <v>629</v>
      </c>
    </row>
    <row r="5" customFormat="false" ht="26.85" hidden="false" customHeight="false" outlineLevel="0" collapsed="false">
      <c r="A5" s="22" t="s">
        <v>592</v>
      </c>
      <c r="B5" s="22" t="s">
        <v>88</v>
      </c>
      <c r="C5" s="22" t="s">
        <v>101</v>
      </c>
      <c r="D5" s="26" t="n">
        <v>402000</v>
      </c>
      <c r="E5" s="26" t="n">
        <v>395000</v>
      </c>
      <c r="F5" s="26" t="n">
        <v>418000</v>
      </c>
      <c r="G5" s="26" t="n">
        <v>409000</v>
      </c>
      <c r="H5" s="26" t="n">
        <v>386000</v>
      </c>
      <c r="I5" s="26" t="n">
        <v>412000</v>
      </c>
      <c r="J5" s="26" t="n">
        <v>371000</v>
      </c>
      <c r="K5" s="28" t="n">
        <f aca="false">IF(I5=0,IF(H5=0,0,1),H5/I5-1)</f>
        <v>-0.0631067961165048</v>
      </c>
      <c r="L5" s="28" t="n">
        <f aca="false">IF(J5=0,0,H5/J5-1)</f>
        <v>0.0404312668463611</v>
      </c>
      <c r="M5" s="29" t="n">
        <v>0.03</v>
      </c>
      <c r="N5" s="23" t="str">
        <f aca="false">IF(M5="","Set a tolerance",IF(ROUND(IF(C5="Band",-ABS(K5),IF(C5="Lower",-K5,K5)),6)&gt;M5,"Ahead",IF(ROUND(IF(C5="Band",-ABS(K5),IF(C5="Lower",-K5,K5)),6)&gt;=-M5,"On plan","Act")))</f>
        <v>Act</v>
      </c>
      <c r="O5" s="23" t="str">
        <f aca="false">IFERROR(IF(ABS(SLOPE(D5:H5,{1,2,3,4,5}))&lt;0.0001*MAX(ABS(AVERAGE(D5:H5)),0.000001),"Flat",IF((SLOPE(D5:H5,{1,2,3,4,5})&gt;0)=(C5="Higher"),"Improving","Worsening")),"Flat")</f>
        <v>Worsening</v>
      </c>
      <c r="P5" s="22" t="s">
        <v>92</v>
      </c>
      <c r="Q5" s="30" t="str">
        <f aca="false">TEXT(K5,"+0.0%;-0.0%;0.0%")&amp;" against plan, "&amp;TEXT(L5,"+0.0%;-0.0%;0.0%")&amp;" against last year, "&amp;LOWER(O5)</f>
        <v>-6.3% against plan, +4.0% against last year, worsening</v>
      </c>
      <c r="R5" s="20" t="s">
        <v>630</v>
      </c>
      <c r="S5" s="20" t="s">
        <v>631</v>
      </c>
      <c r="T5" s="22" t="s">
        <v>623</v>
      </c>
    </row>
    <row r="6" customFormat="false" ht="26.85" hidden="false" customHeight="false" outlineLevel="0" collapsed="false">
      <c r="A6" s="22" t="s">
        <v>104</v>
      </c>
      <c r="B6" s="22" t="s">
        <v>103</v>
      </c>
      <c r="C6" s="22" t="s">
        <v>101</v>
      </c>
      <c r="D6" s="26" t="n">
        <v>101000</v>
      </c>
      <c r="E6" s="26" t="n">
        <v>97000</v>
      </c>
      <c r="F6" s="26" t="n">
        <v>104000</v>
      </c>
      <c r="G6" s="26" t="n">
        <v>99000</v>
      </c>
      <c r="H6" s="26" t="n">
        <v>88000</v>
      </c>
      <c r="I6" s="26" t="n">
        <v>103000</v>
      </c>
      <c r="J6" s="26" t="n">
        <v>92000</v>
      </c>
      <c r="K6" s="28" t="n">
        <f aca="false">IF(I6=0,IF(H6=0,0,1),H6/I6-1)</f>
        <v>-0.145631067961165</v>
      </c>
      <c r="L6" s="28" t="n">
        <f aca="false">IF(J6=0,0,H6/J6-1)</f>
        <v>-0.0434782608695652</v>
      </c>
      <c r="M6" s="29" t="n">
        <v>0.05</v>
      </c>
      <c r="N6" s="23" t="str">
        <f aca="false">IF(M6="","Set a tolerance",IF(ROUND(IF(C6="Band",-ABS(K6),IF(C6="Lower",-K6,K6)),6)&gt;M6,"Ahead",IF(ROUND(IF(C6="Band",-ABS(K6),IF(C6="Lower",-K6,K6)),6)&gt;=-M6,"On plan","Act")))</f>
        <v>Act</v>
      </c>
      <c r="O6" s="23" t="str">
        <f aca="false">IFERROR(IF(ABS(SLOPE(D6:H6,{1,2,3,4,5}))&lt;0.0001*MAX(ABS(AVERAGE(D6:H6)),0.000001),"Flat",IF((SLOPE(D6:H6,{1,2,3,4,5})&gt;0)=(C6="Higher"),"Improving","Worsening")),"Flat")</f>
        <v>Worsening</v>
      </c>
      <c r="P6" s="22" t="s">
        <v>105</v>
      </c>
      <c r="Q6" s="30" t="str">
        <f aca="false">TEXT(K6,"+0.0%;-0.0%;0.0%")&amp;" against plan, "&amp;TEXT(L6,"+0.0%;-0.0%;0.0%")&amp;" against last year, "&amp;LOWER(O6)</f>
        <v>-14.6% against plan, -4.3% against last year, worsening</v>
      </c>
      <c r="R6" s="20" t="s">
        <v>632</v>
      </c>
      <c r="S6" s="20" t="s">
        <v>633</v>
      </c>
      <c r="T6" s="22" t="s">
        <v>634</v>
      </c>
    </row>
    <row r="7" customFormat="false" ht="26.85" hidden="false" customHeight="false" outlineLevel="0" collapsed="false">
      <c r="A7" s="22" t="s">
        <v>115</v>
      </c>
      <c r="B7" s="22" t="s">
        <v>114</v>
      </c>
      <c r="C7" s="22" t="s">
        <v>101</v>
      </c>
      <c r="D7" s="29" t="n">
        <v>0.551</v>
      </c>
      <c r="E7" s="29" t="n">
        <v>0.549</v>
      </c>
      <c r="F7" s="29" t="n">
        <v>0.547</v>
      </c>
      <c r="G7" s="29" t="n">
        <v>0.544</v>
      </c>
      <c r="H7" s="29" t="n">
        <v>0.538</v>
      </c>
      <c r="I7" s="29" t="n">
        <v>0.55</v>
      </c>
      <c r="J7" s="29" t="n">
        <v>0.546</v>
      </c>
      <c r="K7" s="28" t="n">
        <f aca="false">IF(I7=0,IF(H7=0,0,1),H7/I7-1)</f>
        <v>-0.0218181818181818</v>
      </c>
      <c r="L7" s="28" t="n">
        <f aca="false">IF(J7=0,0,H7/J7-1)</f>
        <v>-0.0146520146520147</v>
      </c>
      <c r="M7" s="29" t="n">
        <v>0.02</v>
      </c>
      <c r="N7" s="23" t="str">
        <f aca="false">IF(M7="","Set a tolerance",IF(ROUND(IF(C7="Band",-ABS(K7),IF(C7="Lower",-K7,K7)),6)&gt;M7,"Ahead",IF(ROUND(IF(C7="Band",-ABS(K7),IF(C7="Lower",-K7,K7)),6)&gt;=-M7,"On plan","Act")))</f>
        <v>Act</v>
      </c>
      <c r="O7" s="23" t="str">
        <f aca="false">IFERROR(IF(ABS(SLOPE(D7:H7,{1,2,3,4,5}))&lt;0.0001*MAX(ABS(AVERAGE(D7:H7)),0.000001),"Flat",IF((SLOPE(D7:H7,{1,2,3,4,5})&gt;0)=(C7="Higher"),"Improving","Worsening")),"Flat")</f>
        <v>Worsening</v>
      </c>
      <c r="P7" s="22" t="s">
        <v>117</v>
      </c>
      <c r="Q7" s="30" t="str">
        <f aca="false">TEXT(K7,"+0.0%;-0.0%;0.0%")&amp;" against plan, "&amp;TEXT(L7,"+0.0%;-0.0%;0.0%")&amp;" against last year, "&amp;LOWER(O7)</f>
        <v>-2.2% against plan, -1.5% against last year, worsening</v>
      </c>
      <c r="R7" s="20" t="s">
        <v>635</v>
      </c>
      <c r="S7" s="20" t="s">
        <v>636</v>
      </c>
      <c r="T7" s="22" t="s">
        <v>634</v>
      </c>
    </row>
    <row r="8" customFormat="false" ht="26.85" hidden="false" customHeight="false" outlineLevel="0" collapsed="false">
      <c r="A8" s="22" t="s">
        <v>160</v>
      </c>
      <c r="B8" s="22" t="s">
        <v>159</v>
      </c>
      <c r="C8" s="22" t="s">
        <v>101</v>
      </c>
      <c r="D8" s="33" t="n">
        <v>2950</v>
      </c>
      <c r="E8" s="33" t="n">
        <v>2880</v>
      </c>
      <c r="F8" s="33" t="n">
        <v>3020</v>
      </c>
      <c r="G8" s="33" t="n">
        <v>2990</v>
      </c>
      <c r="H8" s="33" t="n">
        <v>2840</v>
      </c>
      <c r="I8" s="33" t="n">
        <v>2950</v>
      </c>
      <c r="J8" s="33" t="n">
        <v>2700</v>
      </c>
      <c r="K8" s="28" t="n">
        <f aca="false">IF(I8=0,IF(H8=0,0,1),H8/I8-1)</f>
        <v>-0.0372881355932203</v>
      </c>
      <c r="L8" s="28" t="n">
        <f aca="false">IF(J8=0,0,H8/J8-1)</f>
        <v>0.0518518518518518</v>
      </c>
      <c r="M8" s="29" t="n">
        <v>0.08</v>
      </c>
      <c r="N8" s="23" t="str">
        <f aca="false">IF(M8="","Set a tolerance",IF(ROUND(IF(C8="Band",-ABS(K8),IF(C8="Lower",-K8,K8)),6)&gt;M8,"Ahead",IF(ROUND(IF(C8="Band",-ABS(K8),IF(C8="Lower",-K8,K8)),6)&gt;=-M8,"On plan","Act")))</f>
        <v>On plan</v>
      </c>
      <c r="O8" s="23" t="str">
        <f aca="false">IFERROR(IF(ABS(SLOPE(D8:H8,{1,2,3,4,5}))&lt;0.0001*MAX(ABS(AVERAGE(D8:H8)),0.000001),"Flat",IF((SLOPE(D8:H8,{1,2,3,4,5})&gt;0)=(C8="Higher"),"Improving","Worsening")),"Flat")</f>
        <v>Worsening</v>
      </c>
      <c r="P8" s="22" t="s">
        <v>92</v>
      </c>
      <c r="Q8" s="30" t="str">
        <f aca="false">TEXT(K8,"+0.0%;-0.0%;0.0%")&amp;" against plan, "&amp;TEXT(L8,"+0.0%;-0.0%;0.0%")&amp;" against last year, "&amp;LOWER(O8)</f>
        <v>-3.7% against plan, +5.2% against last year, worsening</v>
      </c>
      <c r="R8" s="20" t="s">
        <v>637</v>
      </c>
      <c r="S8" s="20" t="s">
        <v>638</v>
      </c>
      <c r="T8" s="22" t="s">
        <v>639</v>
      </c>
    </row>
    <row r="9" customFormat="false" ht="26.85" hidden="false" customHeight="false" outlineLevel="0" collapsed="false">
      <c r="A9" s="22" t="s">
        <v>188</v>
      </c>
      <c r="B9" s="22" t="s">
        <v>187</v>
      </c>
      <c r="C9" s="22" t="s">
        <v>199</v>
      </c>
      <c r="D9" s="37" t="n">
        <v>19.8</v>
      </c>
      <c r="E9" s="37" t="n">
        <v>20.4</v>
      </c>
      <c r="F9" s="37" t="n">
        <v>20.1</v>
      </c>
      <c r="G9" s="37" t="n">
        <v>21.6</v>
      </c>
      <c r="H9" s="37" t="n">
        <v>23.4</v>
      </c>
      <c r="I9" s="37" t="n">
        <v>20.5</v>
      </c>
      <c r="J9" s="37" t="n">
        <v>19.2</v>
      </c>
      <c r="K9" s="28" t="n">
        <f aca="false">IF(I9=0,IF(H9=0,0,1),H9/I9-1)</f>
        <v>0.141463414634146</v>
      </c>
      <c r="L9" s="28" t="n">
        <f aca="false">IF(J9=0,0,H9/J9-1)</f>
        <v>0.21875</v>
      </c>
      <c r="M9" s="29" t="n">
        <v>0.1</v>
      </c>
      <c r="N9" s="23" t="str">
        <f aca="false">IF(M9="","Set a tolerance",IF(ROUND(IF(C9="Band",-ABS(K9),IF(C9="Lower",-K9,K9)),6)&gt;M9,"Ahead",IF(ROUND(IF(C9="Band",-ABS(K9),IF(C9="Lower",-K9,K9)),6)&gt;=-M9,"On plan","Act")))</f>
        <v>Act</v>
      </c>
      <c r="O9" s="23" t="str">
        <f aca="false">IFERROR(IF(ABS(SLOPE(D9:H9,{1,2,3,4,5}))&lt;0.0001*MAX(ABS(AVERAGE(D9:H9)),0.000001),"Flat",IF((SLOPE(D9:H9,{1,2,3,4,5})&gt;0)=(C9="Higher"),"Improving","Worsening")),"Flat")</f>
        <v>Worsening</v>
      </c>
      <c r="P9" s="22" t="s">
        <v>190</v>
      </c>
      <c r="Q9" s="30" t="str">
        <f aca="false">TEXT(K9,"+0.0%;-0.0%;0.0%")&amp;" against plan, "&amp;TEXT(L9,"+0.0%;-0.0%;0.0%")&amp;" against last year, "&amp;LOWER(O9)</f>
        <v>+14.1% against plan, +21.9% against last year, worsening</v>
      </c>
      <c r="R9" s="20" t="s">
        <v>640</v>
      </c>
      <c r="S9" s="20" t="s">
        <v>641</v>
      </c>
      <c r="T9" s="22" t="s">
        <v>642</v>
      </c>
    </row>
    <row r="10" customFormat="false" ht="26.85" hidden="false" customHeight="false" outlineLevel="0" collapsed="false">
      <c r="A10" s="22" t="s">
        <v>325</v>
      </c>
      <c r="B10" s="22" t="s">
        <v>324</v>
      </c>
      <c r="C10" s="22" t="s">
        <v>101</v>
      </c>
      <c r="D10" s="38" t="n">
        <v>0.0915</v>
      </c>
      <c r="E10" s="38" t="n">
        <v>0.0921</v>
      </c>
      <c r="F10" s="38" t="n">
        <v>0.0908</v>
      </c>
      <c r="G10" s="38" t="n">
        <v>0.0889</v>
      </c>
      <c r="H10" s="38" t="n">
        <v>0.0846</v>
      </c>
      <c r="I10" s="38" t="n">
        <v>0.092</v>
      </c>
      <c r="J10" s="38" t="n">
        <v>0.089</v>
      </c>
      <c r="K10" s="28" t="n">
        <f aca="false">IF(I10=0,IF(H10=0,0,1),H10/I10-1)</f>
        <v>-0.0804347826086957</v>
      </c>
      <c r="L10" s="28" t="n">
        <f aca="false">IF(J10=0,0,H10/J10-1)</f>
        <v>-0.049438202247191</v>
      </c>
      <c r="M10" s="29" t="n">
        <v>0.05</v>
      </c>
      <c r="N10" s="23" t="str">
        <f aca="false">IF(M10="","Set a tolerance",IF(ROUND(IF(C10="Band",-ABS(K10),IF(C10="Lower",-K10,K10)),6)&gt;M10,"Ahead",IF(ROUND(IF(C10="Band",-ABS(K10),IF(C10="Lower",-K10,K10)),6)&gt;=-M10,"On plan","Act")))</f>
        <v>Act</v>
      </c>
      <c r="O10" s="23" t="str">
        <f aca="false">IFERROR(IF(ABS(SLOPE(D10:H10,{1,2,3,4,5}))&lt;0.0001*MAX(ABS(AVERAGE(D10:H10)),0.000001),"Flat",IF((SLOPE(D10:H10,{1,2,3,4,5})&gt;0)=(C10="Higher"),"Improving","Worsening")),"Flat")</f>
        <v>Worsening</v>
      </c>
      <c r="P10" s="22" t="s">
        <v>92</v>
      </c>
      <c r="Q10" s="30" t="str">
        <f aca="false">TEXT(K10,"+0.0%;-0.0%;0.0%")&amp;" against plan, "&amp;TEXT(L10,"+0.0%;-0.0%;0.0%")&amp;" against last year, "&amp;LOWER(O10)</f>
        <v>-8.0% against plan, -4.9% against last year, worsening</v>
      </c>
      <c r="R10" s="20" t="s">
        <v>643</v>
      </c>
      <c r="S10" s="20" t="s">
        <v>644</v>
      </c>
      <c r="T10" s="22" t="s">
        <v>623</v>
      </c>
    </row>
    <row r="11" customFormat="false" ht="26.85" hidden="false" customHeight="false" outlineLevel="0" collapsed="false">
      <c r="A11" s="22" t="s">
        <v>398</v>
      </c>
      <c r="B11" s="22" t="s">
        <v>397</v>
      </c>
      <c r="C11" s="22" t="s">
        <v>101</v>
      </c>
      <c r="D11" s="37" t="n">
        <v>74.1</v>
      </c>
      <c r="E11" s="37" t="n">
        <v>73.6</v>
      </c>
      <c r="F11" s="37" t="n">
        <v>75.2</v>
      </c>
      <c r="G11" s="37" t="n">
        <v>74.8</v>
      </c>
      <c r="H11" s="37" t="n">
        <v>76.1</v>
      </c>
      <c r="I11" s="37" t="n">
        <v>74.5</v>
      </c>
      <c r="J11" s="37" t="n">
        <v>72.9</v>
      </c>
      <c r="K11" s="28" t="n">
        <f aca="false">IF(I11=0,IF(H11=0,0,1),H11/I11-1)</f>
        <v>0.0214765100671139</v>
      </c>
      <c r="L11" s="28" t="n">
        <f aca="false">IF(J11=0,0,H11/J11-1)</f>
        <v>0.0438957475994513</v>
      </c>
      <c r="M11" s="29" t="n">
        <v>0.04</v>
      </c>
      <c r="N11" s="23" t="str">
        <f aca="false">IF(M11="","Set a tolerance",IF(ROUND(IF(C11="Band",-ABS(K11),IF(C11="Lower",-K11,K11)),6)&gt;M11,"Ahead",IF(ROUND(IF(C11="Band",-ABS(K11),IF(C11="Lower",-K11,K11)),6)&gt;=-M11,"On plan","Act")))</f>
        <v>On plan</v>
      </c>
      <c r="O11" s="23" t="str">
        <f aca="false">IFERROR(IF(ABS(SLOPE(D11:H11,{1,2,3,4,5}))&lt;0.0001*MAX(ABS(AVERAGE(D11:H11)),0.000001),"Flat",IF((SLOPE(D11:H11,{1,2,3,4,5})&gt;0)=(C11="Higher"),"Improving","Worsening")),"Flat")</f>
        <v>Improving</v>
      </c>
      <c r="P11" s="22" t="s">
        <v>117</v>
      </c>
      <c r="Q11" s="30" t="str">
        <f aca="false">TEXT(K11,"+0.0%;-0.0%;0.0%")&amp;" against plan, "&amp;TEXT(L11,"+0.0%;-0.0%;0.0%")&amp;" against last year, "&amp;LOWER(O11)</f>
        <v>+2.1% against plan, +4.4% against last year, improving</v>
      </c>
      <c r="R11" s="20" t="s">
        <v>645</v>
      </c>
      <c r="S11" s="20" t="s">
        <v>646</v>
      </c>
      <c r="T11" s="22"/>
    </row>
    <row r="12" customFormat="false" ht="26.85" hidden="false" customHeight="false" outlineLevel="0" collapsed="false">
      <c r="A12" s="22" t="s">
        <v>421</v>
      </c>
      <c r="B12" s="22" t="s">
        <v>420</v>
      </c>
      <c r="C12" s="22" t="s">
        <v>101</v>
      </c>
      <c r="D12" s="29" t="n">
        <v>0.94</v>
      </c>
      <c r="E12" s="29" t="n">
        <v>0.93</v>
      </c>
      <c r="F12" s="29" t="n">
        <v>0.91</v>
      </c>
      <c r="G12" s="29" t="n">
        <v>0.89</v>
      </c>
      <c r="H12" s="29" t="n">
        <v>0.86</v>
      </c>
      <c r="I12" s="29" t="n">
        <v>0.93</v>
      </c>
      <c r="J12" s="29" t="n">
        <v>0.92</v>
      </c>
      <c r="K12" s="28" t="n">
        <f aca="false">IF(I12=0,IF(H12=0,0,1),H12/I12-1)</f>
        <v>-0.0752688172043011</v>
      </c>
      <c r="L12" s="28" t="n">
        <f aca="false">IF(J12=0,0,H12/J12-1)</f>
        <v>-0.0652173913043479</v>
      </c>
      <c r="M12" s="29" t="n">
        <v>0.03</v>
      </c>
      <c r="N12" s="23" t="str">
        <f aca="false">IF(M12="","Set a tolerance",IF(ROUND(IF(C12="Band",-ABS(K12),IF(C12="Lower",-K12,K12)),6)&gt;M12,"Ahead",IF(ROUND(IF(C12="Band",-ABS(K12),IF(C12="Lower",-K12,K12)),6)&gt;=-M12,"On plan","Act")))</f>
        <v>Act</v>
      </c>
      <c r="O12" s="23" t="str">
        <f aca="false">IFERROR(IF(ABS(SLOPE(D12:H12,{1,2,3,4,5}))&lt;0.0001*MAX(ABS(AVERAGE(D12:H12)),0.000001),"Flat",IF((SLOPE(D12:H12,{1,2,3,4,5})&gt;0)=(C12="Higher"),"Improving","Worsening")),"Flat")</f>
        <v>Worsening</v>
      </c>
      <c r="P12" s="22" t="s">
        <v>117</v>
      </c>
      <c r="Q12" s="30" t="str">
        <f aca="false">TEXT(K12,"+0.0%;-0.0%;0.0%")&amp;" against plan, "&amp;TEXT(L12,"+0.0%;-0.0%;0.0%")&amp;" against last year, "&amp;LOWER(O12)</f>
        <v>-7.5% against plan, -6.5% against last year, worsening</v>
      </c>
      <c r="R12" s="20" t="s">
        <v>647</v>
      </c>
      <c r="S12" s="20" t="s">
        <v>648</v>
      </c>
      <c r="T12" s="22" t="s">
        <v>642</v>
      </c>
    </row>
    <row r="13" customFormat="false" ht="26.85" hidden="false" customHeight="false" outlineLevel="0" collapsed="false">
      <c r="A13" s="22" t="s">
        <v>430</v>
      </c>
      <c r="B13" s="22" t="s">
        <v>429</v>
      </c>
      <c r="C13" s="22" t="s">
        <v>101</v>
      </c>
      <c r="D13" s="29" t="n">
        <v>0.38</v>
      </c>
      <c r="E13" s="29" t="n">
        <v>0.39</v>
      </c>
      <c r="F13" s="29" t="n">
        <v>0.4</v>
      </c>
      <c r="G13" s="29" t="n">
        <v>0.41</v>
      </c>
      <c r="H13" s="29" t="n">
        <v>0.42</v>
      </c>
      <c r="I13" s="29" t="n">
        <v>0.41</v>
      </c>
      <c r="J13" s="29" t="n">
        <v>0.39</v>
      </c>
      <c r="K13" s="28" t="n">
        <f aca="false">IF(I13=0,IF(H13=0,0,1),H13/I13-1)</f>
        <v>0.024390243902439</v>
      </c>
      <c r="L13" s="28" t="n">
        <f aca="false">IF(J13=0,0,H13/J13-1)</f>
        <v>0.0769230769230769</v>
      </c>
      <c r="M13" s="29" t="n">
        <v>0.05</v>
      </c>
      <c r="N13" s="23" t="str">
        <f aca="false">IF(M13="","Set a tolerance",IF(ROUND(IF(C13="Band",-ABS(K13),IF(C13="Lower",-K13,K13)),6)&gt;M13,"Ahead",IF(ROUND(IF(C13="Band",-ABS(K13),IF(C13="Lower",-K13,K13)),6)&gt;=-M13,"On plan","Act")))</f>
        <v>On plan</v>
      </c>
      <c r="O13" s="23" t="str">
        <f aca="false">IFERROR(IF(ABS(SLOPE(D13:H13,{1,2,3,4,5}))&lt;0.0001*MAX(ABS(AVERAGE(D13:H13)),0.000001),"Flat",IF((SLOPE(D13:H13,{1,2,3,4,5})&gt;0)=(C13="Higher"),"Improving","Worsening")),"Flat")</f>
        <v>Improving</v>
      </c>
      <c r="P13" s="22" t="s">
        <v>136</v>
      </c>
      <c r="Q13" s="30" t="str">
        <f aca="false">TEXT(K13,"+0.0%;-0.0%;0.0%")&amp;" against plan, "&amp;TEXT(L13,"+0.0%;-0.0%;0.0%")&amp;" against last year, "&amp;LOWER(O13)</f>
        <v>+2.4% against plan, +7.7% against last year, improving</v>
      </c>
      <c r="R13" s="20" t="s">
        <v>649</v>
      </c>
      <c r="S13" s="20" t="s">
        <v>650</v>
      </c>
      <c r="T13" s="22" t="s">
        <v>639</v>
      </c>
    </row>
    <row r="14" customFormat="false" ht="26.85" hidden="false" customHeight="false" outlineLevel="0" collapsed="false">
      <c r="A14" s="22" t="s">
        <v>438</v>
      </c>
      <c r="B14" s="22" t="s">
        <v>437</v>
      </c>
      <c r="C14" s="22" t="s">
        <v>199</v>
      </c>
      <c r="D14" s="29" t="n">
        <v>0.081</v>
      </c>
      <c r="E14" s="29" t="n">
        <v>0.083</v>
      </c>
      <c r="F14" s="29" t="n">
        <v>0.08</v>
      </c>
      <c r="G14" s="29" t="n">
        <v>0.084</v>
      </c>
      <c r="H14" s="29" t="n">
        <v>0.086</v>
      </c>
      <c r="I14" s="29" t="n">
        <v>0.08</v>
      </c>
      <c r="J14" s="29" t="n">
        <v>0.079</v>
      </c>
      <c r="K14" s="28" t="n">
        <f aca="false">IF(I14=0,IF(H14=0,0,1),H14/I14-1)</f>
        <v>0.075</v>
      </c>
      <c r="L14" s="28" t="n">
        <f aca="false">IF(J14=0,0,H14/J14-1)</f>
        <v>0.0886075949367087</v>
      </c>
      <c r="M14" s="29" t="n">
        <v>0.1</v>
      </c>
      <c r="N14" s="23" t="str">
        <f aca="false">IF(M14="","Set a tolerance",IF(ROUND(IF(C14="Band",-ABS(K14),IF(C14="Lower",-K14,K14)),6)&gt;M14,"Ahead",IF(ROUND(IF(C14="Band",-ABS(K14),IF(C14="Lower",-K14,K14)),6)&gt;=-M14,"On plan","Act")))</f>
        <v>On plan</v>
      </c>
      <c r="O14" s="23" t="str">
        <f aca="false">IFERROR(IF(ABS(SLOPE(D14:H14,{1,2,3,4,5}))&lt;0.0001*MAX(ABS(AVERAGE(D14:H14)),0.000001),"Flat",IF((SLOPE(D14:H14,{1,2,3,4,5})&gt;0)=(C14="Higher"),"Improving","Worsening")),"Flat")</f>
        <v>Worsening</v>
      </c>
      <c r="P14" s="22" t="s">
        <v>117</v>
      </c>
      <c r="Q14" s="30" t="str">
        <f aca="false">TEXT(K14,"+0.0%;-0.0%;0.0%")&amp;" against plan, "&amp;TEXT(L14,"+0.0%;-0.0%;0.0%")&amp;" against last year, "&amp;LOWER(O14)</f>
        <v>+7.5% against plan, +8.9% against last year, worsening</v>
      </c>
      <c r="R14" s="20" t="s">
        <v>651</v>
      </c>
      <c r="S14" s="20" t="s">
        <v>652</v>
      </c>
      <c r="T14" s="22" t="s">
        <v>653</v>
      </c>
    </row>
    <row r="15" customFormat="false" ht="26.85" hidden="false" customHeight="false" outlineLevel="0" collapsed="false">
      <c r="A15" s="22" t="s">
        <v>473</v>
      </c>
      <c r="B15" s="22" t="s">
        <v>472</v>
      </c>
      <c r="C15" s="22" t="s">
        <v>199</v>
      </c>
      <c r="D15" s="29" t="n">
        <v>0.255</v>
      </c>
      <c r="E15" s="29" t="n">
        <v>0.259</v>
      </c>
      <c r="F15" s="29" t="n">
        <v>0.262</v>
      </c>
      <c r="G15" s="29" t="n">
        <v>0.266</v>
      </c>
      <c r="H15" s="29" t="n">
        <v>0.271</v>
      </c>
      <c r="I15" s="29" t="n">
        <v>0.255</v>
      </c>
      <c r="J15" s="29" t="n">
        <v>0.252</v>
      </c>
      <c r="K15" s="28" t="n">
        <f aca="false">IF(I15=0,IF(H15=0,0,1),H15/I15-1)</f>
        <v>0.0627450980392157</v>
      </c>
      <c r="L15" s="28" t="n">
        <f aca="false">IF(J15=0,0,H15/J15-1)</f>
        <v>0.0753968253968256</v>
      </c>
      <c r="M15" s="29" t="n">
        <v>0.04</v>
      </c>
      <c r="N15" s="23" t="str">
        <f aca="false">IF(M15="","Set a tolerance",IF(ROUND(IF(C15="Band",-ABS(K15),IF(C15="Lower",-K15,K15)),6)&gt;M15,"Ahead",IF(ROUND(IF(C15="Band",-ABS(K15),IF(C15="Lower",-K15,K15)),6)&gt;=-M15,"On plan","Act")))</f>
        <v>Act</v>
      </c>
      <c r="O15" s="23" t="str">
        <f aca="false">IFERROR(IF(ABS(SLOPE(D15:H15,{1,2,3,4,5}))&lt;0.0001*MAX(ABS(AVERAGE(D15:H15)),0.000001),"Flat",IF((SLOPE(D15:H15,{1,2,3,4,5})&gt;0)=(C15="Higher"),"Improving","Worsening")),"Flat")</f>
        <v>Worsening</v>
      </c>
      <c r="P15" s="22" t="s">
        <v>92</v>
      </c>
      <c r="Q15" s="30" t="str">
        <f aca="false">TEXT(K15,"+0.0%;-0.0%;0.0%")&amp;" against plan, "&amp;TEXT(L15,"+0.0%;-0.0%;0.0%")&amp;" against last year, "&amp;LOWER(O15)</f>
        <v>+6.3% against plan, +7.5% against last year, worsening</v>
      </c>
      <c r="R15" s="20" t="s">
        <v>654</v>
      </c>
      <c r="S15" s="20" t="s">
        <v>655</v>
      </c>
      <c r="T15" s="22" t="s">
        <v>634</v>
      </c>
    </row>
    <row r="16" customFormat="false" ht="26.85" hidden="false" customHeight="false" outlineLevel="0" collapsed="false">
      <c r="A16" s="22" t="s">
        <v>496</v>
      </c>
      <c r="B16" s="22" t="s">
        <v>495</v>
      </c>
      <c r="C16" s="22" t="s">
        <v>101</v>
      </c>
      <c r="D16" s="29" t="n">
        <v>0.962</v>
      </c>
      <c r="E16" s="29" t="n">
        <v>0.958</v>
      </c>
      <c r="F16" s="29" t="n">
        <v>0.966</v>
      </c>
      <c r="G16" s="29" t="n">
        <v>0.961</v>
      </c>
      <c r="H16" s="29" t="n">
        <v>0.957</v>
      </c>
      <c r="I16" s="29" t="n">
        <v>0.96</v>
      </c>
      <c r="J16" s="29" t="n">
        <v>0.951</v>
      </c>
      <c r="K16" s="28" t="n">
        <f aca="false">IF(I16=0,IF(H16=0,0,1),H16/I16-1)</f>
        <v>-0.00312500000000004</v>
      </c>
      <c r="L16" s="28" t="n">
        <f aca="false">IF(J16=0,0,H16/J16-1)</f>
        <v>0.00630914826498419</v>
      </c>
      <c r="M16" s="29" t="n">
        <v>0.02</v>
      </c>
      <c r="N16" s="23" t="str">
        <f aca="false">IF(M16="","Set a tolerance",IF(ROUND(IF(C16="Band",-ABS(K16),IF(C16="Lower",-K16,K16)),6)&gt;M16,"Ahead",IF(ROUND(IF(C16="Band",-ABS(K16),IF(C16="Lower",-K16,K16)),6)&gt;=-M16,"On plan","Act")))</f>
        <v>On plan</v>
      </c>
      <c r="O16" s="23" t="str">
        <f aca="false">IFERROR(IF(ABS(SLOPE(D16:H16,{1,2,3,4,5}))&lt;0.0001*MAX(ABS(AVERAGE(D16:H16)),0.000001),"Flat",IF((SLOPE(D16:H16,{1,2,3,4,5})&gt;0)=(C16="Higher"),"Improving","Worsening")),"Flat")</f>
        <v>Worsening</v>
      </c>
      <c r="P16" s="22" t="s">
        <v>486</v>
      </c>
      <c r="Q16" s="30" t="str">
        <f aca="false">TEXT(K16,"+0.0%;-0.0%;0.0%")&amp;" against plan, "&amp;TEXT(L16,"+0.0%;-0.0%;0.0%")&amp;" against last year, "&amp;LOWER(O16)</f>
        <v>-0.3% against plan, +0.6% against last year, worsening</v>
      </c>
      <c r="R16" s="20" t="s">
        <v>656</v>
      </c>
      <c r="S16" s="20" t="s">
        <v>657</v>
      </c>
      <c r="T16" s="22" t="s">
        <v>639</v>
      </c>
    </row>
    <row r="17" customFormat="false" ht="26.85" hidden="false" customHeight="false" outlineLevel="0" collapsed="false">
      <c r="A17" s="22" t="s">
        <v>658</v>
      </c>
      <c r="B17" s="22" t="s">
        <v>532</v>
      </c>
      <c r="C17" s="22" t="s">
        <v>199</v>
      </c>
      <c r="D17" s="33" t="n">
        <v>0</v>
      </c>
      <c r="E17" s="33" t="n">
        <v>12</v>
      </c>
      <c r="F17" s="33" t="n">
        <v>0</v>
      </c>
      <c r="G17" s="33" t="n">
        <v>0</v>
      </c>
      <c r="H17" s="33" t="n">
        <v>38</v>
      </c>
      <c r="I17" s="33" t="n">
        <v>0</v>
      </c>
      <c r="J17" s="33" t="n">
        <v>0</v>
      </c>
      <c r="K17" s="28" t="n">
        <f aca="false">IF(I17=0,IF(H17=0,0,1),H17/I17-1)</f>
        <v>1</v>
      </c>
      <c r="L17" s="28" t="n">
        <f aca="false">IF(J17=0,0,H17/J17-1)</f>
        <v>0</v>
      </c>
      <c r="M17" s="29" t="n">
        <v>0</v>
      </c>
      <c r="N17" s="23" t="str">
        <f aca="false">IF(M17="","Set a tolerance",IF(ROUND(IF(C17="Band",-ABS(K17),IF(C17="Lower",-K17,K17)),6)&gt;M17,"Ahead",IF(ROUND(IF(C17="Band",-ABS(K17),IF(C17="Lower",-K17,K17)),6)&gt;=-M17,"On plan","Act")))</f>
        <v>Act</v>
      </c>
      <c r="O17" s="23" t="str">
        <f aca="false">IFERROR(IF(ABS(SLOPE(D17:H17,{1,2,3,4,5}))&lt;0.0001*MAX(ABS(AVERAGE(D17:H17)),0.000001),"Flat",IF((SLOPE(D17:H17,{1,2,3,4,5})&gt;0)=(C17="Higher"),"Improving","Worsening")),"Flat")</f>
        <v>Worsening</v>
      </c>
      <c r="P17" s="22" t="s">
        <v>92</v>
      </c>
      <c r="Q17" s="30" t="str">
        <f aca="false">TEXT(K17,"+0.0%;-0.0%;0.0%")&amp;" against plan, "&amp;TEXT(L17,"+0.0%;-0.0%;0.0%")&amp;" against last year, "&amp;LOWER(O17)</f>
        <v>+100.0% against plan, 0.0% against last year, worsening</v>
      </c>
      <c r="R17" s="20" t="s">
        <v>659</v>
      </c>
      <c r="S17" s="20" t="s">
        <v>660</v>
      </c>
      <c r="T17" s="22" t="s">
        <v>661</v>
      </c>
    </row>
    <row r="19" customFormat="false" ht="15" hidden="false" customHeight="false" outlineLevel="0" collapsed="false">
      <c r="A19" s="9" t="s">
        <v>662</v>
      </c>
    </row>
  </sheetData>
  <sheetProtection sheet="true" formatColumns="false" formatRows="false" sort="false" autoFilter="false"/>
  <conditionalFormatting sqref="N5:N17">
    <cfRule type="cellIs" priority="2" operator="equal" aboveAverage="0" equalAverage="0" bottom="0" percent="0" rank="0" text="" dxfId="0">
      <formula>"PASS"</formula>
    </cfRule>
    <cfRule type="cellIs" priority="3" operator="equal" aboveAverage="0" equalAverage="0" bottom="0" percent="0" rank="0" text="" dxfId="0">
      <formula>"On plan"</formula>
    </cfRule>
    <cfRule type="cellIs" priority="4" operator="equal" aboveAverage="0" equalAverage="0" bottom="0" percent="0" rank="0" text="" dxfId="0">
      <formula>"OK"</formula>
    </cfRule>
    <cfRule type="cellIs" priority="5" operator="equal" aboveAverage="0" equalAverage="0" bottom="0" percent="0" rank="0" text="" dxfId="0">
      <formula>"Ahead"</formula>
    </cfRule>
    <cfRule type="cellIs" priority="6" operator="equal" aboveAverage="0" equalAverage="0" bottom="0" percent="0" rank="0" text="" dxfId="1">
      <formula>"WARN"</formula>
    </cfRule>
    <cfRule type="cellIs" priority="7" operator="equal" aboveAverage="0" equalAverage="0" bottom="0" percent="0" rank="0" text="" dxfId="1">
      <formula>"Watch"</formula>
    </cfRule>
    <cfRule type="cellIs" priority="8" operator="equal" aboveAverage="0" equalAverage="0" bottom="0" percent="0" rank="0" text="" dxfId="2">
      <formula>"FAIL"</formula>
    </cfRule>
    <cfRule type="cellIs" priority="9" operator="equal" aboveAverage="0" equalAverage="0" bottom="0" percent="0" rank="0" text="" dxfId="2">
      <formula>"Act"</formula>
    </cfRule>
  </conditionalFormatting>
  <conditionalFormatting sqref="O5:O17">
    <cfRule type="cellIs" priority="10" operator="equal" aboveAverage="0" equalAverage="0" bottom="0" percent="0" rank="0" text="" dxfId="1">
      <formula>"Worsening"</formula>
    </cfRule>
  </conditionalFormatting>
  <dataValidations count="1">
    <dataValidation allowBlank="false" errorStyle="stop" operator="between" showDropDown="false" showErrorMessage="false" showInputMessage="false" sqref="C5:C17" type="list">
      <formula1>"Higher,Lower,Band"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6"/>
    <col collapsed="false" customWidth="true" hidden="false" outlineLevel="0" max="3" min="3" style="0" width="9"/>
    <col collapsed="false" customWidth="true" hidden="false" outlineLevel="0" max="5" min="4" style="0" width="12"/>
    <col collapsed="false" customWidth="true" hidden="false" outlineLevel="0" max="6" min="6" style="0" width="14"/>
    <col collapsed="false" customWidth="true" hidden="false" outlineLevel="0" max="7" min="7" style="0" width="28"/>
    <col collapsed="false" customWidth="true" hidden="false" outlineLevel="0" max="8" min="8" style="0" width="24"/>
    <col collapsed="false" customWidth="true" hidden="false" outlineLevel="0" max="10" min="9" style="0" width="50"/>
  </cols>
  <sheetData>
    <row r="1" customFormat="false" ht="17.35" hidden="false" customHeight="false" outlineLevel="0" collapsed="false">
      <c r="A1" s="1" t="s">
        <v>663</v>
      </c>
    </row>
    <row r="2" customFormat="false" ht="15" hidden="false" customHeight="false" outlineLevel="0" collapsed="false">
      <c r="A2" s="2" t="s">
        <v>664</v>
      </c>
    </row>
    <row r="4" customFormat="false" ht="36" hidden="false" customHeight="true" outlineLevel="0" collapsed="false">
      <c r="A4" s="15" t="s">
        <v>577</v>
      </c>
      <c r="B4" s="15" t="s">
        <v>73</v>
      </c>
      <c r="C4" s="15" t="s">
        <v>86</v>
      </c>
      <c r="D4" s="15" t="s">
        <v>665</v>
      </c>
      <c r="E4" s="15" t="s">
        <v>666</v>
      </c>
      <c r="F4" s="15" t="s">
        <v>590</v>
      </c>
      <c r="G4" s="15" t="s">
        <v>77</v>
      </c>
      <c r="H4" s="15" t="s">
        <v>64</v>
      </c>
      <c r="I4" s="15" t="s">
        <v>667</v>
      </c>
      <c r="J4" s="15" t="s">
        <v>668</v>
      </c>
    </row>
    <row r="5" customFormat="false" ht="15" hidden="false" customHeight="false" outlineLevel="0" collapsed="false">
      <c r="A5" s="11" t="s">
        <v>669</v>
      </c>
      <c r="B5" s="11"/>
      <c r="C5" s="11"/>
      <c r="D5" s="11"/>
      <c r="E5" s="11"/>
      <c r="F5" s="11"/>
      <c r="G5" s="11"/>
      <c r="H5" s="39"/>
      <c r="I5" s="40"/>
      <c r="J5" s="40"/>
    </row>
    <row r="6" customFormat="false" ht="26.85" hidden="false" customHeight="false" outlineLevel="0" collapsed="false">
      <c r="A6" s="22" t="s">
        <v>343</v>
      </c>
      <c r="B6" s="22" t="s">
        <v>342</v>
      </c>
      <c r="C6" s="22" t="s">
        <v>101</v>
      </c>
      <c r="D6" s="29" t="n">
        <v>0.074</v>
      </c>
      <c r="E6" s="29" t="n">
        <v>0.08</v>
      </c>
      <c r="F6" s="23" t="str">
        <f aca="false">IF(E6="","Set a threshold",IF(IF(C6="Lower",D6&lt;=E6,D6&gt;=E6),"OK","Act"))</f>
        <v>Act</v>
      </c>
      <c r="G6" s="22" t="s">
        <v>117</v>
      </c>
      <c r="H6" s="30" t="str">
        <f aca="false">IF(F6="Act","Beyond its threshold: act",IF(F6="OK","Within its threshold","Set a threshold"))</f>
        <v>Beyond its threshold: act</v>
      </c>
      <c r="I6" s="41" t="str">
        <f aca="false">IFERROR(INDEX('KPI Library'!$L$5:$L$63,MATCH(B6,'KPI Library'!$A$5:$A$63,0)),"Not in library")</f>
        <v>It is the first place a stock or price problem shows, before it reaches sales</v>
      </c>
      <c r="J6" s="20" t="s">
        <v>670</v>
      </c>
    </row>
    <row r="7" customFormat="false" ht="26.85" hidden="false" customHeight="false" outlineLevel="0" collapsed="false">
      <c r="A7" s="22" t="s">
        <v>370</v>
      </c>
      <c r="B7" s="22" t="s">
        <v>369</v>
      </c>
      <c r="C7" s="22" t="s">
        <v>199</v>
      </c>
      <c r="D7" s="29" t="n">
        <v>0.043</v>
      </c>
      <c r="E7" s="29" t="n">
        <v>0.05</v>
      </c>
      <c r="F7" s="23" t="str">
        <f aca="false">IF(E7="","Set a threshold",IF(IF(C7="Lower",D7&lt;=E7,D7&gt;=E7),"OK","Act"))</f>
        <v>OK</v>
      </c>
      <c r="G7" s="22" t="s">
        <v>117</v>
      </c>
      <c r="H7" s="30" t="str">
        <f aca="false">IF(F7="Act","Beyond its threshold: act",IF(F7="OK","Within its threshold","Set a threshold"))</f>
        <v>Within its threshold</v>
      </c>
      <c r="I7" s="41" t="str">
        <f aca="false">IFERROR(INDEX('KPI Library'!$L$5:$L$63,MATCH(B7,'KPI Library'!$A$5:$A$63,0)),"Not in library")</f>
        <v>A search with no results tells a customer you do not sell what they want</v>
      </c>
      <c r="J7" s="20" t="s">
        <v>671</v>
      </c>
    </row>
    <row r="8" customFormat="false" ht="26.85" hidden="false" customHeight="false" outlineLevel="0" collapsed="false">
      <c r="A8" s="22" t="s">
        <v>389</v>
      </c>
      <c r="B8" s="22" t="s">
        <v>388</v>
      </c>
      <c r="C8" s="22" t="s">
        <v>101</v>
      </c>
      <c r="D8" s="29" t="n">
        <v>0.071</v>
      </c>
      <c r="E8" s="29" t="n">
        <v>0.065</v>
      </c>
      <c r="F8" s="23" t="str">
        <f aca="false">IF(E8="","Set a threshold",IF(IF(C8="Lower",D8&lt;=E8,D8&gt;=E8),"OK","Act"))</f>
        <v>OK</v>
      </c>
      <c r="G8" s="22" t="s">
        <v>117</v>
      </c>
      <c r="H8" s="30" t="str">
        <f aca="false">IF(F8="Act","Beyond its threshold: act",IF(F8="OK","Within its threshold","Set a threshold"))</f>
        <v>Within its threshold</v>
      </c>
      <c r="I8" s="41" t="str">
        <f aca="false">IFERROR(INDEX('KPI Library'!$L$5:$L$63,MATCH(B8,'KPI Library'!$A$5:$A$63,0)),"Not in library")</f>
        <v>Searchers are the customers most ready to buy, so losing them is expensive</v>
      </c>
      <c r="J8" s="20" t="s">
        <v>672</v>
      </c>
    </row>
    <row r="9" customFormat="false" ht="26.85" hidden="false" customHeight="false" outlineLevel="0" collapsed="false">
      <c r="A9" s="22" t="s">
        <v>673</v>
      </c>
      <c r="B9" s="22" t="s">
        <v>446</v>
      </c>
      <c r="C9" s="22" t="s">
        <v>199</v>
      </c>
      <c r="D9" s="33" t="n">
        <v>7</v>
      </c>
      <c r="E9" s="33" t="n">
        <v>3</v>
      </c>
      <c r="F9" s="23" t="str">
        <f aca="false">IF(E9="","Set a threshold",IF(IF(C9="Lower",D9&lt;=E9,D9&gt;=E9),"OK","Act"))</f>
        <v>Act</v>
      </c>
      <c r="G9" s="22" t="s">
        <v>448</v>
      </c>
      <c r="H9" s="30" t="str">
        <f aca="false">IF(F9="Act","Beyond its threshold: act",IF(F9="OK","Within its threshold","Set a threshold"))</f>
        <v>Beyond its threshold: act</v>
      </c>
      <c r="I9" s="41" t="str">
        <f aca="false">IFERROR(INDEX('KPI Library'!$L$5:$L$63,MATCH(B9,'KPI Library'!$A$5:$A$63,0)),"Not in library")</f>
        <v>It shows which lines will run out before new stock can arrive</v>
      </c>
      <c r="J9" s="20" t="s">
        <v>674</v>
      </c>
    </row>
    <row r="10" customFormat="false" ht="26.85" hidden="false" customHeight="false" outlineLevel="0" collapsed="false">
      <c r="A10" s="22" t="s">
        <v>675</v>
      </c>
      <c r="B10" s="22" t="s">
        <v>456</v>
      </c>
      <c r="C10" s="22" t="s">
        <v>199</v>
      </c>
      <c r="D10" s="29" t="n">
        <v>0.12</v>
      </c>
      <c r="E10" s="29" t="n">
        <v>0.1</v>
      </c>
      <c r="F10" s="23" t="str">
        <f aca="false">IF(E10="","Set a threshold",IF(IF(C10="Lower",D10&lt;=E10,D10&gt;=E10),"OK","Act"))</f>
        <v>Act</v>
      </c>
      <c r="G10" s="22" t="s">
        <v>448</v>
      </c>
      <c r="H10" s="30" t="str">
        <f aca="false">IF(F10="Act","Beyond its threshold: act",IF(F10="OK","Within its threshold","Set a threshold"))</f>
        <v>Beyond its threshold: act</v>
      </c>
      <c r="I10" s="41" t="str">
        <f aca="false">IFERROR(INDEX('KPI Library'!$L$5:$L$63,MATCH(B10,'KPI Library'!$A$5:$A$63,0)),"Not in library")</f>
        <v>Stock that looks healthy but cannot be sold to most customers</v>
      </c>
      <c r="J10" s="20" t="s">
        <v>676</v>
      </c>
    </row>
    <row r="11" customFormat="false" ht="15" hidden="false" customHeight="false" outlineLevel="0" collapsed="false">
      <c r="H11" s="40"/>
      <c r="I11" s="40"/>
      <c r="J11" s="40"/>
    </row>
    <row r="12" customFormat="false" ht="15" hidden="false" customHeight="false" outlineLevel="0" collapsed="false">
      <c r="A12" s="11" t="s">
        <v>677</v>
      </c>
      <c r="B12" s="11"/>
      <c r="C12" s="11"/>
      <c r="D12" s="11"/>
      <c r="E12" s="11"/>
      <c r="F12" s="11"/>
      <c r="G12" s="11"/>
      <c r="H12" s="39"/>
      <c r="I12" s="40"/>
      <c r="J12" s="40"/>
    </row>
    <row r="13" customFormat="false" ht="26.85" hidden="false" customHeight="false" outlineLevel="0" collapsed="false">
      <c r="A13" s="22" t="s">
        <v>678</v>
      </c>
      <c r="B13" s="22" t="s">
        <v>268</v>
      </c>
      <c r="C13" s="22" t="s">
        <v>199</v>
      </c>
      <c r="D13" s="37" t="n">
        <v>0.52</v>
      </c>
      <c r="E13" s="37" t="n">
        <v>0.55</v>
      </c>
      <c r="F13" s="23" t="str">
        <f aca="false">IF(E13="","Set a threshold",IF(IF(C13="Lower",D13&lt;=E13,D13&gt;=E13),"OK","Act"))</f>
        <v>OK</v>
      </c>
      <c r="G13" s="22" t="s">
        <v>270</v>
      </c>
      <c r="H13" s="30" t="str">
        <f aca="false">IF(F13="Act","Beyond its threshold: act",IF(F13="OK","Within its threshold","Set a threshold"))</f>
        <v>Within its threshold</v>
      </c>
      <c r="I13" s="41" t="str">
        <f aca="false">IFERROR(INDEX('KPI Library'!$L$5:$L$63,MATCH(B13,'KPI Library'!$A$5:$A$63,0)),"Not in library")</f>
        <v>Dearer traffic means fewer visits for the same budget, or the same visits for more money</v>
      </c>
      <c r="J13" s="20" t="s">
        <v>679</v>
      </c>
    </row>
    <row r="14" customFormat="false" ht="26.85" hidden="false" customHeight="false" outlineLevel="0" collapsed="false">
      <c r="A14" s="22" t="s">
        <v>680</v>
      </c>
      <c r="B14" s="22" t="s">
        <v>241</v>
      </c>
      <c r="C14" s="22" t="s">
        <v>101</v>
      </c>
      <c r="D14" s="29" t="n">
        <v>0.41</v>
      </c>
      <c r="E14" s="29" t="n">
        <v>0.45</v>
      </c>
      <c r="F14" s="23" t="str">
        <f aca="false">IF(E14="","Set a threshold",IF(IF(C14="Lower",D14&lt;=E14,D14&gt;=E14),"OK","Act"))</f>
        <v>Act</v>
      </c>
      <c r="G14" s="22" t="s">
        <v>270</v>
      </c>
      <c r="H14" s="30" t="str">
        <f aca="false">IF(F14="Act","Beyond its threshold: act",IF(F14="OK","Within its threshold","Set a threshold"))</f>
        <v>Beyond its threshold: act</v>
      </c>
      <c r="I14" s="41" t="str">
        <f aca="false">IFERROR(INDEX('KPI Library'!$L$5:$L$63,MATCH(B14,'KPI Library'!$A$5:$A$63,0)),"Not in library")</f>
        <v>It shows whether bought traffic is the traffic you meant to buy</v>
      </c>
      <c r="J14" s="20" t="s">
        <v>681</v>
      </c>
    </row>
    <row r="15" customFormat="false" ht="26.85" hidden="false" customHeight="false" outlineLevel="0" collapsed="false">
      <c r="A15" s="22" t="s">
        <v>682</v>
      </c>
      <c r="B15" s="22" t="s">
        <v>250</v>
      </c>
      <c r="C15" s="22" t="s">
        <v>199</v>
      </c>
      <c r="D15" s="29" t="n">
        <v>0.58</v>
      </c>
      <c r="E15" s="29" t="n">
        <v>0.7</v>
      </c>
      <c r="F15" s="23" t="str">
        <f aca="false">IF(E15="","Set a threshold",IF(IF(C15="Lower",D15&lt;=E15,D15&gt;=E15),"OK","Act"))</f>
        <v>OK</v>
      </c>
      <c r="G15" s="22" t="s">
        <v>252</v>
      </c>
      <c r="H15" s="30" t="str">
        <f aca="false">IF(F15="Act","Beyond its threshold: act",IF(F15="OK","Within its threshold","Set a threshold"))</f>
        <v>Within its threshold</v>
      </c>
      <c r="I15" s="41" t="str">
        <f aca="false">IFERROR(INDEX('KPI Library'!$L$5:$L$63,MATCH(B15,'KPI Library'!$A$5:$A$63,0)),"Not in library")</f>
        <v>A paid landing page that bounces is money spent showing customers the wrong page</v>
      </c>
      <c r="J15" s="20" t="s">
        <v>683</v>
      </c>
    </row>
    <row r="16" customFormat="false" ht="15" hidden="false" customHeight="false" outlineLevel="0" collapsed="false">
      <c r="H16" s="40"/>
      <c r="I16" s="40"/>
      <c r="J16" s="40"/>
    </row>
    <row r="17" customFormat="false" ht="15" hidden="false" customHeight="false" outlineLevel="0" collapsed="false">
      <c r="A17" s="11" t="s">
        <v>153</v>
      </c>
      <c r="B17" s="11"/>
      <c r="C17" s="11"/>
      <c r="D17" s="11"/>
      <c r="E17" s="11"/>
      <c r="F17" s="11"/>
      <c r="G17" s="11"/>
      <c r="H17" s="39"/>
      <c r="I17" s="40"/>
      <c r="J17" s="40"/>
    </row>
    <row r="18" customFormat="false" ht="26.85" hidden="false" customHeight="false" outlineLevel="0" collapsed="false">
      <c r="A18" s="22" t="s">
        <v>298</v>
      </c>
      <c r="B18" s="22" t="s">
        <v>297</v>
      </c>
      <c r="C18" s="22" t="s">
        <v>101</v>
      </c>
      <c r="D18" s="37" t="n">
        <v>0.11</v>
      </c>
      <c r="E18" s="37" t="n">
        <v>0.1</v>
      </c>
      <c r="F18" s="23" t="str">
        <f aca="false">IF(E18="","Set a threshold",IF(IF(C18="Lower",D18&lt;=E18,D18&gt;=E18),"OK","Act"))</f>
        <v>OK</v>
      </c>
      <c r="G18" s="22" t="s">
        <v>150</v>
      </c>
      <c r="H18" s="30" t="str">
        <f aca="false">IF(F18="Act","Beyond its threshold: act",IF(F18="OK","Within its threshold","Set a threshold"))</f>
        <v>Within its threshold</v>
      </c>
      <c r="I18" s="41" t="str">
        <f aca="false">IFERROR(INDEX('KPI Library'!$L$5:$L$63,MATCH(B18,'KPI Library'!$A$5:$A$63,0)),"Not in library")</f>
        <v>It shows whether sends earn their keep or train customers to ignore you</v>
      </c>
      <c r="J18" s="20" t="s">
        <v>684</v>
      </c>
    </row>
    <row r="19" customFormat="false" ht="26.85" hidden="false" customHeight="false" outlineLevel="0" collapsed="false">
      <c r="A19" s="22" t="s">
        <v>685</v>
      </c>
      <c r="B19" s="22" t="s">
        <v>169</v>
      </c>
      <c r="C19" s="22" t="s">
        <v>101</v>
      </c>
      <c r="D19" s="29" t="n">
        <v>0.21</v>
      </c>
      <c r="E19" s="29" t="n">
        <v>0.2</v>
      </c>
      <c r="F19" s="23" t="str">
        <f aca="false">IF(E19="","Set a threshold",IF(IF(C19="Lower",D19&lt;=E19,D19&gt;=E19),"OK","Act"))</f>
        <v>OK</v>
      </c>
      <c r="G19" s="22" t="s">
        <v>150</v>
      </c>
      <c r="H19" s="30" t="str">
        <f aca="false">IF(F19="Act","Beyond its threshold: act",IF(F19="OK","Within its threshold","Set a threshold"))</f>
        <v>Within its threshold</v>
      </c>
      <c r="I19" s="41" t="str">
        <f aca="false">IFERROR(INDEX('KPI Library'!$L$5:$L$63,MATCH(B19,'KPI Library'!$A$5:$A$63,0)),"Not in library")</f>
        <v>The first repeat purchase is where acquisition starts to pay back</v>
      </c>
      <c r="J19" s="20" t="s">
        <v>686</v>
      </c>
    </row>
    <row r="20" customFormat="false" ht="15" hidden="false" customHeight="false" outlineLevel="0" collapsed="false">
      <c r="H20" s="40"/>
      <c r="I20" s="40"/>
      <c r="J20" s="40"/>
    </row>
    <row r="21" customFormat="false" ht="15" hidden="false" customHeight="false" outlineLevel="0" collapsed="false">
      <c r="A21" s="11" t="s">
        <v>687</v>
      </c>
      <c r="B21" s="11"/>
      <c r="C21" s="11"/>
      <c r="D21" s="11"/>
      <c r="E21" s="11"/>
      <c r="F21" s="11"/>
      <c r="G21" s="11"/>
      <c r="H21" s="39"/>
      <c r="I21" s="40"/>
      <c r="J21" s="40"/>
    </row>
    <row r="22" customFormat="false" ht="26.85" hidden="false" customHeight="false" outlineLevel="0" collapsed="false">
      <c r="A22" s="22" t="s">
        <v>334</v>
      </c>
      <c r="B22" s="22" t="s">
        <v>333</v>
      </c>
      <c r="C22" s="22" t="s">
        <v>101</v>
      </c>
      <c r="D22" s="29" t="n">
        <v>0.58</v>
      </c>
      <c r="E22" s="29" t="n">
        <v>0.6</v>
      </c>
      <c r="F22" s="23" t="str">
        <f aca="false">IF(E22="","Set a threshold",IF(IF(C22="Lower",D22&lt;=E22,D22&gt;=E22),"OK","Act"))</f>
        <v>Act</v>
      </c>
      <c r="G22" s="22" t="s">
        <v>252</v>
      </c>
      <c r="H22" s="30" t="str">
        <f aca="false">IF(F22="Act","Beyond its threshold: act",IF(F22="OK","Within its threshold","Set a threshold"))</f>
        <v>Beyond its threshold: act</v>
      </c>
      <c r="I22" s="41" t="str">
        <f aca="false">IFERROR(INDEX('KPI Library'!$L$5:$L$63,MATCH(B22,'KPI Library'!$A$5:$A$63,0)),"Not in library")</f>
        <v>Visitors who never see a product cannot buy one; a fall points at navigation or landing pages</v>
      </c>
      <c r="J22" s="20" t="s">
        <v>688</v>
      </c>
    </row>
    <row r="23" customFormat="false" ht="26.85" hidden="false" customHeight="false" outlineLevel="0" collapsed="false">
      <c r="A23" s="22" t="s">
        <v>351</v>
      </c>
      <c r="B23" s="22" t="s">
        <v>350</v>
      </c>
      <c r="C23" s="22" t="s">
        <v>101</v>
      </c>
      <c r="D23" s="29" t="n">
        <v>0.66</v>
      </c>
      <c r="E23" s="29" t="n">
        <v>0.65</v>
      </c>
      <c r="F23" s="23" t="str">
        <f aca="false">IF(E23="","Set a threshold",IF(IF(C23="Lower",D23&lt;=E23,D23&gt;=E23),"OK","Act"))</f>
        <v>OK</v>
      </c>
      <c r="G23" s="22" t="s">
        <v>252</v>
      </c>
      <c r="H23" s="30" t="str">
        <f aca="false">IF(F23="Act","Beyond its threshold: act",IF(F23="OK","Within its threshold","Set a threshold"))</f>
        <v>Within its threshold</v>
      </c>
      <c r="I23" s="41" t="str">
        <f aca="false">IFERROR(INDEX('KPI Library'!$L$5:$L$63,MATCH(B23,'KPI Library'!$A$5:$A$63,0)),"Not in library")</f>
        <v>These are customers who decided to buy and were stopped: the cheapest sales to recover</v>
      </c>
      <c r="J23" s="20" t="s">
        <v>689</v>
      </c>
    </row>
    <row r="24" customFormat="false" ht="15" hidden="false" customHeight="false" outlineLevel="0" collapsed="false">
      <c r="A24" s="22" t="s">
        <v>360</v>
      </c>
      <c r="B24" s="22" t="s">
        <v>359</v>
      </c>
      <c r="C24" s="22" t="s">
        <v>101</v>
      </c>
      <c r="D24" s="29" t="n">
        <v>0.948</v>
      </c>
      <c r="E24" s="29" t="n">
        <v>0.94</v>
      </c>
      <c r="F24" s="23" t="str">
        <f aca="false">IF(E24="","Set a threshold",IF(IF(C24="Lower",D24&lt;=E24,D24&gt;=E24),"OK","Act"))</f>
        <v>OK</v>
      </c>
      <c r="G24" s="22" t="s">
        <v>92</v>
      </c>
      <c r="H24" s="30" t="str">
        <f aca="false">IF(F24="Act","Beyond its threshold: act",IF(F24="OK","Within its threshold","Set a threshold"))</f>
        <v>Within its threshold</v>
      </c>
      <c r="I24" s="41" t="str">
        <f aca="false">IFERROR(INDEX('KPI Library'!$L$5:$L$63,MATCH(B24,'KPI Library'!$A$5:$A$63,0)),"Not in library")</f>
        <v>Each decline is a customer already at the till</v>
      </c>
      <c r="J24" s="20" t="s">
        <v>690</v>
      </c>
    </row>
    <row r="25" customFormat="false" ht="26.85" hidden="false" customHeight="false" outlineLevel="0" collapsed="false">
      <c r="A25" s="22" t="s">
        <v>691</v>
      </c>
      <c r="B25" s="22" t="s">
        <v>532</v>
      </c>
      <c r="C25" s="22" t="s">
        <v>199</v>
      </c>
      <c r="D25" s="33" t="n">
        <v>38</v>
      </c>
      <c r="E25" s="33" t="n">
        <v>15</v>
      </c>
      <c r="F25" s="23" t="str">
        <f aca="false">IF(E25="","Set a threshold",IF(IF(C25="Lower",D25&lt;=E25,D25&gt;=E25),"OK","Act"))</f>
        <v>Act</v>
      </c>
      <c r="G25" s="22" t="s">
        <v>92</v>
      </c>
      <c r="H25" s="30" t="str">
        <f aca="false">IF(F25="Act","Beyond its threshold: act",IF(F25="OK","Within its threshold","Set a threshold"))</f>
        <v>Beyond its threshold: act</v>
      </c>
      <c r="I25" s="41" t="str">
        <f aca="false">IFERROR(INDEX('KPI Library'!$L$5:$L$63,MATCH(B25,'KPI Library'!$A$5:$A$63,0)),"Not in library")</f>
        <v>Minutes lost in trading hours are sales that do not come back</v>
      </c>
      <c r="J25" s="20" t="s">
        <v>692</v>
      </c>
    </row>
    <row r="26" customFormat="false" ht="15" hidden="false" customHeight="false" outlineLevel="0" collapsed="false">
      <c r="H26" s="40"/>
      <c r="I26" s="40"/>
      <c r="J26" s="40"/>
    </row>
    <row r="27" customFormat="false" ht="15" hidden="false" customHeight="false" outlineLevel="0" collapsed="false">
      <c r="A27" s="11" t="s">
        <v>693</v>
      </c>
      <c r="B27" s="11"/>
      <c r="C27" s="11"/>
      <c r="D27" s="11"/>
      <c r="E27" s="11"/>
      <c r="F27" s="11"/>
      <c r="G27" s="11"/>
      <c r="H27" s="39"/>
      <c r="I27" s="40"/>
      <c r="J27" s="40"/>
    </row>
    <row r="28" customFormat="false" ht="26.85" hidden="false" customHeight="false" outlineLevel="0" collapsed="false">
      <c r="A28" s="22" t="s">
        <v>506</v>
      </c>
      <c r="B28" s="22" t="s">
        <v>505</v>
      </c>
      <c r="C28" s="22" t="s">
        <v>199</v>
      </c>
      <c r="D28" s="38" t="n">
        <v>0.118</v>
      </c>
      <c r="E28" s="38" t="n">
        <v>0.12</v>
      </c>
      <c r="F28" s="23" t="str">
        <f aca="false">IF(E28="","Set a threshold",IF(IF(C28="Lower",D28&lt;=E28,D28&gt;=E28),"OK","Act"))</f>
        <v>OK</v>
      </c>
      <c r="G28" s="22" t="s">
        <v>507</v>
      </c>
      <c r="H28" s="30" t="str">
        <f aca="false">IF(F28="Act","Beyond its threshold: act",IF(F28="OK","Within its threshold","Set a threshold"))</f>
        <v>Within its threshold</v>
      </c>
      <c r="I28" s="41" t="str">
        <f aca="false">IFERROR(INDEX('KPI Library'!$L$5:$L$63,MATCH(B28,'KPI Library'!$A$5:$A$63,0)),"Not in library")</f>
        <v>Each contact costs money and usually signals something broken upstream</v>
      </c>
      <c r="J28" s="20" t="s">
        <v>694</v>
      </c>
    </row>
    <row r="29" customFormat="false" ht="26.85" hidden="false" customHeight="false" outlineLevel="0" collapsed="false">
      <c r="A29" s="22" t="s">
        <v>496</v>
      </c>
      <c r="B29" s="22" t="s">
        <v>495</v>
      </c>
      <c r="C29" s="22" t="s">
        <v>101</v>
      </c>
      <c r="D29" s="29" t="n">
        <v>0.957</v>
      </c>
      <c r="E29" s="29" t="n">
        <v>0.95</v>
      </c>
      <c r="F29" s="23" t="str">
        <f aca="false">IF(E29="","Set a threshold",IF(IF(C29="Lower",D29&lt;=E29,D29&gt;=E29),"OK","Act"))</f>
        <v>OK</v>
      </c>
      <c r="G29" s="22" t="s">
        <v>486</v>
      </c>
      <c r="H29" s="30" t="str">
        <f aca="false">IF(F29="Act","Beyond its threshold: act",IF(F29="OK","Within its threshold","Set a threshold"))</f>
        <v>Within its threshold</v>
      </c>
      <c r="I29" s="41" t="str">
        <f aca="false">IFERROR(INDEX('KPI Library'!$L$5:$L$63,MATCH(B29,'KPI Library'!$A$5:$A$63,0)),"Not in library")</f>
        <v>A broken promise drives contacts, refusals and customers who do not come back</v>
      </c>
      <c r="J29" s="20" t="s">
        <v>695</v>
      </c>
    </row>
    <row r="30" customFormat="false" ht="26.85" hidden="false" customHeight="false" outlineLevel="0" collapsed="false">
      <c r="A30" s="22" t="s">
        <v>525</v>
      </c>
      <c r="B30" s="22" t="s">
        <v>524</v>
      </c>
      <c r="C30" s="22" t="s">
        <v>199</v>
      </c>
      <c r="D30" s="38" t="n">
        <v>0.0016</v>
      </c>
      <c r="E30" s="38" t="n">
        <v>0.002</v>
      </c>
      <c r="F30" s="23" t="str">
        <f aca="false">IF(E30="","Set a threshold",IF(IF(C30="Lower",D30&lt;=E30,D30&gt;=E30),"OK","Act"))</f>
        <v>OK</v>
      </c>
      <c r="G30" s="22" t="s">
        <v>108</v>
      </c>
      <c r="H30" s="30" t="str">
        <f aca="false">IF(F30="Act","Beyond its threshold: act",IF(F30="OK","Within its threshold","Set a threshold"))</f>
        <v>Within its threshold</v>
      </c>
      <c r="I30" s="41" t="str">
        <f aca="false">IFERROR(INDEX('KPI Library'!$L$5:$L$63,MATCH(B30,'KPI Library'!$A$5:$A$63,0)),"Not in library")</f>
        <v>Losses come straight off contribution, and over-tight rules lose good customers</v>
      </c>
      <c r="J30" s="20" t="s">
        <v>696</v>
      </c>
    </row>
    <row r="31" customFormat="false" ht="15" hidden="false" customHeight="false" outlineLevel="0" collapsed="false">
      <c r="H31" s="40"/>
      <c r="I31" s="40"/>
      <c r="J31" s="40"/>
    </row>
    <row r="32" customFormat="false" ht="15" hidden="false" customHeight="false" outlineLevel="0" collapsed="false">
      <c r="H32" s="40"/>
      <c r="I32" s="40"/>
      <c r="J32" s="40"/>
    </row>
    <row r="33" customFormat="false" ht="15" hidden="false" customHeight="false" outlineLevel="0" collapsed="false">
      <c r="A33" s="9" t="s">
        <v>697</v>
      </c>
    </row>
  </sheetData>
  <sheetProtection sheet="true" formatColumns="false" formatRows="false" sort="false" autoFilter="false"/>
  <conditionalFormatting sqref="F5:F32">
    <cfRule type="cellIs" priority="2" operator="equal" aboveAverage="0" equalAverage="0" bottom="0" percent="0" rank="0" text="" dxfId="0">
      <formula>"PASS"</formula>
    </cfRule>
    <cfRule type="cellIs" priority="3" operator="equal" aboveAverage="0" equalAverage="0" bottom="0" percent="0" rank="0" text="" dxfId="0">
      <formula>"On plan"</formula>
    </cfRule>
    <cfRule type="cellIs" priority="4" operator="equal" aboveAverage="0" equalAverage="0" bottom="0" percent="0" rank="0" text="" dxfId="0">
      <formula>"OK"</formula>
    </cfRule>
    <cfRule type="cellIs" priority="5" operator="equal" aboveAverage="0" equalAverage="0" bottom="0" percent="0" rank="0" text="" dxfId="0">
      <formula>"Ahead"</formula>
    </cfRule>
    <cfRule type="cellIs" priority="6" operator="equal" aboveAverage="0" equalAverage="0" bottom="0" percent="0" rank="0" text="" dxfId="1">
      <formula>"WARN"</formula>
    </cfRule>
    <cfRule type="cellIs" priority="7" operator="equal" aboveAverage="0" equalAverage="0" bottom="0" percent="0" rank="0" text="" dxfId="1">
      <formula>"Watch"</formula>
    </cfRule>
    <cfRule type="cellIs" priority="8" operator="equal" aboveAverage="0" equalAverage="0" bottom="0" percent="0" rank="0" text="" dxfId="2">
      <formula>"FAIL"</formula>
    </cfRule>
    <cfRule type="cellIs" priority="9" operator="equal" aboveAverage="0" equalAverage="0" bottom="0" percent="0" rank="0" text="" dxfId="2">
      <formula>"Act"</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3" min="2" style="0" width="18"/>
    <col collapsed="false" customWidth="true" hidden="false" outlineLevel="0" max="4" min="4" style="0" width="22"/>
    <col collapsed="false" customWidth="true" hidden="false" outlineLevel="0" max="5" min="5" style="0" width="46"/>
  </cols>
  <sheetData>
    <row r="1" customFormat="false" ht="17.35" hidden="false" customHeight="false" outlineLevel="0" collapsed="false">
      <c r="A1" s="1" t="s">
        <v>698</v>
      </c>
    </row>
    <row r="2" customFormat="false" ht="15" hidden="false" customHeight="false" outlineLevel="0" collapsed="false">
      <c r="A2" s="2" t="s">
        <v>699</v>
      </c>
    </row>
    <row r="4" customFormat="false" ht="36" hidden="false" customHeight="true" outlineLevel="0" collapsed="false">
      <c r="A4" s="15" t="s">
        <v>700</v>
      </c>
      <c r="B4" s="15" t="s">
        <v>624</v>
      </c>
      <c r="C4" s="15" t="s">
        <v>701</v>
      </c>
      <c r="D4" s="15" t="s">
        <v>702</v>
      </c>
      <c r="E4" s="15" t="s">
        <v>77</v>
      </c>
    </row>
    <row r="5" customFormat="false" ht="15" hidden="false" customHeight="false" outlineLevel="0" collapsed="false">
      <c r="A5" s="22" t="s">
        <v>221</v>
      </c>
      <c r="B5" s="33" t="n">
        <v>1550000</v>
      </c>
      <c r="C5" s="33" t="n">
        <v>1620000</v>
      </c>
      <c r="D5" s="28" t="n">
        <f aca="false">IFERROR(C5/B5-1,0)</f>
        <v>0.0451612903225807</v>
      </c>
      <c r="E5" s="22" t="s">
        <v>190</v>
      </c>
    </row>
    <row r="6" customFormat="false" ht="15" hidden="false" customHeight="false" outlineLevel="0" collapsed="false">
      <c r="A6" s="22" t="s">
        <v>703</v>
      </c>
      <c r="B6" s="38" t="n">
        <v>0.023</v>
      </c>
      <c r="C6" s="38" t="n">
        <v>0.0212</v>
      </c>
      <c r="D6" s="28" t="n">
        <f aca="false">C6-B6</f>
        <v>-0.0018</v>
      </c>
      <c r="E6" s="22" t="s">
        <v>92</v>
      </c>
    </row>
    <row r="7" customFormat="false" ht="15" hidden="false" customHeight="false" outlineLevel="0" collapsed="false">
      <c r="A7" s="22" t="s">
        <v>704</v>
      </c>
      <c r="B7" s="37" t="n">
        <v>74</v>
      </c>
      <c r="C7" s="37" t="n">
        <v>76.5</v>
      </c>
      <c r="D7" s="28" t="n">
        <f aca="false">IFERROR(C7/B7-1,0)</f>
        <v>0.0337837837837838</v>
      </c>
      <c r="E7" s="22" t="s">
        <v>117</v>
      </c>
    </row>
    <row r="8" customFormat="false" ht="15" hidden="false" customHeight="false" outlineLevel="0" collapsed="false">
      <c r="A8" s="22" t="s">
        <v>612</v>
      </c>
      <c r="B8" s="29" t="n">
        <v>0.255</v>
      </c>
      <c r="C8" s="29" t="n">
        <v>0.27</v>
      </c>
      <c r="D8" s="28" t="n">
        <f aca="false">C8-B8</f>
        <v>0.015</v>
      </c>
      <c r="E8" s="22" t="s">
        <v>92</v>
      </c>
    </row>
    <row r="9" customFormat="false" ht="15" hidden="false" customHeight="false" outlineLevel="0" collapsed="false">
      <c r="A9" s="22" t="s">
        <v>705</v>
      </c>
      <c r="B9" s="29" t="n">
        <v>0.55</v>
      </c>
      <c r="C9" s="29" t="n">
        <v>0.54</v>
      </c>
      <c r="D9" s="28" t="n">
        <f aca="false">C9-B9</f>
        <v>-0.01</v>
      </c>
      <c r="E9" s="22" t="s">
        <v>117</v>
      </c>
    </row>
    <row r="10" customFormat="false" ht="15" hidden="false" customHeight="false" outlineLevel="0" collapsed="false">
      <c r="A10" s="22" t="s">
        <v>706</v>
      </c>
      <c r="B10" s="37" t="n">
        <v>9.2</v>
      </c>
      <c r="C10" s="37" t="n">
        <v>9.45</v>
      </c>
      <c r="D10" s="28" t="n">
        <f aca="false">IFERROR(C10/B10-1,0)</f>
        <v>0.0271739130434783</v>
      </c>
      <c r="E10" s="22" t="s">
        <v>486</v>
      </c>
    </row>
    <row r="11" customFormat="false" ht="15" hidden="false" customHeight="false" outlineLevel="0" collapsed="false">
      <c r="A11" s="22" t="s">
        <v>707</v>
      </c>
      <c r="B11" s="26" t="n">
        <v>260000</v>
      </c>
      <c r="C11" s="26" t="n">
        <v>285000</v>
      </c>
      <c r="D11" s="28" t="n">
        <f aca="false">IFERROR(C11/B11-1,0)</f>
        <v>0.0961538461538463</v>
      </c>
      <c r="E11" s="22" t="s">
        <v>190</v>
      </c>
    </row>
    <row r="13" customFormat="false" ht="15" hidden="false" customHeight="false" outlineLevel="0" collapsed="false">
      <c r="A13" s="11" t="s">
        <v>708</v>
      </c>
      <c r="B13" s="11"/>
      <c r="C13" s="11"/>
      <c r="D13" s="11"/>
      <c r="E13" s="11"/>
    </row>
    <row r="14" customFormat="false" ht="15" hidden="false" customHeight="false" outlineLevel="0" collapsed="false">
      <c r="A14" s="9" t="s">
        <v>709</v>
      </c>
      <c r="B14" s="34" t="n">
        <f aca="false">B5*B6</f>
        <v>35650</v>
      </c>
      <c r="C14" s="34" t="n">
        <f aca="false">C5*C6</f>
        <v>34344</v>
      </c>
      <c r="D14" s="34" t="n">
        <f aca="false">C14-B14</f>
        <v>-1306</v>
      </c>
    </row>
    <row r="15" customFormat="false" ht="15" hidden="false" customHeight="false" outlineLevel="0" collapsed="false">
      <c r="A15" s="9" t="s">
        <v>710</v>
      </c>
      <c r="B15" s="27" t="n">
        <f aca="false">B14*B7</f>
        <v>2638100</v>
      </c>
      <c r="C15" s="27" t="n">
        <f aca="false">C14*C7</f>
        <v>2627316</v>
      </c>
      <c r="D15" s="27" t="n">
        <f aca="false">C15-B15</f>
        <v>-10784</v>
      </c>
    </row>
    <row r="16" customFormat="false" ht="15" hidden="false" customHeight="false" outlineLevel="0" collapsed="false">
      <c r="A16" s="9" t="s">
        <v>592</v>
      </c>
      <c r="B16" s="27" t="n">
        <f aca="false">B15*(1-B8)</f>
        <v>1965384.5</v>
      </c>
      <c r="C16" s="27" t="n">
        <f aca="false">C15*(1-C8)</f>
        <v>1917940.68</v>
      </c>
      <c r="D16" s="27" t="n">
        <f aca="false">C16-B16</f>
        <v>-47443.8200000001</v>
      </c>
    </row>
    <row r="17" customFormat="false" ht="15" hidden="false" customHeight="false" outlineLevel="0" collapsed="false">
      <c r="A17" s="9" t="s">
        <v>711</v>
      </c>
      <c r="B17" s="27" t="n">
        <f aca="false">B16*B9</f>
        <v>1080961.475</v>
      </c>
      <c r="C17" s="27" t="n">
        <f aca="false">C16*C9</f>
        <v>1035687.9672</v>
      </c>
      <c r="D17" s="27" t="n">
        <f aca="false">C17-B17</f>
        <v>-45273.5078</v>
      </c>
    </row>
    <row r="18" customFormat="false" ht="15" hidden="false" customHeight="false" outlineLevel="0" collapsed="false">
      <c r="A18" s="9" t="s">
        <v>712</v>
      </c>
      <c r="B18" s="27" t="n">
        <f aca="false">B14*B10</f>
        <v>327980</v>
      </c>
      <c r="C18" s="27" t="n">
        <f aca="false">C14*C10</f>
        <v>324550.8</v>
      </c>
      <c r="D18" s="27" t="n">
        <f aca="false">C18-B18</f>
        <v>-3429.20000000001</v>
      </c>
    </row>
    <row r="19" customFormat="false" ht="15" hidden="false" customHeight="false" outlineLevel="0" collapsed="false">
      <c r="A19" s="9" t="s">
        <v>713</v>
      </c>
      <c r="B19" s="27" t="n">
        <f aca="false">B17-B18</f>
        <v>752981.475</v>
      </c>
      <c r="C19" s="27" t="n">
        <f aca="false">C17-C18</f>
        <v>711137.1672</v>
      </c>
      <c r="D19" s="27" t="n">
        <f aca="false">C19-B19</f>
        <v>-41844.3078000001</v>
      </c>
    </row>
    <row r="20" customFormat="false" ht="15" hidden="false" customHeight="false" outlineLevel="0" collapsed="false">
      <c r="A20" s="9" t="s">
        <v>104</v>
      </c>
      <c r="B20" s="27" t="n">
        <f aca="false">B19-B11</f>
        <v>492981.475</v>
      </c>
      <c r="C20" s="27" t="n">
        <f aca="false">C19-C11</f>
        <v>426137.1672</v>
      </c>
      <c r="D20" s="27" t="n">
        <f aca="false">C20-B20</f>
        <v>-66844.3078000001</v>
      </c>
    </row>
    <row r="22" customFormat="false" ht="15" hidden="false" customHeight="false" outlineLevel="0" collapsed="false">
      <c r="A22" s="11" t="s">
        <v>714</v>
      </c>
      <c r="B22" s="11"/>
      <c r="C22" s="11"/>
      <c r="D22" s="11"/>
      <c r="E22" s="11"/>
    </row>
    <row r="23" customFormat="false" ht="36" hidden="false" customHeight="true" outlineLevel="0" collapsed="false">
      <c r="A23" s="15" t="s">
        <v>715</v>
      </c>
      <c r="B23" s="15" t="s">
        <v>716</v>
      </c>
      <c r="C23" s="15" t="s">
        <v>717</v>
      </c>
      <c r="D23" s="15" t="s">
        <v>77</v>
      </c>
      <c r="E23" s="15" t="s">
        <v>718</v>
      </c>
    </row>
    <row r="24" customFormat="false" ht="15" hidden="false" customHeight="false" outlineLevel="0" collapsed="false">
      <c r="A24" s="9" t="s">
        <v>222</v>
      </c>
      <c r="B24" s="27" t="n">
        <f aca="false">(C5-B5)*B6*B7*(1-B8)</f>
        <v>88759.3</v>
      </c>
      <c r="C24" s="25" t="n">
        <f aca="false">IFERROR(B24/$B$28,0)</f>
        <v>-1.87082954112886</v>
      </c>
      <c r="D24" s="9" t="s">
        <v>190</v>
      </c>
      <c r="E24" s="9"/>
    </row>
    <row r="25" customFormat="false" ht="15" hidden="false" customHeight="false" outlineLevel="0" collapsed="false">
      <c r="A25" s="9" t="s">
        <v>316</v>
      </c>
      <c r="B25" s="27" t="n">
        <f aca="false">C5*(C6-B6)*B7*(1-B8)</f>
        <v>-160759.08</v>
      </c>
      <c r="C25" s="25" t="n">
        <f aca="false">IFERROR(B25/$B$28,0)</f>
        <v>3.38840928070294</v>
      </c>
      <c r="D25" s="9" t="s">
        <v>92</v>
      </c>
      <c r="E25" s="9" t="s">
        <v>719</v>
      </c>
    </row>
    <row r="26" customFormat="false" ht="15" hidden="false" customHeight="false" outlineLevel="0" collapsed="false">
      <c r="A26" s="9" t="s">
        <v>720</v>
      </c>
      <c r="B26" s="27" t="n">
        <f aca="false">C5*C6*(C7-B7)*(1-B8)</f>
        <v>63965.7</v>
      </c>
      <c r="C26" s="25" t="n">
        <f aca="false">IFERROR(B26/$B$28,0)</f>
        <v>-1.34824093000943</v>
      </c>
      <c r="D26" s="9" t="s">
        <v>117</v>
      </c>
      <c r="E26" s="9" t="s">
        <v>721</v>
      </c>
    </row>
    <row r="27" customFormat="false" ht="15" hidden="false" customHeight="false" outlineLevel="0" collapsed="false">
      <c r="A27" s="9" t="s">
        <v>474</v>
      </c>
      <c r="B27" s="27" t="n">
        <f aca="false">C5*C6*C7*(B8-C8)</f>
        <v>-39409.74</v>
      </c>
      <c r="C27" s="25" t="n">
        <f aca="false">IFERROR(B27/$B$28,0)</f>
        <v>0.830661190435341</v>
      </c>
      <c r="D27" s="9" t="s">
        <v>92</v>
      </c>
      <c r="E27" s="9" t="s">
        <v>722</v>
      </c>
    </row>
    <row r="28" customFormat="false" ht="15" hidden="false" customHeight="false" outlineLevel="0" collapsed="false">
      <c r="A28" s="17" t="s">
        <v>723</v>
      </c>
      <c r="B28" s="42" t="n">
        <f aca="false">SUM(B24:B27)</f>
        <v>-47443.82</v>
      </c>
      <c r="C28" s="42" t="n">
        <f aca="false">D16</f>
        <v>-47443.8200000001</v>
      </c>
      <c r="D28" s="17" t="s">
        <v>724</v>
      </c>
      <c r="E28" s="18" t="str">
        <f aca="false">IF(ABS(B28-D16)&lt;1,"Ties","Does not tie")</f>
        <v>Ties</v>
      </c>
    </row>
    <row r="30" customFormat="false" ht="15" hidden="false" customHeight="false" outlineLevel="0" collapsed="false">
      <c r="A30" s="11" t="s">
        <v>725</v>
      </c>
      <c r="B30" s="11"/>
      <c r="C30" s="11"/>
      <c r="D30" s="11"/>
      <c r="E30" s="11"/>
    </row>
    <row r="31" customFormat="false" ht="36" hidden="false" customHeight="true" outlineLevel="0" collapsed="false">
      <c r="A31" s="15" t="s">
        <v>715</v>
      </c>
      <c r="B31" s="15" t="s">
        <v>716</v>
      </c>
      <c r="C31" s="15" t="s">
        <v>717</v>
      </c>
      <c r="D31" s="15" t="s">
        <v>77</v>
      </c>
      <c r="E31" s="15" t="s">
        <v>718</v>
      </c>
    </row>
    <row r="32" customFormat="false" ht="15" hidden="false" customHeight="false" outlineLevel="0" collapsed="false">
      <c r="A32" s="9" t="s">
        <v>726</v>
      </c>
      <c r="B32" s="27" t="n">
        <f aca="false">(C16-B16)*B9-(C14-B14)*B10</f>
        <v>-14078.901</v>
      </c>
      <c r="C32" s="25" t="n">
        <f aca="false">IFERROR(B32/$B$36,0)</f>
        <v>0.210622287272755</v>
      </c>
      <c r="D32" s="9" t="s">
        <v>92</v>
      </c>
      <c r="E32" s="9"/>
    </row>
    <row r="33" customFormat="false" ht="15" hidden="false" customHeight="false" outlineLevel="0" collapsed="false">
      <c r="A33" s="9" t="s">
        <v>727</v>
      </c>
      <c r="B33" s="27" t="n">
        <f aca="false">C16*(C9-B9)</f>
        <v>-19179.4068</v>
      </c>
      <c r="C33" s="25" t="n">
        <f aca="false">IFERROR(B33/$B$36,0)</f>
        <v>0.28692655263011</v>
      </c>
      <c r="D33" s="9" t="s">
        <v>117</v>
      </c>
      <c r="E33" s="9" t="s">
        <v>728</v>
      </c>
    </row>
    <row r="34" customFormat="false" ht="15" hidden="false" customHeight="false" outlineLevel="0" collapsed="false">
      <c r="A34" s="9" t="s">
        <v>729</v>
      </c>
      <c r="B34" s="27" t="n">
        <f aca="false">-C14*(C10-B10)</f>
        <v>-8586</v>
      </c>
      <c r="C34" s="25" t="n">
        <f aca="false">IFERROR(B34/$B$36,0)</f>
        <v>0.128447735979098</v>
      </c>
      <c r="D34" s="9" t="s">
        <v>486</v>
      </c>
      <c r="E34" s="9"/>
    </row>
    <row r="35" customFormat="false" ht="15" hidden="false" customHeight="false" outlineLevel="0" collapsed="false">
      <c r="A35" s="9" t="s">
        <v>730</v>
      </c>
      <c r="B35" s="27" t="n">
        <f aca="false">-(C11-B11)</f>
        <v>-25000</v>
      </c>
      <c r="C35" s="25" t="n">
        <f aca="false">IFERROR(B35/$B$36,0)</f>
        <v>0.374003424118037</v>
      </c>
      <c r="D35" s="9" t="s">
        <v>190</v>
      </c>
      <c r="E35" s="9" t="s">
        <v>731</v>
      </c>
    </row>
    <row r="36" customFormat="false" ht="15" hidden="false" customHeight="false" outlineLevel="0" collapsed="false">
      <c r="A36" s="17" t="s">
        <v>732</v>
      </c>
      <c r="B36" s="42" t="n">
        <f aca="false">SUM(B32:B35)</f>
        <v>-66844.3078000001</v>
      </c>
      <c r="C36" s="43"/>
      <c r="D36" s="17" t="s">
        <v>724</v>
      </c>
      <c r="E36" s="18" t="str">
        <f aca="false">IF(ABS(B36-D20)&lt;1,"Ties","Does not tie")</f>
        <v>Ties</v>
      </c>
    </row>
    <row r="38" customFormat="false" ht="43.5" hidden="false" customHeight="true" outlineLevel="0" collapsed="false">
      <c r="A38" s="44" t="s">
        <v>733</v>
      </c>
      <c r="B38" s="45" t="str">
        <f aca="false">"Traffic was "&amp;TEXT(D5,"+0.0%;-0.0%")&amp;" against plan and conversion "&amp;TEXT(D6*100,"+0.00;-0.00")&amp;" points. Of a net sales variance of "&amp;TEXT(B28,"£#,##0;(£#,##0)")&amp;", conversion accounts for "&amp;TEXT(B25,"£#,##0;(£#,##0)")&amp;" and traffic for "&amp;TEXT(B24,"£#,##0;(£#,##0)")&amp;"."</f>
        <v>Traffic was +4.5% against plan and conversion -0.18 points. Of a net sales variance of (£47,444), conversion accounts for (£160,759) and traffic for £88,759.</v>
      </c>
      <c r="C38" s="45"/>
      <c r="D38" s="45"/>
      <c r="E38" s="45"/>
    </row>
    <row r="39" customFormat="false" ht="43.5" hidden="false" customHeight="true" outlineLevel="0" collapsed="false">
      <c r="A39" s="44" t="s">
        <v>734</v>
      </c>
      <c r="B39" s="45" t="str">
        <f aca="false">IF(AND(D5&gt;0,D6&lt;0),"Extra traffic arrived and converted worse. With media "&amp;TEXT(D11,"+0.0%;-0.0%")&amp;" against plan, one hypothesis is that bought traffic was less ready to buy. It is a hypothesis, not a finding: the traffic may have been organic, brand-led or bought for a different objective.","The pattern does not point to a single lever. Start with the largest effect in the bridge.")</f>
        <v>Extra traffic arrived and converted worse. With media +9.6% against plan, one hypothesis is that bought traffic was less ready to buy. It is a hypothesis, not a finding: the traffic may have been organic, brand-led or bought for a different objective.</v>
      </c>
      <c r="C39" s="45"/>
      <c r="D39" s="45"/>
      <c r="E39" s="45"/>
    </row>
    <row r="40" customFormat="false" ht="43.5" hidden="false" customHeight="true" outlineLevel="0" collapsed="false">
      <c r="A40" s="44" t="s">
        <v>735</v>
      </c>
      <c r="B40" s="45" t="str">
        <f aca="false">"Conversion by channel and campaign (K14, K15, K24), and availability on the lines the traffic landed on (K32). Until those are read, the cause is open."</f>
        <v>Conversion by channel and campaign (K14, K15, K24), and availability on the lines the traffic landed on (K32). Until those are read, the cause is open.</v>
      </c>
      <c r="C40" s="45"/>
      <c r="D40" s="45"/>
      <c r="E40" s="45"/>
    </row>
    <row r="41" customFormat="false" ht="43.5" hidden="false" customHeight="true" outlineLevel="0" collapsed="false">
      <c r="A41" s="44" t="s">
        <v>736</v>
      </c>
      <c r="B41" s="45" t="str">
        <f aca="false">"The largest drag on net sales is "&amp;LOWER(INDEX(A24:A27,MATCH(MIN(B24:B27),B24:B27,0)))&amp;". It belongs to the "&amp;INDEX(D24:D27,MATCH(MIN(B24:B27),B24:B27,0))&amp;IF(INDEX(E24:E27,MATCH(MIN(B24:B27),B24:B27,0))="",".",", who runs the investigation path: "&amp;INDEX(E24:E27,MATCH(MIN(B24:B27),B24:B27,0))&amp;".")</f>
        <v>The largest drag on net sales is conversion. It belongs to the Head of Ecommerce, who runs the investigation path: Committed-journey conversion falls.</v>
      </c>
      <c r="C41" s="45"/>
      <c r="D41" s="45"/>
      <c r="E41" s="45"/>
    </row>
    <row r="42" customFormat="false" ht="30" hidden="false" customHeight="true" outlineLevel="0" collapsed="false">
      <c r="A42" s="46" t="s">
        <v>737</v>
      </c>
      <c r="B42" s="46"/>
      <c r="C42" s="46"/>
      <c r="D42" s="46"/>
      <c r="E42" s="46"/>
    </row>
    <row r="44" customFormat="false" ht="15" hidden="false" customHeight="false" outlineLevel="0" collapsed="false">
      <c r="A44" s="11" t="s">
        <v>738</v>
      </c>
      <c r="B44" s="11"/>
      <c r="C44" s="11"/>
      <c r="D44" s="11"/>
      <c r="E44" s="11"/>
    </row>
    <row r="45" customFormat="false" ht="15" hidden="false" customHeight="false" outlineLevel="0" collapsed="false">
      <c r="A45" s="47" t="s">
        <v>104</v>
      </c>
    </row>
    <row r="46" customFormat="false" ht="15" hidden="false" customHeight="false" outlineLevel="0" collapsed="false">
      <c r="A46" s="48" t="n">
        <f aca="false">D20</f>
        <v>-66844.3078000001</v>
      </c>
    </row>
    <row r="47" customFormat="false" ht="39.55" hidden="false" customHeight="false" outlineLevel="0" collapsed="false">
      <c r="A47" s="49" t="s">
        <v>592</v>
      </c>
      <c r="B47" s="49" t="s">
        <v>739</v>
      </c>
      <c r="C47" s="49" t="s">
        <v>729</v>
      </c>
      <c r="D47" s="49" t="s">
        <v>740</v>
      </c>
      <c r="E47" s="50" t="s">
        <v>741</v>
      </c>
    </row>
    <row r="48" customFormat="false" ht="15" hidden="false" customHeight="false" outlineLevel="0" collapsed="false">
      <c r="A48" s="48" t="n">
        <f aca="false">D16</f>
        <v>-47443.8200000001</v>
      </c>
      <c r="B48" s="51" t="n">
        <f aca="false">D9</f>
        <v>-0.01</v>
      </c>
      <c r="C48" s="51" t="n">
        <f aca="false">D10</f>
        <v>0.0271739130434783</v>
      </c>
      <c r="D48" s="51" t="n">
        <f aca="false">D11</f>
        <v>0.0961538461538463</v>
      </c>
      <c r="E48" s="40"/>
    </row>
    <row r="49" customFormat="false" ht="26.85" hidden="false" customHeight="false" outlineLevel="0" collapsed="false">
      <c r="A49" s="49" t="s">
        <v>221</v>
      </c>
      <c r="B49" s="49" t="s">
        <v>316</v>
      </c>
      <c r="C49" s="49" t="s">
        <v>398</v>
      </c>
      <c r="D49" s="49" t="s">
        <v>742</v>
      </c>
      <c r="E49" s="50" t="s">
        <v>743</v>
      </c>
    </row>
    <row r="50" customFormat="false" ht="15" hidden="false" customHeight="false" outlineLevel="0" collapsed="false">
      <c r="A50" s="51" t="n">
        <f aca="false">D5</f>
        <v>0.0451612903225807</v>
      </c>
      <c r="B50" s="51" t="n">
        <f aca="false">D6</f>
        <v>-0.0018</v>
      </c>
      <c r="C50" s="51" t="n">
        <f aca="false">D7</f>
        <v>0.0337837837837838</v>
      </c>
      <c r="D50" s="51" t="n">
        <f aca="false">D8</f>
        <v>0.015</v>
      </c>
      <c r="E50" s="40"/>
    </row>
  </sheetData>
  <sheetProtection sheet="true" formatColumns="false" formatRows="false" sort="false" autoFilter="false"/>
  <mergeCells count="5">
    <mergeCell ref="B38:E38"/>
    <mergeCell ref="B39:E39"/>
    <mergeCell ref="B40:E40"/>
    <mergeCell ref="B41:E41"/>
    <mergeCell ref="A42:E4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6"/>
    <col collapsed="false" customWidth="true" hidden="false" outlineLevel="0" max="3" min="3" style="0" width="56"/>
    <col collapsed="false" customWidth="true" hidden="false" outlineLevel="0" max="4" min="4" style="0" width="14"/>
    <col collapsed="false" customWidth="true" hidden="false" outlineLevel="0" max="5" min="5" style="0" width="52"/>
  </cols>
  <sheetData>
    <row r="1" customFormat="false" ht="17.35" hidden="false" customHeight="false" outlineLevel="0" collapsed="false">
      <c r="A1" s="1" t="s">
        <v>744</v>
      </c>
    </row>
    <row r="2" customFormat="false" ht="15" hidden="false" customHeight="false" outlineLevel="0" collapsed="false">
      <c r="A2" s="2" t="s">
        <v>745</v>
      </c>
    </row>
    <row r="4" customFormat="false" ht="36" hidden="false" customHeight="true" outlineLevel="0" collapsed="false">
      <c r="A4" s="15" t="s">
        <v>746</v>
      </c>
      <c r="B4" s="15" t="s">
        <v>747</v>
      </c>
      <c r="C4" s="15" t="s">
        <v>748</v>
      </c>
      <c r="D4" s="15" t="s">
        <v>749</v>
      </c>
      <c r="E4" s="15" t="s">
        <v>750</v>
      </c>
    </row>
    <row r="5" customFormat="false" ht="15" hidden="false" customHeight="false" outlineLevel="0" collapsed="false">
      <c r="A5" s="52" t="s">
        <v>719</v>
      </c>
      <c r="B5" s="50" t="n">
        <v>1</v>
      </c>
      <c r="C5" s="20" t="s">
        <v>751</v>
      </c>
      <c r="D5" s="20" t="s">
        <v>752</v>
      </c>
      <c r="E5" s="20" t="s">
        <v>753</v>
      </c>
    </row>
    <row r="6" customFormat="false" ht="15" hidden="false" customHeight="false" outlineLevel="0" collapsed="false">
      <c r="A6" s="20"/>
      <c r="B6" s="50" t="n">
        <v>2</v>
      </c>
      <c r="C6" s="20" t="s">
        <v>754</v>
      </c>
      <c r="D6" s="20" t="s">
        <v>755</v>
      </c>
      <c r="E6" s="20" t="s">
        <v>756</v>
      </c>
    </row>
    <row r="7" customFormat="false" ht="15" hidden="false" customHeight="false" outlineLevel="0" collapsed="false">
      <c r="A7" s="20"/>
      <c r="B7" s="50" t="n">
        <v>3</v>
      </c>
      <c r="C7" s="20" t="s">
        <v>757</v>
      </c>
      <c r="D7" s="20" t="s">
        <v>758</v>
      </c>
      <c r="E7" s="20" t="s">
        <v>759</v>
      </c>
    </row>
    <row r="8" customFormat="false" ht="15" hidden="false" customHeight="false" outlineLevel="0" collapsed="false">
      <c r="A8" s="20"/>
      <c r="B8" s="50" t="n">
        <v>4</v>
      </c>
      <c r="C8" s="20" t="s">
        <v>760</v>
      </c>
      <c r="D8" s="20" t="s">
        <v>437</v>
      </c>
      <c r="E8" s="20" t="s">
        <v>761</v>
      </c>
    </row>
    <row r="9" customFormat="false" ht="15" hidden="false" customHeight="false" outlineLevel="0" collapsed="false">
      <c r="A9" s="53"/>
      <c r="B9" s="54" t="n">
        <v>5</v>
      </c>
      <c r="C9" s="53" t="s">
        <v>762</v>
      </c>
      <c r="D9" s="53" t="s">
        <v>532</v>
      </c>
      <c r="E9" s="53" t="s">
        <v>763</v>
      </c>
    </row>
    <row r="10" customFormat="false" ht="15" hidden="false" customHeight="false" outlineLevel="0" collapsed="false">
      <c r="A10" s="52" t="s">
        <v>764</v>
      </c>
      <c r="B10" s="50" t="n">
        <v>1</v>
      </c>
      <c r="C10" s="20" t="s">
        <v>765</v>
      </c>
      <c r="D10" s="20" t="s">
        <v>397</v>
      </c>
      <c r="E10" s="20" t="s">
        <v>766</v>
      </c>
    </row>
    <row r="11" customFormat="false" ht="15" hidden="false" customHeight="false" outlineLevel="0" collapsed="false">
      <c r="A11" s="20"/>
      <c r="B11" s="50" t="n">
        <v>2</v>
      </c>
      <c r="C11" s="20" t="s">
        <v>767</v>
      </c>
      <c r="D11" s="20" t="s">
        <v>437</v>
      </c>
      <c r="E11" s="20" t="s">
        <v>768</v>
      </c>
    </row>
    <row r="12" customFormat="false" ht="15" hidden="false" customHeight="false" outlineLevel="0" collapsed="false">
      <c r="A12" s="20"/>
      <c r="B12" s="50" t="n">
        <v>3</v>
      </c>
      <c r="C12" s="20" t="s">
        <v>769</v>
      </c>
      <c r="D12" s="20" t="s">
        <v>406</v>
      </c>
      <c r="E12" s="20" t="s">
        <v>770</v>
      </c>
    </row>
    <row r="13" customFormat="false" ht="15" hidden="false" customHeight="false" outlineLevel="0" collapsed="false">
      <c r="A13" s="20"/>
      <c r="B13" s="50" t="n">
        <v>4</v>
      </c>
      <c r="C13" s="20" t="s">
        <v>771</v>
      </c>
      <c r="D13" s="20" t="s">
        <v>420</v>
      </c>
      <c r="E13" s="20" t="s">
        <v>772</v>
      </c>
    </row>
    <row r="14" customFormat="false" ht="15" hidden="false" customHeight="false" outlineLevel="0" collapsed="false">
      <c r="A14" s="53"/>
      <c r="B14" s="54" t="n">
        <v>5</v>
      </c>
      <c r="C14" s="53" t="s">
        <v>773</v>
      </c>
      <c r="D14" s="53" t="s">
        <v>159</v>
      </c>
      <c r="E14" s="53" t="s">
        <v>774</v>
      </c>
    </row>
    <row r="15" customFormat="false" ht="15" hidden="false" customHeight="false" outlineLevel="0" collapsed="false">
      <c r="A15" s="52" t="s">
        <v>722</v>
      </c>
      <c r="B15" s="50" t="n">
        <v>1</v>
      </c>
      <c r="C15" s="20" t="s">
        <v>775</v>
      </c>
      <c r="D15" s="20" t="s">
        <v>472</v>
      </c>
      <c r="E15" s="20" t="s">
        <v>776</v>
      </c>
    </row>
    <row r="16" customFormat="false" ht="15" hidden="false" customHeight="false" outlineLevel="0" collapsed="false">
      <c r="A16" s="20"/>
      <c r="B16" s="50" t="n">
        <v>2</v>
      </c>
      <c r="C16" s="20" t="s">
        <v>777</v>
      </c>
      <c r="D16" s="20" t="s">
        <v>472</v>
      </c>
      <c r="E16" s="20" t="s">
        <v>778</v>
      </c>
    </row>
    <row r="17" customFormat="false" ht="15" hidden="false" customHeight="false" outlineLevel="0" collapsed="false">
      <c r="A17" s="20"/>
      <c r="B17" s="50" t="n">
        <v>3</v>
      </c>
      <c r="C17" s="20" t="s">
        <v>779</v>
      </c>
      <c r="D17" s="20" t="s">
        <v>472</v>
      </c>
      <c r="E17" s="20" t="s">
        <v>780</v>
      </c>
    </row>
    <row r="18" customFormat="false" ht="15" hidden="false" customHeight="false" outlineLevel="0" collapsed="false">
      <c r="A18" s="20"/>
      <c r="B18" s="50" t="n">
        <v>4</v>
      </c>
      <c r="C18" s="20" t="s">
        <v>781</v>
      </c>
      <c r="D18" s="20" t="s">
        <v>437</v>
      </c>
      <c r="E18" s="20" t="s">
        <v>782</v>
      </c>
    </row>
    <row r="19" customFormat="false" ht="15" hidden="false" customHeight="false" outlineLevel="0" collapsed="false">
      <c r="A19" s="53"/>
      <c r="B19" s="54" t="n">
        <v>5</v>
      </c>
      <c r="C19" s="53" t="s">
        <v>783</v>
      </c>
      <c r="D19" s="53" t="s">
        <v>495</v>
      </c>
      <c r="E19" s="53" t="s">
        <v>784</v>
      </c>
    </row>
    <row r="20" customFormat="false" ht="15" hidden="false" customHeight="false" outlineLevel="0" collapsed="false">
      <c r="A20" s="52" t="s">
        <v>731</v>
      </c>
      <c r="B20" s="50" t="n">
        <v>1</v>
      </c>
      <c r="C20" s="20" t="s">
        <v>785</v>
      </c>
      <c r="D20" s="20" t="s">
        <v>268</v>
      </c>
      <c r="E20" s="20" t="s">
        <v>786</v>
      </c>
    </row>
    <row r="21" customFormat="false" ht="15" hidden="false" customHeight="false" outlineLevel="0" collapsed="false">
      <c r="A21" s="20"/>
      <c r="B21" s="50" t="n">
        <v>2</v>
      </c>
      <c r="C21" s="20" t="s">
        <v>787</v>
      </c>
      <c r="D21" s="20" t="s">
        <v>788</v>
      </c>
      <c r="E21" s="20" t="s">
        <v>789</v>
      </c>
    </row>
    <row r="22" customFormat="false" ht="15" hidden="false" customHeight="false" outlineLevel="0" collapsed="false">
      <c r="A22" s="20"/>
      <c r="B22" s="50" t="n">
        <v>3</v>
      </c>
      <c r="C22" s="20" t="s">
        <v>790</v>
      </c>
      <c r="D22" s="20" t="s">
        <v>210</v>
      </c>
      <c r="E22" s="20" t="s">
        <v>791</v>
      </c>
    </row>
    <row r="23" customFormat="false" ht="15" hidden="false" customHeight="false" outlineLevel="0" collapsed="false">
      <c r="A23" s="20"/>
      <c r="B23" s="50" t="n">
        <v>4</v>
      </c>
      <c r="C23" s="20" t="s">
        <v>792</v>
      </c>
      <c r="D23" s="20" t="s">
        <v>169</v>
      </c>
      <c r="E23" s="20" t="s">
        <v>793</v>
      </c>
    </row>
    <row r="24" customFormat="false" ht="15" hidden="false" customHeight="false" outlineLevel="0" collapsed="false">
      <c r="A24" s="53"/>
      <c r="B24" s="54" t="n">
        <v>5</v>
      </c>
      <c r="C24" s="53" t="s">
        <v>794</v>
      </c>
      <c r="D24" s="53" t="s">
        <v>232</v>
      </c>
      <c r="E24" s="53" t="s">
        <v>795</v>
      </c>
    </row>
    <row r="25" customFormat="false" ht="15" hidden="false" customHeight="false" outlineLevel="0" collapsed="false">
      <c r="A25" s="52" t="s">
        <v>796</v>
      </c>
      <c r="B25" s="50" t="n">
        <v>1</v>
      </c>
      <c r="C25" s="20" t="s">
        <v>797</v>
      </c>
      <c r="D25" s="20" t="s">
        <v>456</v>
      </c>
      <c r="E25" s="20" t="s">
        <v>798</v>
      </c>
    </row>
    <row r="26" customFormat="false" ht="15" hidden="false" customHeight="false" outlineLevel="0" collapsed="false">
      <c r="A26" s="20"/>
      <c r="B26" s="50" t="n">
        <v>2</v>
      </c>
      <c r="C26" s="20" t="s">
        <v>799</v>
      </c>
      <c r="D26" s="20" t="s">
        <v>446</v>
      </c>
      <c r="E26" s="20" t="s">
        <v>800</v>
      </c>
    </row>
    <row r="27" customFormat="false" ht="15" hidden="false" customHeight="false" outlineLevel="0" collapsed="false">
      <c r="A27" s="20"/>
      <c r="B27" s="50" t="n">
        <v>3</v>
      </c>
      <c r="C27" s="20" t="s">
        <v>801</v>
      </c>
      <c r="D27" s="20" t="s">
        <v>446</v>
      </c>
      <c r="E27" s="20" t="s">
        <v>802</v>
      </c>
    </row>
    <row r="28" customFormat="false" ht="15" hidden="false" customHeight="false" outlineLevel="0" collapsed="false">
      <c r="A28" s="20"/>
      <c r="B28" s="50" t="n">
        <v>4</v>
      </c>
      <c r="C28" s="20" t="s">
        <v>803</v>
      </c>
      <c r="D28" s="20" t="s">
        <v>268</v>
      </c>
      <c r="E28" s="20" t="s">
        <v>804</v>
      </c>
    </row>
    <row r="29" customFormat="false" ht="15" hidden="false" customHeight="false" outlineLevel="0" collapsed="false">
      <c r="A29" s="53"/>
      <c r="B29" s="54" t="n">
        <v>5</v>
      </c>
      <c r="C29" s="53" t="s">
        <v>805</v>
      </c>
      <c r="D29" s="53" t="s">
        <v>420</v>
      </c>
      <c r="E29" s="53" t="s">
        <v>806</v>
      </c>
    </row>
    <row r="30" customFormat="false" ht="15" hidden="false" customHeight="false" outlineLevel="0" collapsed="false">
      <c r="A30" s="52" t="s">
        <v>807</v>
      </c>
      <c r="B30" s="50" t="n">
        <v>1</v>
      </c>
      <c r="C30" s="20" t="s">
        <v>808</v>
      </c>
      <c r="D30" s="20" t="s">
        <v>532</v>
      </c>
      <c r="E30" s="20" t="s">
        <v>809</v>
      </c>
    </row>
    <row r="31" customFormat="false" ht="15" hidden="false" customHeight="false" outlineLevel="0" collapsed="false">
      <c r="A31" s="20"/>
      <c r="B31" s="50" t="n">
        <v>2</v>
      </c>
      <c r="C31" s="20" t="s">
        <v>810</v>
      </c>
      <c r="D31" s="20" t="s">
        <v>359</v>
      </c>
      <c r="E31" s="20" t="s">
        <v>811</v>
      </c>
    </row>
    <row r="32" customFormat="false" ht="15" hidden="false" customHeight="false" outlineLevel="0" collapsed="false">
      <c r="A32" s="20"/>
      <c r="B32" s="50" t="n">
        <v>3</v>
      </c>
      <c r="C32" s="20" t="s">
        <v>812</v>
      </c>
      <c r="D32" s="20" t="s">
        <v>495</v>
      </c>
      <c r="E32" s="20" t="s">
        <v>813</v>
      </c>
    </row>
    <row r="33" customFormat="false" ht="15" hidden="false" customHeight="false" outlineLevel="0" collapsed="false">
      <c r="A33" s="20"/>
      <c r="B33" s="50" t="n">
        <v>4</v>
      </c>
      <c r="C33" s="20" t="s">
        <v>814</v>
      </c>
      <c r="D33" s="20" t="s">
        <v>350</v>
      </c>
      <c r="E33" s="20" t="s">
        <v>815</v>
      </c>
    </row>
    <row r="34" customFormat="false" ht="15" hidden="false" customHeight="false" outlineLevel="0" collapsed="false">
      <c r="A34" s="53"/>
      <c r="B34" s="54" t="n">
        <v>5</v>
      </c>
      <c r="C34" s="53" t="s">
        <v>816</v>
      </c>
      <c r="D34" s="53" t="s">
        <v>524</v>
      </c>
      <c r="E34" s="53" t="s">
        <v>817</v>
      </c>
    </row>
    <row r="35" customFormat="false" ht="15" hidden="false" customHeight="false" outlineLevel="0" collapsed="false">
      <c r="A35" s="52" t="s">
        <v>728</v>
      </c>
      <c r="B35" s="50" t="n">
        <v>1</v>
      </c>
      <c r="C35" s="20" t="s">
        <v>767</v>
      </c>
      <c r="D35" s="20" t="s">
        <v>437</v>
      </c>
      <c r="E35" s="20" t="s">
        <v>818</v>
      </c>
    </row>
    <row r="36" customFormat="false" ht="15" hidden="false" customHeight="false" outlineLevel="0" collapsed="false">
      <c r="A36" s="20"/>
      <c r="B36" s="50" t="n">
        <v>2</v>
      </c>
      <c r="C36" s="20" t="s">
        <v>819</v>
      </c>
      <c r="D36" s="20" t="s">
        <v>820</v>
      </c>
      <c r="E36" s="20" t="s">
        <v>821</v>
      </c>
    </row>
    <row r="37" customFormat="false" ht="15" hidden="false" customHeight="false" outlineLevel="0" collapsed="false">
      <c r="A37" s="20"/>
      <c r="B37" s="50" t="n">
        <v>3</v>
      </c>
      <c r="C37" s="20" t="s">
        <v>822</v>
      </c>
      <c r="D37" s="20" t="s">
        <v>472</v>
      </c>
      <c r="E37" s="20" t="s">
        <v>823</v>
      </c>
    </row>
    <row r="38" customFormat="false" ht="15" hidden="false" customHeight="false" outlineLevel="0" collapsed="false">
      <c r="A38" s="20"/>
      <c r="B38" s="50" t="n">
        <v>4</v>
      </c>
      <c r="C38" s="20" t="s">
        <v>824</v>
      </c>
      <c r="D38" s="20" t="s">
        <v>114</v>
      </c>
      <c r="E38" s="20" t="s">
        <v>825</v>
      </c>
    </row>
    <row r="39" customFormat="false" ht="15" hidden="false" customHeight="false" outlineLevel="0" collapsed="false">
      <c r="A39" s="53"/>
      <c r="B39" s="54" t="n">
        <v>5</v>
      </c>
      <c r="C39" s="53" t="s">
        <v>826</v>
      </c>
      <c r="D39" s="53" t="s">
        <v>483</v>
      </c>
      <c r="E39" s="53" t="s">
        <v>827</v>
      </c>
    </row>
  </sheetData>
  <sheetProtection sheet="true" formatColumns="false" formatRows="false" sort="false" autoFilter="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0"/>
    <col collapsed="false" customWidth="true" hidden="false" outlineLevel="0" max="3" min="3" style="0" width="7"/>
    <col collapsed="false" customWidth="true" hidden="false" outlineLevel="0" max="4" min="4" style="0" width="44"/>
    <col collapsed="false" customWidth="true" hidden="false" outlineLevel="0" max="5" min="5" style="0" width="20"/>
    <col collapsed="false" customWidth="true" hidden="false" outlineLevel="0" max="6" min="6" style="0" width="44"/>
    <col collapsed="false" customWidth="true" hidden="false" outlineLevel="0" max="8" min="7" style="0" width="15"/>
    <col collapsed="false" customWidth="true" hidden="false" outlineLevel="0" max="9" min="9" style="0" width="12"/>
  </cols>
  <sheetData>
    <row r="1" customFormat="false" ht="17.35" hidden="false" customHeight="false" outlineLevel="0" collapsed="false">
      <c r="A1" s="1" t="s">
        <v>828</v>
      </c>
    </row>
    <row r="2" customFormat="false" ht="15" hidden="false" customHeight="false" outlineLevel="0" collapsed="false">
      <c r="A2" s="2" t="s">
        <v>829</v>
      </c>
    </row>
    <row r="4" customFormat="false" ht="39.75" hidden="false" customHeight="true" outlineLevel="0" collapsed="false">
      <c r="A4" s="15" t="s">
        <v>830</v>
      </c>
      <c r="B4" s="15" t="s">
        <v>831</v>
      </c>
      <c r="C4" s="15" t="s">
        <v>73</v>
      </c>
      <c r="D4" s="15" t="s">
        <v>832</v>
      </c>
      <c r="E4" s="15" t="s">
        <v>77</v>
      </c>
      <c r="F4" s="15" t="s">
        <v>41</v>
      </c>
      <c r="G4" s="15" t="s">
        <v>833</v>
      </c>
      <c r="H4" s="15" t="s">
        <v>834</v>
      </c>
      <c r="I4" s="15" t="s">
        <v>835</v>
      </c>
    </row>
    <row r="5" customFormat="false" ht="22.35" hidden="false" customHeight="false" outlineLevel="0" collapsed="false">
      <c r="A5" s="55" t="n">
        <v>46321</v>
      </c>
      <c r="B5" s="20" t="s">
        <v>836</v>
      </c>
      <c r="C5" s="20" t="s">
        <v>324</v>
      </c>
      <c r="D5" s="20" t="s">
        <v>837</v>
      </c>
      <c r="E5" s="20" t="s">
        <v>92</v>
      </c>
      <c r="F5" s="20" t="s">
        <v>838</v>
      </c>
      <c r="G5" s="56" t="n">
        <v>-310000</v>
      </c>
      <c r="H5" s="56" t="n">
        <v>-95000</v>
      </c>
      <c r="I5" s="55" t="n">
        <v>46335</v>
      </c>
    </row>
    <row r="6" customFormat="false" ht="15" hidden="false" customHeight="false" outlineLevel="0" collapsed="false">
      <c r="A6" s="57"/>
      <c r="B6" s="21"/>
      <c r="C6" s="21"/>
      <c r="D6" s="21"/>
      <c r="E6" s="21"/>
      <c r="F6" s="21"/>
      <c r="G6" s="58"/>
      <c r="H6" s="58"/>
      <c r="I6" s="57"/>
    </row>
    <row r="7" customFormat="false" ht="15" hidden="false" customHeight="false" outlineLevel="0" collapsed="false">
      <c r="A7" s="57"/>
      <c r="B7" s="21"/>
      <c r="C7" s="21"/>
      <c r="D7" s="21"/>
      <c r="E7" s="21"/>
      <c r="F7" s="21"/>
      <c r="G7" s="58"/>
      <c r="H7" s="58"/>
      <c r="I7" s="57"/>
    </row>
    <row r="8" customFormat="false" ht="15" hidden="false" customHeight="false" outlineLevel="0" collapsed="false">
      <c r="A8" s="57"/>
      <c r="B8" s="21"/>
      <c r="C8" s="21"/>
      <c r="D8" s="21"/>
      <c r="E8" s="21"/>
      <c r="F8" s="21"/>
      <c r="G8" s="58"/>
      <c r="H8" s="58"/>
      <c r="I8" s="57"/>
    </row>
    <row r="9" customFormat="false" ht="15" hidden="false" customHeight="false" outlineLevel="0" collapsed="false">
      <c r="A9" s="57"/>
      <c r="B9" s="21"/>
      <c r="C9" s="21"/>
      <c r="D9" s="21"/>
      <c r="E9" s="21"/>
      <c r="F9" s="21"/>
      <c r="G9" s="58"/>
      <c r="H9" s="58"/>
      <c r="I9" s="57"/>
    </row>
    <row r="10" customFormat="false" ht="15" hidden="false" customHeight="false" outlineLevel="0" collapsed="false">
      <c r="A10" s="57"/>
      <c r="B10" s="21"/>
      <c r="C10" s="21"/>
      <c r="D10" s="21"/>
      <c r="E10" s="21"/>
      <c r="F10" s="21"/>
      <c r="G10" s="58"/>
      <c r="H10" s="58"/>
      <c r="I10" s="57"/>
    </row>
    <row r="11" customFormat="false" ht="15" hidden="false" customHeight="false" outlineLevel="0" collapsed="false">
      <c r="A11" s="57"/>
      <c r="B11" s="21"/>
      <c r="C11" s="21"/>
      <c r="D11" s="21"/>
      <c r="E11" s="21"/>
      <c r="F11" s="21"/>
      <c r="G11" s="58"/>
      <c r="H11" s="58"/>
      <c r="I11" s="57"/>
    </row>
    <row r="12" customFormat="false" ht="15" hidden="false" customHeight="false" outlineLevel="0" collapsed="false">
      <c r="A12" s="57"/>
      <c r="B12" s="21"/>
      <c r="C12" s="21"/>
      <c r="D12" s="21"/>
      <c r="E12" s="21"/>
      <c r="F12" s="21"/>
      <c r="G12" s="58"/>
      <c r="H12" s="58"/>
      <c r="I12" s="57"/>
    </row>
    <row r="13" customFormat="false" ht="15" hidden="false" customHeight="false" outlineLevel="0" collapsed="false">
      <c r="A13" s="57"/>
      <c r="B13" s="21"/>
      <c r="C13" s="21"/>
      <c r="D13" s="21"/>
      <c r="E13" s="21"/>
      <c r="F13" s="21"/>
      <c r="G13" s="58"/>
      <c r="H13" s="58"/>
      <c r="I13" s="57"/>
    </row>
    <row r="14" customFormat="false" ht="15" hidden="false" customHeight="false" outlineLevel="0" collapsed="false">
      <c r="A14" s="57"/>
      <c r="B14" s="21"/>
      <c r="C14" s="21"/>
      <c r="D14" s="21"/>
      <c r="E14" s="21"/>
      <c r="F14" s="21"/>
      <c r="G14" s="58"/>
      <c r="H14" s="58"/>
      <c r="I14" s="57"/>
    </row>
    <row r="15" customFormat="false" ht="15" hidden="false" customHeight="false" outlineLevel="0" collapsed="false">
      <c r="A15" s="57"/>
      <c r="B15" s="21"/>
      <c r="C15" s="21"/>
      <c r="D15" s="21"/>
      <c r="E15" s="21"/>
      <c r="F15" s="21"/>
      <c r="G15" s="58"/>
      <c r="H15" s="58"/>
      <c r="I15" s="57"/>
    </row>
    <row r="16" customFormat="false" ht="15" hidden="false" customHeight="false" outlineLevel="0" collapsed="false">
      <c r="A16" s="57"/>
      <c r="B16" s="21"/>
      <c r="C16" s="21"/>
      <c r="D16" s="21"/>
      <c r="E16" s="21"/>
      <c r="F16" s="21"/>
      <c r="G16" s="58"/>
      <c r="H16" s="58"/>
      <c r="I16" s="57"/>
    </row>
    <row r="17" customFormat="false" ht="15" hidden="false" customHeight="false" outlineLevel="0" collapsed="false">
      <c r="A17" s="57"/>
      <c r="B17" s="21"/>
      <c r="C17" s="21"/>
      <c r="D17" s="21"/>
      <c r="E17" s="21"/>
      <c r="F17" s="21"/>
      <c r="G17" s="58"/>
      <c r="H17" s="58"/>
      <c r="I17" s="57"/>
    </row>
    <row r="18" customFormat="false" ht="15" hidden="false" customHeight="false" outlineLevel="0" collapsed="false">
      <c r="A18" s="57"/>
      <c r="B18" s="21"/>
      <c r="C18" s="21"/>
      <c r="D18" s="21"/>
      <c r="E18" s="21"/>
      <c r="F18" s="21"/>
      <c r="G18" s="58"/>
      <c r="H18" s="58"/>
      <c r="I18" s="57"/>
    </row>
    <row r="19" customFormat="false" ht="15" hidden="false" customHeight="false" outlineLevel="0" collapsed="false">
      <c r="A19" s="57"/>
      <c r="B19" s="21"/>
      <c r="C19" s="21"/>
      <c r="D19" s="21"/>
      <c r="E19" s="21"/>
      <c r="F19" s="21"/>
      <c r="G19" s="58"/>
      <c r="H19" s="58"/>
      <c r="I19" s="57"/>
    </row>
    <row r="20" customFormat="false" ht="15" hidden="false" customHeight="false" outlineLevel="0" collapsed="false">
      <c r="A20" s="57"/>
      <c r="B20" s="21"/>
      <c r="C20" s="21"/>
      <c r="D20" s="21"/>
      <c r="E20" s="21"/>
      <c r="F20" s="21"/>
      <c r="G20" s="58"/>
      <c r="H20" s="58"/>
      <c r="I20" s="57"/>
    </row>
    <row r="21" customFormat="false" ht="15" hidden="false" customHeight="false" outlineLevel="0" collapsed="false">
      <c r="A21" s="57"/>
      <c r="B21" s="21"/>
      <c r="C21" s="21"/>
      <c r="D21" s="21"/>
      <c r="E21" s="21"/>
      <c r="F21" s="21"/>
      <c r="G21" s="58"/>
      <c r="H21" s="58"/>
      <c r="I21" s="57"/>
    </row>
    <row r="22" customFormat="false" ht="15" hidden="false" customHeight="false" outlineLevel="0" collapsed="false">
      <c r="A22" s="57"/>
      <c r="B22" s="21"/>
      <c r="C22" s="21"/>
      <c r="D22" s="21"/>
      <c r="E22" s="21"/>
      <c r="F22" s="21"/>
      <c r="G22" s="58"/>
      <c r="H22" s="58"/>
      <c r="I22" s="57"/>
    </row>
    <row r="23" customFormat="false" ht="15" hidden="false" customHeight="false" outlineLevel="0" collapsed="false">
      <c r="A23" s="57"/>
      <c r="B23" s="21"/>
      <c r="C23" s="21"/>
      <c r="D23" s="21"/>
      <c r="E23" s="21"/>
      <c r="F23" s="21"/>
      <c r="G23" s="58"/>
      <c r="H23" s="58"/>
      <c r="I23" s="57"/>
    </row>
    <row r="24" customFormat="false" ht="15" hidden="false" customHeight="false" outlineLevel="0" collapsed="false">
      <c r="A24" s="57"/>
      <c r="B24" s="21"/>
      <c r="C24" s="21"/>
      <c r="D24" s="21"/>
      <c r="E24" s="21"/>
      <c r="F24" s="21"/>
      <c r="G24" s="58"/>
      <c r="H24" s="58"/>
      <c r="I24" s="57"/>
    </row>
    <row r="25" customFormat="false" ht="15" hidden="false" customHeight="false" outlineLevel="0" collapsed="false">
      <c r="A25" s="57"/>
      <c r="B25" s="21"/>
      <c r="C25" s="21"/>
      <c r="D25" s="21"/>
      <c r="E25" s="21"/>
      <c r="F25" s="21"/>
      <c r="G25" s="58"/>
      <c r="H25" s="58"/>
      <c r="I25" s="57"/>
    </row>
    <row r="26" customFormat="false" ht="15" hidden="false" customHeight="false" outlineLevel="0" collapsed="false">
      <c r="A26" s="57"/>
      <c r="B26" s="21"/>
      <c r="C26" s="21"/>
      <c r="D26" s="21"/>
      <c r="E26" s="21"/>
      <c r="F26" s="21"/>
      <c r="G26" s="58"/>
      <c r="H26" s="58"/>
      <c r="I26" s="57"/>
    </row>
    <row r="27" customFormat="false" ht="15" hidden="false" customHeight="false" outlineLevel="0" collapsed="false">
      <c r="A27" s="57"/>
      <c r="B27" s="21"/>
      <c r="C27" s="21"/>
      <c r="D27" s="21"/>
      <c r="E27" s="21"/>
      <c r="F27" s="21"/>
      <c r="G27" s="58"/>
      <c r="H27" s="58"/>
      <c r="I27" s="57"/>
    </row>
    <row r="28" customFormat="false" ht="15" hidden="false" customHeight="false" outlineLevel="0" collapsed="false">
      <c r="A28" s="57"/>
      <c r="B28" s="21"/>
      <c r="C28" s="21"/>
      <c r="D28" s="21"/>
      <c r="E28" s="21"/>
      <c r="F28" s="21"/>
      <c r="G28" s="58"/>
      <c r="H28" s="58"/>
      <c r="I28" s="57"/>
    </row>
    <row r="29" customFormat="false" ht="15" hidden="false" customHeight="false" outlineLevel="0" collapsed="false">
      <c r="A29" s="57"/>
      <c r="B29" s="21"/>
      <c r="C29" s="21"/>
      <c r="D29" s="21"/>
      <c r="E29" s="21"/>
      <c r="F29" s="21"/>
      <c r="G29" s="58"/>
      <c r="H29" s="58"/>
      <c r="I29" s="57"/>
    </row>
    <row r="31" customFormat="false" ht="15" hidden="false" customHeight="false" outlineLevel="0" collapsed="false">
      <c r="A31" s="17" t="s">
        <v>839</v>
      </c>
      <c r="B31" s="43"/>
      <c r="C31" s="43"/>
      <c r="D31" s="43"/>
      <c r="E31" s="43"/>
      <c r="F31" s="43"/>
      <c r="G31" s="42" t="n">
        <f aca="false">SUM(G5:G29)</f>
        <v>-310000</v>
      </c>
      <c r="H31" s="42" t="n">
        <f aca="false">SUM(H5:H29)</f>
        <v>-95000</v>
      </c>
      <c r="I31" s="43"/>
    </row>
    <row r="33" customFormat="false" ht="15" hidden="false" customHeight="false" outlineLevel="0" collapsed="false">
      <c r="A33" s="9" t="s">
        <v>840</v>
      </c>
    </row>
  </sheetData>
  <sheetProtection sheet="true" formatColumns="false" formatRows="false" sort="false" autoFilter="false"/>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52"/>
    <col collapsed="false" customWidth="true" hidden="false" outlineLevel="0" max="3" min="3" style="0" width="14"/>
    <col collapsed="false" customWidth="true" hidden="false" outlineLevel="0" max="4" min="4" style="0" width="10"/>
    <col collapsed="false" customWidth="true" hidden="false" outlineLevel="0" max="5" min="5" style="0" width="80"/>
  </cols>
  <sheetData>
    <row r="1" customFormat="false" ht="17.35" hidden="false" customHeight="false" outlineLevel="0" collapsed="false">
      <c r="A1" s="1" t="s">
        <v>841</v>
      </c>
    </row>
    <row r="2" customFormat="false" ht="15" hidden="false" customHeight="false" outlineLevel="0" collapsed="false">
      <c r="A2" s="2" t="s">
        <v>842</v>
      </c>
    </row>
    <row r="4" customFormat="false" ht="36" hidden="false" customHeight="true" outlineLevel="0" collapsed="false">
      <c r="A4" s="15" t="s">
        <v>556</v>
      </c>
      <c r="B4" s="15" t="s">
        <v>843</v>
      </c>
      <c r="C4" s="15" t="s">
        <v>844</v>
      </c>
      <c r="D4" s="15" t="s">
        <v>590</v>
      </c>
      <c r="E4" s="15" t="s">
        <v>845</v>
      </c>
    </row>
    <row r="5" customFormat="false" ht="15" hidden="false" customHeight="false" outlineLevel="0" collapsed="false">
      <c r="A5" s="9" t="n">
        <v>1</v>
      </c>
      <c r="B5" s="9" t="s">
        <v>846</v>
      </c>
      <c r="C5" s="10" t="n">
        <f aca="false">SUMPRODUCT((('KPI Library'!$D$5:$D$63="Decision")+('KPI Library'!$D$5:$D$63="Investigation trigger"))*(('KPI Library'!$G$5:$G$63="")+('KPI Library'!$L$5:$L$63="")+('KPI Library'!$M$5:$M$63="")))</f>
        <v>0</v>
      </c>
      <c r="D5" s="23" t="str">
        <f aca="false">IF(C5=0,"PASS","FAIL")</f>
        <v>PASS</v>
      </c>
      <c r="E5" s="9" t="s">
        <v>847</v>
      </c>
    </row>
    <row r="6" customFormat="false" ht="15" hidden="false" customHeight="false" outlineLevel="0" collapsed="false">
      <c r="A6" s="9" t="n">
        <v>2</v>
      </c>
      <c r="B6" s="9" t="s">
        <v>848</v>
      </c>
      <c r="C6" s="10" t="n">
        <f aca="false">SUMPRODUCT(('KPI Library'!$A$5:$A$63&lt;&gt;"")/COUNTIF('KPI Library'!$A$5:$A$63,'KPI Library'!$A$5:$A$63&amp;""))-COUNTA('KPI Library'!$A$5:$A$63)</f>
        <v>0</v>
      </c>
      <c r="D6" s="23" t="str">
        <f aca="false">IF(ABS(C6)&lt;0.001,"PASS","FAIL")</f>
        <v>PASS</v>
      </c>
      <c r="E6" s="9" t="s">
        <v>849</v>
      </c>
    </row>
    <row r="7" customFormat="false" ht="15" hidden="false" customHeight="false" outlineLevel="0" collapsed="false">
      <c r="A7" s="9" t="n">
        <v>3</v>
      </c>
      <c r="B7" s="9" t="s">
        <v>850</v>
      </c>
      <c r="C7" s="10" t="n">
        <f aca="false">COUNTA('Board Dashboard'!$A$5:$A$13)</f>
        <v>8</v>
      </c>
      <c r="D7" s="23" t="str">
        <f aca="false">IF(C7&lt;=8,"PASS","WARN")</f>
        <v>PASS</v>
      </c>
      <c r="E7" s="9" t="s">
        <v>851</v>
      </c>
    </row>
    <row r="8" customFormat="false" ht="15" hidden="false" customHeight="false" outlineLevel="0" collapsed="false">
      <c r="A8" s="9" t="n">
        <v>4</v>
      </c>
      <c r="B8" s="9" t="s">
        <v>852</v>
      </c>
      <c r="C8" s="10" t="n">
        <f aca="false">SUMPRODUCT(COUNTIFS('KPI Library'!$A$5:$A$63,'Board Dashboard'!$B$5:$B$12,'KPI Library'!$D$5:$D$63,"Misleading"))</f>
        <v>0</v>
      </c>
      <c r="D8" s="23" t="str">
        <f aca="false">IF(C8=0,"PASS","FAIL")</f>
        <v>PASS</v>
      </c>
      <c r="E8" s="9" t="s">
        <v>853</v>
      </c>
    </row>
    <row r="9" customFormat="false" ht="15" hidden="false" customHeight="false" outlineLevel="0" collapsed="false">
      <c r="A9" s="9" t="n">
        <v>5</v>
      </c>
      <c r="B9" s="9" t="s">
        <v>854</v>
      </c>
      <c r="C9" s="10" t="n">
        <f aca="false">SUMPRODUCT(COUNTIFS('KPI Library'!$A$5:$A$63,'SLT Dashboard'!$B$5:$B$17,'KPI Library'!$D$5:$D$63,"Misleading"))</f>
        <v>0</v>
      </c>
      <c r="D9" s="23" t="str">
        <f aca="false">IF(C9=0,"PASS","FAIL")</f>
        <v>PASS</v>
      </c>
      <c r="E9" s="9" t="s">
        <v>853</v>
      </c>
    </row>
    <row r="10" customFormat="false" ht="15" hidden="false" customHeight="false" outlineLevel="0" collapsed="false">
      <c r="A10" s="9" t="n">
        <v>6</v>
      </c>
      <c r="B10" s="9" t="s">
        <v>855</v>
      </c>
      <c r="C10" s="10" t="n">
        <f aca="false">SUMPRODUCT(--(COUNTIF('KPI Library'!$A$5:$A$63,'Board Dashboard'!$B$5:$B$12)=0))+SUMPRODUCT(--(COUNTIF('KPI Library'!$A$5:$A$63,'SLT Dashboard'!$B$5:$B$17)=0))</f>
        <v>0</v>
      </c>
      <c r="D10" s="23" t="str">
        <f aca="false">IF(C10=0,"PASS","WARN")</f>
        <v>PASS</v>
      </c>
      <c r="E10" s="9" t="s">
        <v>856</v>
      </c>
    </row>
    <row r="11" customFormat="false" ht="15" hidden="false" customHeight="false" outlineLevel="0" collapsed="false">
      <c r="A11" s="9" t="n">
        <v>7</v>
      </c>
      <c r="B11" s="9" t="s">
        <v>857</v>
      </c>
      <c r="C11" s="10" t="n">
        <f aca="false">COUNTBLANK('SLT Dashboard'!$M$5:$M$17)</f>
        <v>0</v>
      </c>
      <c r="D11" s="23" t="str">
        <f aca="false">IF(C11=0,"PASS","FAIL")</f>
        <v>PASS</v>
      </c>
      <c r="E11" s="9" t="s">
        <v>858</v>
      </c>
    </row>
    <row r="12" customFormat="false" ht="15" hidden="false" customHeight="false" outlineLevel="0" collapsed="false">
      <c r="A12" s="9" t="n">
        <v>8</v>
      </c>
      <c r="B12" s="9" t="s">
        <v>859</v>
      </c>
      <c r="C12" s="10" t="n">
        <f aca="false">COUNTIF('Board Dashboard'!$P$5:$P$12,"Set a plan")</f>
        <v>0</v>
      </c>
      <c r="D12" s="23" t="str">
        <f aca="false">IF(C12=0,"PASS","FAIL")</f>
        <v>PASS</v>
      </c>
      <c r="E12" s="9" t="s">
        <v>860</v>
      </c>
    </row>
    <row r="13" customFormat="false" ht="15" hidden="false" customHeight="false" outlineLevel="0" collapsed="false">
      <c r="A13" s="9" t="n">
        <v>9</v>
      </c>
      <c r="B13" s="9" t="s">
        <v>861</v>
      </c>
      <c r="C13" s="10" t="n">
        <f aca="false">SUMPRODUCT(('Board Dashboard'!$P$5:$P$12="Act")*('Board Dashboard'!$T$5:$T$12=""))</f>
        <v>0</v>
      </c>
      <c r="D13" s="23" t="str">
        <f aca="false">IF(C13=0,"PASS","WARN")</f>
        <v>PASS</v>
      </c>
      <c r="E13" s="9" t="s">
        <v>862</v>
      </c>
    </row>
    <row r="14" customFormat="false" ht="15" hidden="false" customHeight="false" outlineLevel="0" collapsed="false">
      <c r="A14" s="9" t="n">
        <v>10</v>
      </c>
      <c r="B14" s="9" t="s">
        <v>863</v>
      </c>
      <c r="C14" s="10" t="n">
        <f aca="false">SUMPRODUCT(('SLT Dashboard'!$N$5:$N$17="Act")*('SLT Dashboard'!$S$5:$S$17=""))</f>
        <v>0</v>
      </c>
      <c r="D14" s="23" t="str">
        <f aca="false">IF(C14=0,"PASS","WARN")</f>
        <v>PASS</v>
      </c>
      <c r="E14" s="9" t="s">
        <v>864</v>
      </c>
    </row>
    <row r="15" customFormat="false" ht="15" hidden="false" customHeight="false" outlineLevel="0" collapsed="false">
      <c r="A15" s="9" t="n">
        <v>11</v>
      </c>
      <c r="B15" s="9" t="s">
        <v>865</v>
      </c>
      <c r="C15" s="10" t="n">
        <f aca="false">COUNTIF('Meaningful Test'!$K$5:$K$44,"Answer all six")</f>
        <v>0</v>
      </c>
      <c r="D15" s="23" t="str">
        <f aca="false">IF(C15=0,"PASS","WARN")</f>
        <v>PASS</v>
      </c>
      <c r="E15" s="9" t="s">
        <v>866</v>
      </c>
    </row>
    <row r="16" customFormat="false" ht="15" hidden="false" customHeight="false" outlineLevel="0" collapsed="false">
      <c r="A16" s="9" t="n">
        <v>12</v>
      </c>
      <c r="B16" s="9" t="s">
        <v>867</v>
      </c>
      <c r="C16" s="10" t="str">
        <f aca="false">'Driver Tree'!E28</f>
        <v>Ties</v>
      </c>
      <c r="D16" s="23" t="str">
        <f aca="false">IF(C16="Ties","PASS","FAIL")</f>
        <v>PASS</v>
      </c>
      <c r="E16" s="9" t="s">
        <v>868</v>
      </c>
    </row>
    <row r="17" customFormat="false" ht="15" hidden="false" customHeight="false" outlineLevel="0" collapsed="false">
      <c r="A17" s="9" t="n">
        <v>13</v>
      </c>
      <c r="B17" s="9" t="s">
        <v>869</v>
      </c>
      <c r="C17" s="10" t="str">
        <f aca="false">'Driver Tree'!E36</f>
        <v>Ties</v>
      </c>
      <c r="D17" s="23" t="str">
        <f aca="false">IF(C17="Ties","PASS","FAIL")</f>
        <v>PASS</v>
      </c>
      <c r="E17" s="9" t="s">
        <v>868</v>
      </c>
    </row>
    <row r="19" customFormat="false" ht="15" hidden="false" customHeight="false" outlineLevel="0" collapsed="false">
      <c r="B19" s="3" t="s">
        <v>870</v>
      </c>
      <c r="D19" s="23" t="str">
        <f aca="false">IF(COUNTIF(D5:D17,"FAIL")&gt;0,"FAIL",IF(COUNTIF(D5:D17,"WARN")&gt;0,"WARN","PASS"))</f>
        <v>PASS</v>
      </c>
    </row>
  </sheetData>
  <sheetProtection sheet="true" formatColumns="false" formatRows="false" sort="false" autoFilter="false"/>
  <conditionalFormatting sqref="D5:D19">
    <cfRule type="cellIs" priority="2" operator="equal" aboveAverage="0" equalAverage="0" bottom="0" percent="0" rank="0" text="" dxfId="0">
      <formula>"PASS"</formula>
    </cfRule>
    <cfRule type="cellIs" priority="3" operator="equal" aboveAverage="0" equalAverage="0" bottom="0" percent="0" rank="0" text="" dxfId="0">
      <formula>"On plan"</formula>
    </cfRule>
    <cfRule type="cellIs" priority="4" operator="equal" aboveAverage="0" equalAverage="0" bottom="0" percent="0" rank="0" text="" dxfId="0">
      <formula>"OK"</formula>
    </cfRule>
    <cfRule type="cellIs" priority="5" operator="equal" aboveAverage="0" equalAverage="0" bottom="0" percent="0" rank="0" text="" dxfId="0">
      <formula>"Ahead"</formula>
    </cfRule>
    <cfRule type="cellIs" priority="6" operator="equal" aboveAverage="0" equalAverage="0" bottom="0" percent="0" rank="0" text="" dxfId="1">
      <formula>"WARN"</formula>
    </cfRule>
    <cfRule type="cellIs" priority="7" operator="equal" aboveAverage="0" equalAverage="0" bottom="0" percent="0" rank="0" text="" dxfId="1">
      <formula>"Watch"</formula>
    </cfRule>
    <cfRule type="cellIs" priority="8" operator="equal" aboveAverage="0" equalAverage="0" bottom="0" percent="0" rank="0" text="" dxfId="2">
      <formula>"FAIL"</formula>
    </cfRule>
    <cfRule type="cellIs" priority="9" operator="equal" aboveAverage="0" equalAverage="0" bottom="0" percent="0" rank="0" text="" dxfId="2">
      <formula>"Act"</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2026-10-27T22:12:25Z</dcterms:created>
  <dc:creator>openpyxl</dc:creator>
  <dc:description/>
  <dc:language>en-US</dc:language>
  <cp:lastModifiedBy/>
  <dcterms:modified xsi:type="dcterms:W3CDTF">2026-10-27T22:12:25Z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