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lockStructure="1"/>
  <bookViews>
    <workbookView showHorizontalScroll="true" showVerticalScroll="true" showSheetTabs="true" xWindow="0" yWindow="0" windowWidth="16384" windowHeight="8192" tabRatio="500" firstSheet="0" activeTab="1"/>
  </bookViews>
  <sheets>
    <sheet name="Read Me" sheetId="1" state="visible" r:id="rId3"/>
    <sheet name="Overview" sheetId="2" state="visible" r:id="rId4"/>
    <sheet name="Settings" sheetId="3" state="visible" r:id="rId5"/>
    <sheet name="Pre-Event Plan" sheetId="4" state="visible" r:id="rId6"/>
    <sheet name="Event Data" sheetId="5" state="visible" r:id="rId7"/>
    <sheet name="Promotion P&amp;L"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<sst xmlns="http://schemas.openxmlformats.org/spreadsheetml/2006/main" count="267" uniqueCount="231">
  <si>
    <t xml:space="preserve">Promotion Economics</t>
  </si>
  <si>
    <t xml:space="preserve">Barking Cat. Diagnosis before solutions.</t>
  </si>
  <si>
    <t xml:space="preserve">What this is</t>
  </si>
  <si>
    <t xml:space="preserve">Two tools for one decision. Before the event, the Pre-Event Plan says how much a discount has to lift volume just to pay for itself, whether the stock will last, and when to stop. After the event, the Promotion P&amp;L sets what happened against what would have happened anyway, and gives a verdict.</t>
  </si>
  <si>
    <t xml:space="preserve">The figures belong to a fictional retailer and describe no real business or benchmark.</t>
  </si>
  <si>
    <t xml:space="preserve">The four questions every promotion must answer</t>
  </si>
  <si>
    <t xml:space="preserve">What would have sold anyway? What margin did the discount give away on those sales? What did it borrow from the weeks after? What stock did it clear, and what did that save?</t>
  </si>
  <si>
    <t xml:space="preserve">Most promotion reviews answer none of them. They report the sales line, and every function claims the uplift.</t>
  </si>
  <si>
    <t xml:space="preserve">Before the event</t>
  </si>
  <si>
    <t xml:space="preserve">Break-even uplift = discount / (contribution margin - discount), before any cost of running the event. At 25% off a line with a 48% contribution margin, volume has to rise by more than 100% just to stand still. The plan adds media, fixed costs, supplier funding, the sales borrowed from the following weeks and the sales lost on other lines, and gives the uplift needed with every cost counted.</t>
  </si>
  <si>
    <t xml:space="preserve">The stock check divides the stock on the promoted lines by the planned daily rate. If it runs out before the event ends, the last days sell what is left, not what is wanted.</t>
  </si>
  <si>
    <t xml:space="preserve">After the event</t>
  </si>
  <si>
    <t xml:space="preserve">Enter totals for three periods, before, during and after, for the promoted lines and for everything else. The counterfactual takes the daily rate on the promoted lines before the event and scales it by the season, measured either from the lines not in the promotion or from a factor you enter.</t>
  </si>
  <si>
    <t xml:space="preserve">The P&amp;L compares expected and actual line by line, down to contribution after the cost of running the event. Then it subtracts what the following weeks gave back, and, with a manual factor, the halo or cannibalisation on other lines.</t>
  </si>
  <si>
    <t xml:space="preserve">The verdict</t>
  </si>
  <si>
    <t xml:space="preserve">Scale or repeat: it made money and gave little back. Repeat, smaller: it made money, but much of it was borrowed from the weeks after. Fix: it made money, but availability or execution leaked sales. Clearance only: it lost money, but the markdown it saved on aged stock more than covers the loss. Stop: it moved sales without making money.</t>
  </si>
  <si>
    <t xml:space="preserve">Colour key and protection</t>
  </si>
  <si>
    <t xml:space="preserve">Blue text on a pale gold fill: an input. Black or green text: a formula.</t>
  </si>
  <si>
    <t xml:space="preserve">Every sheet is protected so only inputs can be edited. There is no password: Review, then Unprotect Sheet, to change the workbook itself.</t>
  </si>
  <si>
    <t xml:space="preserve">Limits</t>
  </si>
  <si>
    <t xml:space="preserve">The counterfactual is an estimate. A holdout, where a region, a customer segment or a set of lines is deliberately left out of the promotion, is better evidence; where you have one, enter its figures as the control lines.</t>
  </si>
  <si>
    <t xml:space="preserve">The tool does not measure what customers learn. A business that promotes often trains customers to wait; the weeks after capture some of that, not all of it.</t>
  </si>
  <si>
    <t xml:space="preserve">Built by Barking Cat. Version v1.0.</t>
  </si>
  <si>
    <t xml:space="preserve">Barking Cat Advisory Limited. Registered in England and Wales, company number 17338003. Registered office: The Old Constabulary, Welsh Row, Nantwich, Cheshire CW5 5ET. barkingcat.ai</t>
  </si>
  <si>
    <t xml:space="preserve">Overview</t>
  </si>
  <si>
    <t xml:space="preserve">Before the event: will the discount pay? After it: did it make money, or merely move it?</t>
  </si>
  <si>
    <t xml:space="preserve">Checks</t>
  </si>
  <si>
    <t xml:space="preserve">Event</t>
  </si>
  <si>
    <t xml:space="preserve">Discount and length</t>
  </si>
  <si>
    <t xml:space="preserve">Uplift assumed</t>
  </si>
  <si>
    <t xml:space="preserve">Uplift needed to break even, every cost counted</t>
  </si>
  <si>
    <t xml:space="preserve">Net incremental contribution on the plan (£)</t>
  </si>
  <si>
    <t xml:space="preserve">Stock check</t>
  </si>
  <si>
    <t xml:space="preserve">Now what?</t>
  </si>
  <si>
    <t xml:space="preserve">Verdict</t>
  </si>
  <si>
    <t xml:space="preserve">Net incremental contribution (£)</t>
  </si>
  <si>
    <t xml:space="preserve">Made in the event (£)</t>
  </si>
  <si>
    <t xml:space="preserve">Given back in the weeks after (£)</t>
  </si>
  <si>
    <t xml:space="preserve">Margin given away on sales that would have happened anyway (£)</t>
  </si>
  <si>
    <t xml:space="preserve">Clearance value (£)</t>
  </si>
  <si>
    <t xml:space="preserve">What?</t>
  </si>
  <si>
    <t xml:space="preserve">So what?</t>
  </si>
  <si>
    <t xml:space="preserve">Owner</t>
  </si>
  <si>
    <t xml:space="preserve">Settings</t>
  </si>
  <si>
    <t xml:space="preserve">Shared assumptions. Values are examples: replace them with your own.</t>
  </si>
  <si>
    <t xml:space="preserve">Setting</t>
  </si>
  <si>
    <t xml:space="preserve">Value</t>
  </si>
  <si>
    <t xml:space="preserve">Notes</t>
  </si>
  <si>
    <t xml:space="preserve">Retailer</t>
  </si>
  <si>
    <t xml:space="preserve">Example Retailer (fictional)</t>
  </si>
  <si>
    <t xml:space="preserve">Variable cost per order (£)</t>
  </si>
  <si>
    <t xml:space="preserve">Pick, pack, carriage, packaging, payment and service, net of delivery income.</t>
  </si>
  <si>
    <t xml:space="preserve">Returns handling cost (% of value returned)</t>
  </si>
  <si>
    <t xml:space="preserve">Postage and processing on returned orders.</t>
  </si>
  <si>
    <t xml:space="preserve">Best-seller availability below which the event leaked sales</t>
  </si>
  <si>
    <t xml:space="preserve">Promoted best sellers with every core size in stock, through the event.</t>
  </si>
  <si>
    <t xml:space="preserve">Share of the event's gain given back afterwards that signals pull-forward</t>
  </si>
  <si>
    <t xml:space="preserve">Above this, the promotion borrowed more than it created.</t>
  </si>
  <si>
    <t xml:space="preserve">Owner of the promotion decision</t>
  </si>
  <si>
    <t xml:space="preserve">Commercial Director</t>
  </si>
  <si>
    <t xml:space="preserve">Before the event: will the discount pay?</t>
  </si>
  <si>
    <t xml:space="preserve">A discount gives away margin on every unit, including the ones that would have sold anyway. The volume has to grow by enough to pay for that, and for the costs of running the event.</t>
  </si>
  <si>
    <t xml:space="preserve">The plan</t>
  </si>
  <si>
    <t xml:space="preserve">Black Friday 2026 (example)</t>
  </si>
  <si>
    <t xml:space="preserve">Label only.</t>
  </si>
  <si>
    <t xml:space="preserve">Event length (days)</t>
  </si>
  <si>
    <t xml:space="preserve">Units a day on the promoted lines, without the promotion</t>
  </si>
  <si>
    <t xml:space="preserve">The baseline: what these lines would sell on those days at full price. Take it from the same days last year adjusted for growth, or from the weeks before.</t>
  </si>
  <si>
    <t xml:space="preserve">Average full price per unit (£)</t>
  </si>
  <si>
    <t xml:space="preserve">Gross margin at full price (on full price)</t>
  </si>
  <si>
    <t xml:space="preserve">Before returns. Cost of goods divided by full price, taken from one.</t>
  </si>
  <si>
    <t xml:space="preserve">Variable cost per unit (% of full price)</t>
  </si>
  <si>
    <t xml:space="preserve">Fulfilment, payment and returns handling, spread per unit.</t>
  </si>
  <si>
    <t xml:space="preserve">Planned discount depth</t>
  </si>
  <si>
    <t xml:space="preserve">Expected volume uplift</t>
  </si>
  <si>
    <t xml:space="preserve">Extra units on the promoted lines against the baseline. 110% means 2.1 times the baseline.</t>
  </si>
  <si>
    <t xml:space="preserve">Share of the extra units borrowed from the weeks after</t>
  </si>
  <si>
    <t xml:space="preserve">Customers who would have bought at full price later, buying now at a discount instead.</t>
  </si>
  <si>
    <t xml:space="preserve">Net sales a day on lines not in the promotion (£)</t>
  </si>
  <si>
    <t xml:space="preserve">Share of those sales lost to the promotion</t>
  </si>
  <si>
    <t xml:space="preserve">Customers who buy a discounted line instead of a full-price one.</t>
  </si>
  <si>
    <t xml:space="preserve">Contribution margin on lines not in the promotion</t>
  </si>
  <si>
    <t xml:space="preserve">Media spend on the promotion (£)</t>
  </si>
  <si>
    <t xml:space="preserve">Creative and other fixed costs (£)</t>
  </si>
  <si>
    <t xml:space="preserve">Supplier funding (£)</t>
  </si>
  <si>
    <t xml:space="preserve">Money suppliers contribute towards the discount or the media.</t>
  </si>
  <si>
    <t xml:space="preserve">Units in stock on the promoted lines</t>
  </si>
  <si>
    <t xml:space="preserve">Sellable online.</t>
  </si>
  <si>
    <t xml:space="preserve">What the numbers say</t>
  </si>
  <si>
    <t xml:space="preserve">Contribution per unit at full price (£)</t>
  </si>
  <si>
    <t xml:space="preserve">Contribution per unit at the promoted price (£)</t>
  </si>
  <si>
    <t xml:space="preserve">Break-even uplift before costs and pull-forward</t>
  </si>
  <si>
    <t xml:space="preserve">Break-even uplift with every cost and the pull-forward</t>
  </si>
  <si>
    <t xml:space="preserve">Units planned</t>
  </si>
  <si>
    <t xml:space="preserve">Contribution without the promotion (£)</t>
  </si>
  <si>
    <t xml:space="preserve">Contribution in the event (£)</t>
  </si>
  <si>
    <t xml:space="preserve">Less: sales borrowed from the weeks after (£)</t>
  </si>
  <si>
    <t xml:space="preserve">Less: sales lost on lines not in the promotion (£)</t>
  </si>
  <si>
    <t xml:space="preserve">Less: promotion costs net of supplier funding (£)</t>
  </si>
  <si>
    <t xml:space="preserve">Memo: margin given away on units that would have sold anyway (£)</t>
  </si>
  <si>
    <t xml:space="preserve">Days of stock at the planned rate</t>
  </si>
  <si>
    <t xml:space="preserve">Units short of the plan</t>
  </si>
  <si>
    <t xml:space="preserve">Contribution lost to running out (£, estimate)</t>
  </si>
  <si>
    <t xml:space="preserve">What? So what? Now what?</t>
  </si>
  <si>
    <t xml:space="preserve">Break-even uplift by discount depth and contribution margin</t>
  </si>
  <si>
    <t xml:space="preserve">Read across from your contribution margin before the discount (gross margin less variable cost). The cell is the extra volume needed just to stand still, before any media or fixed cost.</t>
  </si>
  <si>
    <t xml:space="preserve">Discount depth</t>
  </si>
  <si>
    <t xml:space="preserve">30% margin</t>
  </si>
  <si>
    <t xml:space="preserve">35% margin</t>
  </si>
  <si>
    <t xml:space="preserve">40% margin</t>
  </si>
  <si>
    <t xml:space="preserve">45% margin</t>
  </si>
  <si>
    <t xml:space="preserve">50% margin</t>
  </si>
  <si>
    <t xml:space="preserve">55% margin</t>
  </si>
  <si>
    <t xml:space="preserve">60% margin</t>
  </si>
  <si>
    <t xml:space="preserve">65% margin</t>
  </si>
  <si>
    <t xml:space="preserve">70% margin</t>
  </si>
  <si>
    <t xml:space="preserve">Stop conditions: agree them before the event starts</t>
  </si>
  <si>
    <t xml:space="preserve">Signal</t>
  </si>
  <si>
    <t xml:space="preserve">Threshold (example)</t>
  </si>
  <si>
    <t xml:space="preserve">Action</t>
  </si>
  <si>
    <t xml:space="preserve">Availability of promoted best sellers</t>
  </si>
  <si>
    <t xml:space="preserve">Below 85% of core sizes in stock</t>
  </si>
  <si>
    <t xml:space="preserve">Pull paid media from the broken lines; switch the hero slot to a line with depth</t>
  </si>
  <si>
    <t xml:space="preserve">Ecommerce Trading Manager</t>
  </si>
  <si>
    <t xml:space="preserve">Contribution per order</t>
  </si>
  <si>
    <t xml:space="preserve">Below £8 for two hours</t>
  </si>
  <si>
    <t xml:space="preserve">Narrow the offer or lift the threshold</t>
  </si>
  <si>
    <t xml:space="preserve">Trading Manager</t>
  </si>
  <si>
    <t xml:space="preserve">Checkout completion or payment acceptance</t>
  </si>
  <si>
    <t xml:space="preserve">Down two points in an hour</t>
  </si>
  <si>
    <t xml:space="preserve">Incident call; roll back the last change</t>
  </si>
  <si>
    <t xml:space="preserve">Head of Ecommerce</t>
  </si>
  <si>
    <t xml:space="preserve">Delivery promise</t>
  </si>
  <si>
    <t xml:space="preserve">Promise dates slipping past the carrier's capacity</t>
  </si>
  <si>
    <t xml:space="preserve">Change the promise at checkout before customers find out</t>
  </si>
  <si>
    <t xml:space="preserve">Operations Manager</t>
  </si>
  <si>
    <t xml:space="preserve">Returns intent</t>
  </si>
  <si>
    <t xml:space="preserve">Returns reasons on promoted lines spike in early returns</t>
  </si>
  <si>
    <t xml:space="preserve">Check size guidance and imagery on the hero lines</t>
  </si>
  <si>
    <t xml:space="preserve">After the event: the data</t>
  </si>
  <si>
    <t xml:space="preserve">Totals for three periods: before, during and after the event, for the promoted lines and for everything else. Every value is ex VAT. The sample is a fictional retailer's four-day event.</t>
  </si>
  <si>
    <t xml:space="preserve">Black Friday 2025 (example)</t>
  </si>
  <si>
    <t xml:space="preserve">Counterfactual method</t>
  </si>
  <si>
    <t xml:space="preserve">Control lines</t>
  </si>
  <si>
    <t xml:space="preserve">Control lines: the lines not in the promotion show what the season did. Manual factor: enter the seasonal lift yourself.</t>
  </si>
  <si>
    <t xml:space="preserve">Manual factor: event days against the days before</t>
  </si>
  <si>
    <t xml:space="preserve">Used only with Manual factor. 1.15 means the event days would have traded 15% above the daily rate before, with no promotion.</t>
  </si>
  <si>
    <t xml:space="preserve">Manual factor: the weeks after against the days before</t>
  </si>
  <si>
    <t xml:space="preserve">Used only with Manual factor.</t>
  </si>
  <si>
    <t xml:space="preserve">Period and lines</t>
  </si>
  <si>
    <t xml:space="preserve">Days</t>
  </si>
  <si>
    <t xml:space="preserve">Orders</t>
  </si>
  <si>
    <t xml:space="preserve">Units</t>
  </si>
  <si>
    <t xml:space="preserve">Full-price value (£)</t>
  </si>
  <si>
    <t xml:space="preserve">Discount given (£)</t>
  </si>
  <si>
    <t xml:space="preserve">Returns (£)</t>
  </si>
  <si>
    <t xml:space="preserve">Cost of goods on items kept (£)</t>
  </si>
  <si>
    <t xml:space="preserve">New customers</t>
  </si>
  <si>
    <t xml:space="preserve">Before: promoted lines</t>
  </si>
  <si>
    <t xml:space="preserve">Before: other lines</t>
  </si>
  <si>
    <t xml:space="preserve">Event: promoted lines</t>
  </si>
  <si>
    <t xml:space="preserve">Event: other lines</t>
  </si>
  <si>
    <t xml:space="preserve">After: promoted lines</t>
  </si>
  <si>
    <t xml:space="preserve">After: other lines</t>
  </si>
  <si>
    <t xml:space="preserve">The event itself</t>
  </si>
  <si>
    <t xml:space="preserve">Aged or end-of-life units sold in the event</t>
  </si>
  <si>
    <t xml:space="preserve">Average full price of those units (£)</t>
  </si>
  <si>
    <t xml:space="preserve">Markdown they would have needed later</t>
  </si>
  <si>
    <t xml:space="preserve">Availability of promoted best sellers through the event</t>
  </si>
  <si>
    <t xml:space="preserve">Minutes of checkout or payment incident in the event</t>
  </si>
  <si>
    <t xml:space="preserve">New customers from the event: second order within 90 days (optional)</t>
  </si>
  <si>
    <t xml:space="preserve">New customers normally: second order within 90 days (optional)</t>
  </si>
  <si>
    <t xml:space="preserve">After the event: did it make money, or merely move it?</t>
  </si>
  <si>
    <t xml:space="preserve">The promoted lines against what they would have done without the promotion, then the weeks after, then the other lines. The counterfactual is an estimate; the method is stated beside it.</t>
  </si>
  <si>
    <t xml:space="preserve">Seasonal factor, event days</t>
  </si>
  <si>
    <t xml:space="preserve">How much the season lifted trading on the event days, with no promotion</t>
  </si>
  <si>
    <t xml:space="preserve">Seasonal factor, the weeks after</t>
  </si>
  <si>
    <t xml:space="preserve">The same for the weeks after</t>
  </si>
  <si>
    <t xml:space="preserve">The event: promoted lines</t>
  </si>
  <si>
    <t xml:space="preserve">Measure</t>
  </si>
  <si>
    <t xml:space="preserve">Expected without the promotion</t>
  </si>
  <si>
    <t xml:space="preserve">Actual</t>
  </si>
  <si>
    <t xml:space="preserve">Difference</t>
  </si>
  <si>
    <t xml:space="preserve">Gross demand after discount (£)</t>
  </si>
  <si>
    <t xml:space="preserve">Net sales (£)</t>
  </si>
  <si>
    <t xml:space="preserve">Gross margin (£)</t>
  </si>
  <si>
    <t xml:space="preserve">Variable costs (£)</t>
  </si>
  <si>
    <t xml:space="preserve">Contribution before promotion costs (£)</t>
  </si>
  <si>
    <t xml:space="preserve">Promotion costs net of supplier funding (£)</t>
  </si>
  <si>
    <t xml:space="preserve">Contribution after promotion costs (£)</t>
  </si>
  <si>
    <t xml:space="preserve">The weeks after, and the rest of the range</t>
  </si>
  <si>
    <t xml:space="preserve">Expected</t>
  </si>
  <si>
    <t xml:space="preserve">Promoted lines, the weeks after: contribution (£)</t>
  </si>
  <si>
    <t xml:space="preserve">Other lines, the event days: contribution (£)</t>
  </si>
  <si>
    <t xml:space="preserve">The verdict in money</t>
  </si>
  <si>
    <t xml:space="preserve">Incremental contribution in the event (£)</t>
  </si>
  <si>
    <t xml:space="preserve">Halo or cannibalisation on other lines (£)</t>
  </si>
  <si>
    <t xml:space="preserve">Memo: margin given away on sales that would have happened anyway (£)</t>
  </si>
  <si>
    <t xml:space="preserve">Memo: volume uplift achieved (full-price value)</t>
  </si>
  <si>
    <t xml:space="preserve">Memo: break-even uplift at the depth run, before promotion costs</t>
  </si>
  <si>
    <t xml:space="preserve">Share of the event's gain given back afterwards</t>
  </si>
  <si>
    <t xml:space="preserve">Clearance value: markdown avoided on aged stock sold now (£)</t>
  </si>
  <si>
    <t xml:space="preserve">New customers: actual against expected</t>
  </si>
  <si>
    <t xml:space="preserve">Second-order rate: event customers against normal</t>
  </si>
  <si>
    <t xml:space="preserve">Method: the event is set against the daily rate on the promoted lines before it, scaled by the season. The control-lines method assumes the other lines were not moved by the promotion. If they were, use a manual factor from a year without the event. Either way the counterfactual is an estimate, and the verdict is only as good as it.</t>
  </si>
  <si>
    <t xml:space="preserve">FAIL means fix before reading the verdict. WARN means look first.</t>
  </si>
  <si>
    <t xml:space="preserve">#</t>
  </si>
  <si>
    <t xml:space="preserve">Check</t>
  </si>
  <si>
    <t xml:space="preserve">Status</t>
  </si>
  <si>
    <t xml:space="preserve">What to do</t>
  </si>
  <si>
    <t xml:space="preserve">Every period has days</t>
  </si>
  <si>
    <t xml:space="preserve">Enter the number of days in each period.</t>
  </si>
  <si>
    <t xml:space="preserve">The promoted lines traded before the event</t>
  </si>
  <si>
    <t xml:space="preserve">The counterfactual is built from the period before; it needs sales.</t>
  </si>
  <si>
    <t xml:space="preserve">Control lines traded in every period (control method)</t>
  </si>
  <si>
    <t xml:space="preserve">With the control method, the other lines need sales before, during and after.</t>
  </si>
  <si>
    <t xml:space="preserve">Discount no more than full-price value</t>
  </si>
  <si>
    <t xml:space="preserve">Check the discount column.</t>
  </si>
  <si>
    <t xml:space="preserve">Returns no more than demand</t>
  </si>
  <si>
    <t xml:space="preserve">Check the returns column.</t>
  </si>
  <si>
    <t xml:space="preserve">Manual factors set (manual method)</t>
  </si>
  <si>
    <t xml:space="preserve">Enter both seasonal factors.</t>
  </si>
  <si>
    <t xml:space="preserve">Planned discount leaves contribution after the borrowed sales</t>
  </si>
  <si>
    <t xml:space="preserve">At this depth the plan can never pay. Test a shallower discount.</t>
  </si>
  <si>
    <t xml:space="preserve">Planned stock covers the event</t>
  </si>
  <si>
    <t xml:space="preserve">Buy deeper, narrow the range or protect the best sellers.</t>
  </si>
  <si>
    <t xml:space="preserve">Shares between 0% and 100%</t>
  </si>
  <si>
    <t xml:space="preserve">A share outside 0 to 100% breaks the arithmetic.</t>
  </si>
  <si>
    <t xml:space="preserve">Event availability recorded</t>
  </si>
  <si>
    <t xml:space="preserve">Without it, the verdict cannot tell a promotion that worked from one that ran out.</t>
  </si>
  <si>
    <t xml:space="preserve">Overall status</t>
  </si>
</sst>
</file>

<file path=xl/styles.xml><?xml version="1.0" encoding="utf-8"?>
<styleSheet xmlns="http://schemas.openxmlformats.org/spreadsheetml/2006/main">
  <numFmts count="9">
    <numFmt numFmtId="164" formatCode="General"/>
    <numFmt numFmtId="165" formatCode="0%;\(0%\);\-"/>
    <numFmt numFmtId="166" formatCode="\£#,##0;&quot;(£&quot;#,##0\);\-"/>
    <numFmt numFmtId="167" formatCode="\£#,##0.00;&quot;(£&quot;#,##0.00\);\-"/>
    <numFmt numFmtId="168" formatCode="0.0%;\(0.0%\);\-"/>
    <numFmt numFmtId="169" formatCode="0"/>
    <numFmt numFmtId="170" formatCode="#,##0;\(#,##0\);\-"/>
    <numFmt numFmtId="171" formatCode="0.00;\(0.00\);\-"/>
    <numFmt numFmtId="172" formatCode="\+0.0%;\-0.0%;\-"/>
  </numFmts>
  <fonts count="20">
    <font>
      <sz val="11"/>
      <color theme="1"/>
      <name val="Calibri"/>
      <family val="2"/>
      <charset val="1"/>
    </font>
    <font>
      <sz val="10"/>
      <name val="Arial"/>
      <family val="0"/>
    </font>
    <font>
      <sz val="10"/>
      <name val="Arial"/>
      <family val="0"/>
    </font>
    <font>
      <sz val="10"/>
      <name val="Arial"/>
      <family val="0"/>
    </font>
    <font>
      <b val="true"/>
      <sz val="14"/>
      <color rgb="FF002147"/>
      <name val="Arial"/>
      <family val="0"/>
      <charset val="1"/>
    </font>
    <font>
      <i val="true"/>
      <sz val="9"/>
      <color rgb="FF4A4A4A"/>
      <name val="Arial"/>
      <family val="0"/>
      <charset val="1"/>
    </font>
    <font>
      <b val="true"/>
      <sz val="11"/>
      <color rgb="FF002147"/>
      <name val="Arial"/>
      <family val="0"/>
      <charset val="1"/>
    </font>
    <font>
      <sz val="10"/>
      <color rgb="FF222222"/>
      <name val="Arial"/>
      <family val="0"/>
      <charset val="1"/>
    </font>
    <font>
      <sz val="10"/>
      <color rgb="FF0000FF"/>
      <name val="Arial"/>
      <family val="0"/>
      <charset val="1"/>
    </font>
    <font>
      <i val="true"/>
      <sz val="10"/>
      <color rgb="FF002147"/>
      <name val="Arial"/>
      <family val="0"/>
      <charset val="1"/>
    </font>
    <font>
      <sz val="8"/>
      <color rgb="FF4A4A4A"/>
      <name val="Arial"/>
      <family val="0"/>
      <charset val="1"/>
    </font>
    <font>
      <sz val="11"/>
      <color rgb="FF222222"/>
      <name val="Arial"/>
      <family val="0"/>
      <charset val="1"/>
    </font>
    <font>
      <sz val="11"/>
      <color rgb="FF008000"/>
      <name val="Arial"/>
      <family val="0"/>
      <charset val="1"/>
    </font>
    <font>
      <b val="true"/>
      <sz val="10"/>
      <color rgb="FF002147"/>
      <name val="Arial"/>
      <family val="0"/>
      <charset val="1"/>
    </font>
    <font>
      <b val="true"/>
      <sz val="12"/>
      <color rgb="FFC69214"/>
      <name val="Arial"/>
      <family val="0"/>
      <charset val="1"/>
    </font>
    <font>
      <b val="true"/>
      <sz val="9"/>
      <color rgb="FFFDFCF9"/>
      <name val="Arial"/>
      <family val="0"/>
      <charset val="1"/>
    </font>
    <font>
      <sz val="9"/>
      <color rgb="FF0000FF"/>
      <name val="Arial"/>
      <family val="0"/>
      <charset val="1"/>
    </font>
    <font>
      <sz val="11"/>
      <color rgb="FF000000"/>
      <name val="Arial"/>
      <family val="0"/>
      <charset val="1"/>
    </font>
    <font>
      <b val="true"/>
      <sz val="10"/>
      <color rgb="FF222222"/>
      <name val="Arial"/>
      <family val="0"/>
      <charset val="1"/>
    </font>
    <font>
      <b val="true"/>
      <sz val="10"/>
      <color rgb="FF000000"/>
      <name val="Arial"/>
      <family val="0"/>
      <charset val="1"/>
    </font>
  </fonts>
  <fills count="6">
    <fill>
      <patternFill patternType="none"/>
    </fill>
    <fill>
      <patternFill patternType="gray125"/>
    </fill>
    <fill>
      <patternFill patternType="solid">
        <fgColor rgb="FFFFF4D6"/>
        <bgColor rgb="FFF2F2F2"/>
      </patternFill>
    </fill>
    <fill>
      <patternFill patternType="solid">
        <fgColor rgb="FFE6E9EE"/>
        <bgColor rgb="FFF2F2F2"/>
      </patternFill>
    </fill>
    <fill>
      <patternFill patternType="solid">
        <fgColor rgb="FF002147"/>
        <bgColor rgb="FF222222"/>
      </patternFill>
    </fill>
    <fill>
      <patternFill patternType="solid">
        <fgColor rgb="FFF2F2F2"/>
        <bgColor rgb="FFE6E9EE"/>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center" vertical="center" textRotation="0" wrapText="true" indent="0" shrinkToFit="false"/>
      <protection locked="true" hidden="false"/>
    </xf>
    <xf numFmtId="164" fontId="16" fillId="2" borderId="0" xfId="0" applyFont="true" applyBorder="false" applyAlignment="false" applyProtection="true">
      <alignment horizontal="general" vertical="bottom" textRotation="0" wrapText="false" indent="0" shrinkToFit="false"/>
      <protection locked="false" hidden="false"/>
    </xf>
    <xf numFmtId="167" fontId="16" fillId="2" borderId="0" xfId="0" applyFont="true" applyBorder="false" applyAlignment="false" applyProtection="true">
      <alignment horizontal="general" vertical="bottom" textRotation="0" wrapText="false" indent="0" shrinkToFit="false"/>
      <protection locked="false" hidden="false"/>
    </xf>
    <xf numFmtId="168" fontId="16" fillId="2" borderId="0" xfId="0" applyFont="true" applyBorder="false" applyAlignment="false" applyProtection="true">
      <alignment horizontal="general" vertical="bottom" textRotation="0" wrapText="false" indent="0" shrinkToFit="false"/>
      <protection locked="false" hidden="false"/>
    </xf>
    <xf numFmtId="169" fontId="16" fillId="2" borderId="0" xfId="0" applyFont="true" applyBorder="false" applyAlignment="false" applyProtection="true">
      <alignment horizontal="general" vertical="bottom" textRotation="0" wrapText="false" indent="0" shrinkToFit="false"/>
      <protection locked="false" hidden="false"/>
    </xf>
    <xf numFmtId="164" fontId="0" fillId="0" borderId="0" xfId="0" applyFont="false" applyBorder="false" applyAlignment="true" applyProtection="false">
      <alignment horizontal="general" vertical="top" textRotation="0" wrapText="true" indent="0" shrinkToFit="false"/>
      <protection locked="true" hidden="false"/>
    </xf>
    <xf numFmtId="170" fontId="16" fillId="2" borderId="0" xfId="0" applyFont="true" applyBorder="false" applyAlignment="false" applyProtection="true">
      <alignment horizontal="general" vertical="bottom" textRotation="0" wrapText="false" indent="0" shrinkToFit="false"/>
      <protection locked="false" hidden="false"/>
    </xf>
    <xf numFmtId="165" fontId="16" fillId="2" borderId="0" xfId="0" applyFont="true" applyBorder="false" applyAlignment="false" applyProtection="true">
      <alignment horizontal="general" vertical="bottom" textRotation="0" wrapText="false" indent="0" shrinkToFit="false"/>
      <protection locked="false" hidden="false"/>
    </xf>
    <xf numFmtId="166" fontId="16" fillId="2" borderId="0" xfId="0" applyFont="true" applyBorder="false" applyAlignment="false" applyProtection="true">
      <alignment horizontal="general" vertical="bottom" textRotation="0" wrapText="false" indent="0" shrinkToFit="false"/>
      <protection locked="false" hidden="false"/>
    </xf>
    <xf numFmtId="167" fontId="17"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false" applyProtection="false">
      <alignment horizontal="general" vertical="bottom" textRotation="0" wrapText="false" indent="0" shrinkToFit="false"/>
      <protection locked="true" hidden="false"/>
    </xf>
    <xf numFmtId="170" fontId="17" fillId="0" borderId="0" xfId="0" applyFont="true" applyBorder="false" applyAlignment="false" applyProtection="false">
      <alignment horizontal="general" vertical="bottom" textRotation="0" wrapText="false" indent="0" shrinkToFit="false"/>
      <protection locked="true" hidden="false"/>
    </xf>
    <xf numFmtId="166"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6" fontId="19" fillId="0" borderId="0" xfId="0" applyFont="true" applyBorder="false" applyAlignment="false" applyProtection="false">
      <alignment horizontal="general" vertical="bottom" textRotation="0" wrapText="false" indent="0" shrinkToFit="false"/>
      <protection locked="true" hidden="false"/>
    </xf>
    <xf numFmtId="171" fontId="17"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true" applyProtection="false">
      <alignment horizontal="center" vertical="bottom" textRotation="0" wrapText="false" indent="0" shrinkToFit="false"/>
      <protection locked="true" hidden="false"/>
    </xf>
    <xf numFmtId="164" fontId="16" fillId="2" borderId="0" xfId="0" applyFont="true" applyBorder="false" applyAlignment="true" applyProtection="true">
      <alignment horizontal="general" vertical="top" textRotation="0" wrapText="true" indent="0" shrinkToFit="false"/>
      <protection locked="false" hidden="false"/>
    </xf>
    <xf numFmtId="171" fontId="16" fillId="2" borderId="0" xfId="0" applyFont="true" applyBorder="false" applyAlignment="false" applyProtection="true">
      <alignment horizontal="general" vertical="bottom" textRotation="0" wrapText="false" indent="0" shrinkToFit="false"/>
      <protection locked="false" hidden="false"/>
    </xf>
    <xf numFmtId="171" fontId="12" fillId="0" borderId="0" xfId="0" applyFont="true" applyBorder="fals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64" fontId="18" fillId="5" borderId="0" xfId="0" applyFont="true" applyBorder="false" applyAlignment="false" applyProtection="false">
      <alignment horizontal="general" vertical="bottom" textRotation="0" wrapText="false" indent="0" shrinkToFit="false"/>
      <protection locked="true" hidden="false"/>
    </xf>
    <xf numFmtId="166" fontId="19" fillId="5" borderId="0" xfId="0" applyFont="true" applyBorder="false" applyAlignment="false" applyProtection="false">
      <alignment horizontal="general" vertical="bottom" textRotation="0" wrapText="false" indent="0" shrinkToFit="false"/>
      <protection locked="true" hidden="false"/>
    </xf>
    <xf numFmtId="172"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002147"/>
      </font>
      <fill>
        <patternFill>
          <bgColor rgb="FFE6E9EE"/>
        </patternFill>
      </fill>
    </dxf>
    <dxf>
      <font>
        <name val="Arial"/>
        <charset val="1"/>
        <family val="0"/>
        <b val="1"/>
        <color rgb="FF002147"/>
      </font>
      <fill>
        <patternFill>
          <bgColor rgb="FFF6E7C1"/>
        </patternFill>
      </fill>
    </dxf>
    <dxf>
      <font>
        <name val="Arial"/>
        <charset val="1"/>
        <family val="0"/>
        <b val="1"/>
        <color rgb="FFFFFFFF"/>
      </font>
      <fill>
        <patternFill>
          <bgColor rgb="FFB00020"/>
        </patternFill>
      </fill>
    </dxf>
  </dxf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C0C0C0"/>
      <rgbColor rgb="FF808080"/>
      <rgbColor rgb="FF9999FF"/>
      <rgbColor rgb="FF993366"/>
      <rgbColor rgb="FFFFF4D6"/>
      <rgbColor rgb="FFE6E9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FDFCF9"/>
      <rgbColor rgb="FFF6E7C1"/>
      <rgbColor rgb="FF99CCFF"/>
      <rgbColor rgb="FFFF99CC"/>
      <rgbColor rgb="FFCC99FF"/>
      <rgbColor rgb="FFFFCC99"/>
      <rgbColor rgb="FF3366FF"/>
      <rgbColor rgb="FF33CCCC"/>
      <rgbColor rgb="FF99CC00"/>
      <rgbColor rgb="FFFFCC00"/>
      <rgbColor rgb="FFC69214"/>
      <rgbColor rgb="FFFF6600"/>
      <rgbColor rgb="FF666699"/>
      <rgbColor rgb="FF969696"/>
      <rgbColor rgb="FF002147"/>
      <rgbColor rgb="FF339966"/>
      <rgbColor rgb="FF003300"/>
      <rgbColor rgb="FF4A4A4A"/>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3.85" hidden="false" customHeight="false" outlineLevel="0" collapsed="false">
      <c r="A5" s="4" t="s">
        <v>3</v>
      </c>
    </row>
    <row r="6" customFormat="false" ht="15" hidden="false" customHeight="false" outlineLevel="0" collapsed="false">
      <c r="A6" s="4" t="s">
        <v>4</v>
      </c>
    </row>
    <row r="8" customFormat="false" ht="15" hidden="false" customHeight="false" outlineLevel="0" collapsed="false">
      <c r="A8" s="3" t="s">
        <v>5</v>
      </c>
    </row>
    <row r="9" customFormat="false" ht="23.85" hidden="false" customHeight="false" outlineLevel="0" collapsed="false">
      <c r="A9" s="4" t="s">
        <v>6</v>
      </c>
    </row>
    <row r="10" customFormat="false" ht="15" hidden="false" customHeight="false" outlineLevel="0" collapsed="false">
      <c r="A10" s="4" t="s">
        <v>7</v>
      </c>
    </row>
    <row r="12" customFormat="false" ht="15" hidden="false" customHeight="false" outlineLevel="0" collapsed="false">
      <c r="A12" s="3" t="s">
        <v>8</v>
      </c>
    </row>
    <row r="13" customFormat="false" ht="35.05" hidden="false" customHeight="false" outlineLevel="0" collapsed="false">
      <c r="A13" s="4" t="s">
        <v>9</v>
      </c>
    </row>
    <row r="14" customFormat="false" ht="23.85" hidden="false" customHeight="false" outlineLevel="0" collapsed="false">
      <c r="A14" s="4" t="s">
        <v>10</v>
      </c>
    </row>
    <row r="16" customFormat="false" ht="15" hidden="false" customHeight="false" outlineLevel="0" collapsed="false">
      <c r="A16" s="3" t="s">
        <v>11</v>
      </c>
    </row>
    <row r="17" customFormat="false" ht="23.85" hidden="false" customHeight="false" outlineLevel="0" collapsed="false">
      <c r="A17" s="4" t="s">
        <v>12</v>
      </c>
    </row>
    <row r="18" customFormat="false" ht="23.85" hidden="false" customHeight="false" outlineLevel="0" collapsed="false">
      <c r="A18" s="4" t="s">
        <v>13</v>
      </c>
    </row>
    <row r="20" customFormat="false" ht="15" hidden="false" customHeight="false" outlineLevel="0" collapsed="false">
      <c r="A20" s="3" t="s">
        <v>14</v>
      </c>
    </row>
    <row r="21" customFormat="false" ht="35.05" hidden="false" customHeight="false" outlineLevel="0" collapsed="false">
      <c r="A21" s="4" t="s">
        <v>15</v>
      </c>
    </row>
    <row r="23" customFormat="false" ht="15" hidden="false" customHeight="false" outlineLevel="0" collapsed="false">
      <c r="A23" s="3" t="s">
        <v>16</v>
      </c>
    </row>
    <row r="24" customFormat="false" ht="15" hidden="false" customHeight="false" outlineLevel="0" collapsed="false">
      <c r="A24" s="5" t="s">
        <v>17</v>
      </c>
    </row>
    <row r="25" customFormat="false" ht="15" hidden="false" customHeight="false" outlineLevel="0" collapsed="false">
      <c r="A25" s="4" t="s">
        <v>18</v>
      </c>
    </row>
    <row r="27" customFormat="false" ht="15" hidden="false" customHeight="false" outlineLevel="0" collapsed="false">
      <c r="A27" s="3" t="s">
        <v>19</v>
      </c>
    </row>
    <row r="28" customFormat="false" ht="23.85" hidden="false" customHeight="false" outlineLevel="0" collapsed="false">
      <c r="A28" s="4" t="s">
        <v>20</v>
      </c>
    </row>
    <row r="29" customFormat="false" ht="23.85" hidden="false" customHeight="false" outlineLevel="0" collapsed="false">
      <c r="A29" s="4" t="s">
        <v>21</v>
      </c>
    </row>
    <row r="31" customFormat="false" ht="15" hidden="false" customHeight="false" outlineLevel="0" collapsed="false">
      <c r="A31" s="6" t="s">
        <v>22</v>
      </c>
    </row>
    <row r="33" customFormat="false" ht="15" hidden="false" customHeight="false" outlineLevel="0" collapsed="false">
      <c r="A33" s="7" t="s">
        <v>23</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30"/>
  </cols>
  <sheetData>
    <row r="1" customFormat="false" ht="17.35" hidden="false" customHeight="false" outlineLevel="0" collapsed="false">
      <c r="A1" s="1" t="s">
        <v>24</v>
      </c>
    </row>
    <row r="2" customFormat="false" ht="15" hidden="false" customHeight="false" outlineLevel="0" collapsed="false">
      <c r="A2" s="2" t="s">
        <v>25</v>
      </c>
    </row>
    <row r="4" customFormat="false" ht="15" hidden="false" customHeight="false" outlineLevel="0" collapsed="false">
      <c r="A4" s="8" t="s">
        <v>26</v>
      </c>
      <c r="B4" s="9" t="str">
        <f aca="false">Checks!D16</f>
        <v>WARN</v>
      </c>
    </row>
    <row r="6" customFormat="false" ht="15" hidden="false" customHeight="false" outlineLevel="0" collapsed="false">
      <c r="A6" s="10" t="s">
        <v>8</v>
      </c>
      <c r="B6" s="10"/>
      <c r="C6" s="10"/>
      <c r="D6" s="10"/>
    </row>
    <row r="7" customFormat="false" ht="15" hidden="false" customHeight="false" outlineLevel="0" collapsed="false">
      <c r="A7" s="8" t="s">
        <v>27</v>
      </c>
      <c r="B7" s="9" t="str">
        <f aca="false">'Pre-Event Plan'!B5</f>
        <v>Black Friday 2026 (example)</v>
      </c>
    </row>
    <row r="8" customFormat="false" ht="15" hidden="false" customHeight="false" outlineLevel="0" collapsed="false">
      <c r="A8" s="8" t="s">
        <v>28</v>
      </c>
      <c r="B8" s="9" t="str">
        <f aca="false">TEXT('Pre-Event Plan'!B11,"0%")&amp;" off, "&amp;'Pre-Event Plan'!B6&amp;" days"</f>
        <v>25% off, 4 days</v>
      </c>
    </row>
    <row r="9" customFormat="false" ht="15" hidden="false" customHeight="false" outlineLevel="0" collapsed="false">
      <c r="A9" s="8" t="s">
        <v>29</v>
      </c>
      <c r="B9" s="11" t="n">
        <f aca="false">'Pre-Event Plan'!B12</f>
        <v>1.1</v>
      </c>
    </row>
    <row r="10" customFormat="false" ht="15" hidden="false" customHeight="false" outlineLevel="0" collapsed="false">
      <c r="A10" s="8" t="s">
        <v>30</v>
      </c>
      <c r="B10" s="11" t="n">
        <f aca="false">'Pre-Event Plan'!B26</f>
        <v>2.24861988272391</v>
      </c>
    </row>
    <row r="11" customFormat="false" ht="15" hidden="false" customHeight="false" outlineLevel="0" collapsed="false">
      <c r="A11" s="8" t="s">
        <v>31</v>
      </c>
      <c r="B11" s="12" t="n">
        <f aca="false">'Pre-Event Plan'!B33</f>
        <v>-18306.4464</v>
      </c>
    </row>
    <row r="12" customFormat="false" ht="45.75" hidden="false" customHeight="true" outlineLevel="0" collapsed="false">
      <c r="A12" s="13" t="s">
        <v>32</v>
      </c>
      <c r="B12" s="14" t="str">
        <f aca="false">'Pre-Event Plan'!B36</f>
        <v>Stock runs out on day 4 of 4: the last days sell what is left, not what is wanted</v>
      </c>
      <c r="C12" s="14"/>
      <c r="D12" s="14"/>
    </row>
    <row r="13" customFormat="false" ht="45.75" hidden="false" customHeight="true" outlineLevel="0" collapsed="false">
      <c r="A13" s="13" t="s">
        <v>33</v>
      </c>
      <c r="B13" s="14" t="str">
        <f aca="false">'Pre-Event Plan'!B43</f>
        <v>The assumed uplift is below break-even. Run it shallower or narrower, or run it only on lines that need clearing.</v>
      </c>
      <c r="C13" s="14"/>
      <c r="D13" s="14"/>
    </row>
    <row r="15" customFormat="false" ht="15" hidden="false" customHeight="false" outlineLevel="0" collapsed="false">
      <c r="A15" s="10" t="s">
        <v>11</v>
      </c>
      <c r="B15" s="10"/>
      <c r="C15" s="10"/>
      <c r="D15" s="10"/>
    </row>
    <row r="16" customFormat="false" ht="15" hidden="false" customHeight="false" outlineLevel="0" collapsed="false">
      <c r="A16" s="8" t="s">
        <v>27</v>
      </c>
      <c r="B16" s="9" t="str">
        <f aca="false">'Event Data'!$B$4</f>
        <v>Black Friday 2025 (example)</v>
      </c>
    </row>
    <row r="17" customFormat="false" ht="15" hidden="false" customHeight="false" outlineLevel="0" collapsed="false">
      <c r="A17" s="8" t="s">
        <v>34</v>
      </c>
      <c r="B17" s="15" t="str">
        <f aca="false">'Promotion P&amp;L'!B42</f>
        <v>Clearance only</v>
      </c>
    </row>
    <row r="18" customFormat="false" ht="15" hidden="false" customHeight="false" outlineLevel="0" collapsed="false">
      <c r="A18" s="8" t="s">
        <v>35</v>
      </c>
      <c r="B18" s="12" t="n">
        <f aca="false">'Promotion P&amp;L'!B33</f>
        <v>-4797.09257142857</v>
      </c>
    </row>
    <row r="19" customFormat="false" ht="15" hidden="false" customHeight="false" outlineLevel="0" collapsed="false">
      <c r="A19" s="8" t="s">
        <v>36</v>
      </c>
      <c r="B19" s="12" t="n">
        <f aca="false">'Promotion P&amp;L'!B30</f>
        <v>7019.58742857142</v>
      </c>
    </row>
    <row r="20" customFormat="false" ht="15" hidden="false" customHeight="false" outlineLevel="0" collapsed="false">
      <c r="A20" s="8" t="s">
        <v>37</v>
      </c>
      <c r="B20" s="12" t="n">
        <f aca="false">'Promotion P&amp;L'!B31</f>
        <v>-11816.68</v>
      </c>
    </row>
    <row r="21" customFormat="false" ht="15" hidden="false" customHeight="false" outlineLevel="0" collapsed="false">
      <c r="A21" s="8" t="s">
        <v>38</v>
      </c>
      <c r="B21" s="12" t="n">
        <f aca="false">'Promotion P&amp;L'!B34</f>
        <v>20240</v>
      </c>
    </row>
    <row r="22" customFormat="false" ht="15" hidden="false" customHeight="false" outlineLevel="0" collapsed="false">
      <c r="A22" s="8" t="s">
        <v>39</v>
      </c>
      <c r="B22" s="12" t="n">
        <f aca="false">'Promotion P&amp;L'!B38</f>
        <v>8400</v>
      </c>
    </row>
    <row r="23" customFormat="false" ht="45.75" hidden="false" customHeight="true" outlineLevel="0" collapsed="false">
      <c r="A23" s="13" t="s">
        <v>40</v>
      </c>
      <c r="B23" s="14" t="str">
        <f aca="false">'Promotion P&amp;L'!B45</f>
        <v>Black Friday 2025 (example): volume on the promoted lines ran +236% against what the season alone would have done. The event made £7,020 of incremental contribution; the following weeks gave back £11,817.</v>
      </c>
      <c r="C23" s="14"/>
      <c r="D23" s="14"/>
    </row>
    <row r="24" customFormat="false" ht="45.75" hidden="false" customHeight="true" outlineLevel="0" collapsed="false">
      <c r="A24" s="13" t="s">
        <v>41</v>
      </c>
      <c r="B24" s="14" t="str">
        <f aca="false">'Promotion P&amp;L'!B46</f>
        <v>Net of everything, the promotion lost £4,797. It gave away £20,240 of margin on sales that would have happened anyway, and saved £8,400 of later markdown on aged stock. Best-seller availability fell to 82%, so it also left sales on the table.</v>
      </c>
      <c r="C24" s="14"/>
      <c r="D24" s="14"/>
    </row>
    <row r="25" customFormat="false" ht="45.75" hidden="false" customHeight="true" outlineLevel="0" collapsed="false">
      <c r="A25" s="13" t="s">
        <v>33</v>
      </c>
      <c r="B25" s="14" t="str">
        <f aca="false">'Promotion P&amp;L'!B47</f>
        <v>Run it again only as a clearance tool, on aged lines, not as a traffic event.</v>
      </c>
      <c r="C25" s="14"/>
      <c r="D25" s="14"/>
    </row>
    <row r="26" customFormat="false" ht="15" hidden="false" customHeight="false" outlineLevel="0" collapsed="false">
      <c r="A26" s="8" t="s">
        <v>42</v>
      </c>
      <c r="B26" s="9" t="str">
        <f aca="false">'Promotion P&amp;L'!B48</f>
        <v>Commercial Director</v>
      </c>
    </row>
  </sheetData>
  <sheetProtection sheet="true" formatColumns="false" formatRows="false"/>
  <mergeCells count="5">
    <mergeCell ref="B12:D12"/>
    <mergeCell ref="B13:D13"/>
    <mergeCell ref="B23:D23"/>
    <mergeCell ref="B24:D24"/>
    <mergeCell ref="B25:D25"/>
  </mergeCells>
  <conditionalFormatting sqref="B4">
    <cfRule type="cellIs" priority="2" operator="equal" aboveAverage="0" equalAverage="0" bottom="0" percent="0" rank="0" text="" dxfId="0">
      <formula>"PASS"</formula>
    </cfRule>
    <cfRule type="cellIs" priority="3" operator="equal" aboveAverage="0" equalAverage="0" bottom="0" percent="0" rank="0" text="" dxfId="1">
      <formula>"WARN"</formula>
    </cfRule>
    <cfRule type="cellIs" priority="4" operator="equal" aboveAverage="0" equalAverage="0" bottom="0" percent="0" rank="0" text="" dxfId="2">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24"/>
    <col collapsed="false" customWidth="true" hidden="false" outlineLevel="0" max="3" min="3" style="0" width="80"/>
  </cols>
  <sheetData>
    <row r="1" customFormat="false" ht="17.35" hidden="false" customHeight="false" outlineLevel="0" collapsed="false">
      <c r="A1" s="1" t="s">
        <v>43</v>
      </c>
    </row>
    <row r="2" customFormat="false" ht="15" hidden="false" customHeight="false" outlineLevel="0" collapsed="false">
      <c r="A2" s="2" t="s">
        <v>44</v>
      </c>
    </row>
    <row r="3" customFormat="false" ht="36" hidden="false" customHeight="true" outlineLevel="0" collapsed="false">
      <c r="A3" s="16" t="s">
        <v>45</v>
      </c>
      <c r="B3" s="16" t="s">
        <v>46</v>
      </c>
      <c r="C3" s="16" t="s">
        <v>47</v>
      </c>
    </row>
    <row r="4" customFormat="false" ht="15" hidden="false" customHeight="false" outlineLevel="0" collapsed="false">
      <c r="A4" s="8" t="s">
        <v>48</v>
      </c>
      <c r="B4" s="17" t="s">
        <v>49</v>
      </c>
    </row>
    <row r="5" customFormat="false" ht="15" hidden="false" customHeight="false" outlineLevel="0" collapsed="false">
      <c r="A5" s="8" t="s">
        <v>50</v>
      </c>
      <c r="B5" s="18" t="n">
        <v>9.2</v>
      </c>
      <c r="C5" s="8" t="s">
        <v>51</v>
      </c>
    </row>
    <row r="6" customFormat="false" ht="15" hidden="false" customHeight="false" outlineLevel="0" collapsed="false">
      <c r="A6" s="8" t="s">
        <v>52</v>
      </c>
      <c r="B6" s="19" t="n">
        <v>0.06</v>
      </c>
      <c r="C6" s="8" t="s">
        <v>53</v>
      </c>
    </row>
    <row r="7" customFormat="false" ht="15" hidden="false" customHeight="false" outlineLevel="0" collapsed="false">
      <c r="A7" s="8" t="s">
        <v>54</v>
      </c>
      <c r="B7" s="19" t="n">
        <v>0.9</v>
      </c>
      <c r="C7" s="8" t="s">
        <v>55</v>
      </c>
    </row>
    <row r="8" customFormat="false" ht="15" hidden="false" customHeight="false" outlineLevel="0" collapsed="false">
      <c r="A8" s="8" t="s">
        <v>56</v>
      </c>
      <c r="B8" s="19" t="n">
        <v>0.5</v>
      </c>
      <c r="C8" s="8" t="s">
        <v>57</v>
      </c>
    </row>
    <row r="9" customFormat="false" ht="15" hidden="false" customHeight="false" outlineLevel="0" collapsed="false">
      <c r="A9" s="8" t="s">
        <v>58</v>
      </c>
      <c r="B9" s="17" t="s">
        <v>59</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4" min="3" style="0" width="14"/>
    <col collapsed="false" customWidth="true" hidden="false" outlineLevel="0" max="10" min="5" style="0" width="12"/>
  </cols>
  <sheetData>
    <row r="1" customFormat="false" ht="17.35" hidden="false" customHeight="false" outlineLevel="0" collapsed="false">
      <c r="A1" s="1" t="s">
        <v>60</v>
      </c>
    </row>
    <row r="2" customFormat="false" ht="15" hidden="false" customHeight="false" outlineLevel="0" collapsed="false">
      <c r="A2" s="2" t="s">
        <v>61</v>
      </c>
    </row>
    <row r="4" customFormat="false" ht="15" hidden="false" customHeight="false" outlineLevel="0" collapsed="false">
      <c r="A4" s="10" t="s">
        <v>62</v>
      </c>
      <c r="B4" s="10"/>
      <c r="C4" s="10"/>
      <c r="D4" s="10"/>
    </row>
    <row r="5" customFormat="false" ht="15" hidden="false" customHeight="false" outlineLevel="0" collapsed="false">
      <c r="A5" s="8" t="s">
        <v>27</v>
      </c>
      <c r="B5" s="17" t="s">
        <v>63</v>
      </c>
      <c r="C5" s="13" t="s">
        <v>64</v>
      </c>
    </row>
    <row r="6" customFormat="false" ht="15" hidden="false" customHeight="false" outlineLevel="0" collapsed="false">
      <c r="A6" s="8" t="s">
        <v>65</v>
      </c>
      <c r="B6" s="20" t="n">
        <v>4</v>
      </c>
      <c r="C6" s="21"/>
    </row>
    <row r="7" customFormat="false" ht="153.7" hidden="false" customHeight="false" outlineLevel="0" collapsed="false">
      <c r="A7" s="8" t="s">
        <v>66</v>
      </c>
      <c r="B7" s="22" t="n">
        <v>540</v>
      </c>
      <c r="C7" s="13" t="s">
        <v>67</v>
      </c>
    </row>
    <row r="8" customFormat="false" ht="15" hidden="false" customHeight="false" outlineLevel="0" collapsed="false">
      <c r="A8" s="8" t="s">
        <v>68</v>
      </c>
      <c r="B8" s="18" t="n">
        <v>46.7</v>
      </c>
      <c r="C8" s="21"/>
    </row>
    <row r="9" customFormat="false" ht="77.6" hidden="false" customHeight="false" outlineLevel="0" collapsed="false">
      <c r="A9" s="8" t="s">
        <v>69</v>
      </c>
      <c r="B9" s="19" t="n">
        <v>0.62</v>
      </c>
      <c r="C9" s="13" t="s">
        <v>70</v>
      </c>
    </row>
    <row r="10" customFormat="false" ht="77.6" hidden="false" customHeight="false" outlineLevel="0" collapsed="false">
      <c r="A10" s="8" t="s">
        <v>71</v>
      </c>
      <c r="B10" s="19" t="n">
        <v>0.14</v>
      </c>
      <c r="C10" s="13" t="s">
        <v>72</v>
      </c>
    </row>
    <row r="11" customFormat="false" ht="15" hidden="false" customHeight="false" outlineLevel="0" collapsed="false">
      <c r="A11" s="8" t="s">
        <v>73</v>
      </c>
      <c r="B11" s="19" t="n">
        <v>0.25</v>
      </c>
      <c r="C11" s="21"/>
    </row>
    <row r="12" customFormat="false" ht="90.25" hidden="false" customHeight="false" outlineLevel="0" collapsed="false">
      <c r="A12" s="8" t="s">
        <v>74</v>
      </c>
      <c r="B12" s="23" t="n">
        <v>1.1</v>
      </c>
      <c r="C12" s="13" t="s">
        <v>75</v>
      </c>
    </row>
    <row r="13" customFormat="false" ht="102.95" hidden="false" customHeight="false" outlineLevel="0" collapsed="false">
      <c r="A13" s="8" t="s">
        <v>76</v>
      </c>
      <c r="B13" s="23" t="n">
        <v>0.15</v>
      </c>
      <c r="C13" s="13" t="s">
        <v>77</v>
      </c>
    </row>
    <row r="14" customFormat="false" ht="15" hidden="false" customHeight="false" outlineLevel="0" collapsed="false">
      <c r="A14" s="8" t="s">
        <v>78</v>
      </c>
      <c r="B14" s="24" t="n">
        <v>18000</v>
      </c>
      <c r="C14" s="21"/>
    </row>
    <row r="15" customFormat="false" ht="77.6" hidden="false" customHeight="false" outlineLevel="0" collapsed="false">
      <c r="A15" s="8" t="s">
        <v>79</v>
      </c>
      <c r="B15" s="23" t="n">
        <v>0.05</v>
      </c>
      <c r="C15" s="13" t="s">
        <v>80</v>
      </c>
    </row>
    <row r="16" customFormat="false" ht="15" hidden="false" customHeight="false" outlineLevel="0" collapsed="false">
      <c r="A16" s="8" t="s">
        <v>81</v>
      </c>
      <c r="B16" s="23" t="n">
        <v>0.45</v>
      </c>
      <c r="C16" s="21"/>
    </row>
    <row r="17" customFormat="false" ht="15" hidden="false" customHeight="false" outlineLevel="0" collapsed="false">
      <c r="A17" s="8" t="s">
        <v>82</v>
      </c>
      <c r="B17" s="24" t="n">
        <v>10000</v>
      </c>
      <c r="C17" s="21"/>
    </row>
    <row r="18" customFormat="false" ht="15" hidden="false" customHeight="false" outlineLevel="0" collapsed="false">
      <c r="A18" s="8" t="s">
        <v>83</v>
      </c>
      <c r="B18" s="24" t="n">
        <v>3000</v>
      </c>
      <c r="C18" s="21"/>
    </row>
    <row r="19" customFormat="false" ht="77.6" hidden="false" customHeight="false" outlineLevel="0" collapsed="false">
      <c r="A19" s="8" t="s">
        <v>84</v>
      </c>
      <c r="B19" s="24" t="n">
        <v>4000</v>
      </c>
      <c r="C19" s="13" t="s">
        <v>85</v>
      </c>
    </row>
    <row r="20" customFormat="false" ht="26.85" hidden="false" customHeight="false" outlineLevel="0" collapsed="false">
      <c r="A20" s="8" t="s">
        <v>86</v>
      </c>
      <c r="B20" s="22" t="n">
        <v>4000</v>
      </c>
      <c r="C20" s="13" t="s">
        <v>87</v>
      </c>
    </row>
    <row r="22" customFormat="false" ht="15" hidden="false" customHeight="false" outlineLevel="0" collapsed="false">
      <c r="A22" s="10" t="s">
        <v>88</v>
      </c>
      <c r="B22" s="10"/>
      <c r="C22" s="10"/>
      <c r="D22" s="10"/>
    </row>
    <row r="23" customFormat="false" ht="15" hidden="false" customHeight="false" outlineLevel="0" collapsed="false">
      <c r="A23" s="8" t="s">
        <v>89</v>
      </c>
      <c r="B23" s="25" t="n">
        <f aca="false">$B$8*($B$9-$B$10)</f>
        <v>22.416</v>
      </c>
    </row>
    <row r="24" customFormat="false" ht="15" hidden="false" customHeight="false" outlineLevel="0" collapsed="false">
      <c r="A24" s="8" t="s">
        <v>90</v>
      </c>
      <c r="B24" s="25" t="n">
        <f aca="false">$B$8*($B$9-$B$11-$B$10)</f>
        <v>10.741</v>
      </c>
    </row>
    <row r="25" customFormat="false" ht="15" hidden="false" customHeight="false" outlineLevel="0" collapsed="false">
      <c r="A25" s="8" t="s">
        <v>91</v>
      </c>
      <c r="B25" s="26" t="n">
        <f aca="false">IF($B$9-$B$10-$B$11&lt;=0,"Never pays",$B$11/($B$9-$B$10-$B$11))</f>
        <v>1.08695652173913</v>
      </c>
    </row>
    <row r="26" customFormat="false" ht="15" hidden="false" customHeight="false" outlineLevel="0" collapsed="false">
      <c r="A26" s="8" t="s">
        <v>92</v>
      </c>
      <c r="B26" s="26" t="n">
        <f aca="false">IF(($B$9-$B$11-$B$10)-$B$13*($B$9-$B$10)&lt;=0,"Never pays",(($B$14*$B$6*$B$15*$B$16)+($B$17+$B$18-$B$19)+($B$7*$B$6)*$B$8*$B$11)/(($B$7*$B$6)*$B$8*(($B$9-$B$11-$B$10)-$B$13*($B$9-$B$10))))</f>
        <v>2.24861988272391</v>
      </c>
    </row>
    <row r="27" customFormat="false" ht="15" hidden="false" customHeight="false" outlineLevel="0" collapsed="false">
      <c r="A27" s="8" t="s">
        <v>93</v>
      </c>
      <c r="B27" s="27" t="n">
        <f aca="false">($B$7*$B$6)*(1+$B$12)</f>
        <v>4536</v>
      </c>
    </row>
    <row r="28" customFormat="false" ht="15" hidden="false" customHeight="false" outlineLevel="0" collapsed="false">
      <c r="A28" s="8" t="s">
        <v>94</v>
      </c>
      <c r="B28" s="28" t="n">
        <f aca="false">($B$7*$B$6)*$B$8*($B$9-$B$10)</f>
        <v>48418.56</v>
      </c>
    </row>
    <row r="29" customFormat="false" ht="15" hidden="false" customHeight="false" outlineLevel="0" collapsed="false">
      <c r="A29" s="8" t="s">
        <v>95</v>
      </c>
      <c r="B29" s="28" t="n">
        <f aca="false">($B$7*$B$6)*(1+$B$12)*$B$8*($B$9-$B$11-$B$10)</f>
        <v>48721.176</v>
      </c>
    </row>
    <row r="30" customFormat="false" ht="15" hidden="false" customHeight="false" outlineLevel="0" collapsed="false">
      <c r="A30" s="8" t="s">
        <v>96</v>
      </c>
      <c r="B30" s="28" t="n">
        <f aca="false">$B$13*($B$7*$B$6)*$B$12*$B$8*($B$9-$B$10)</f>
        <v>7989.0624</v>
      </c>
    </row>
    <row r="31" customFormat="false" ht="15" hidden="false" customHeight="false" outlineLevel="0" collapsed="false">
      <c r="A31" s="8" t="s">
        <v>97</v>
      </c>
      <c r="B31" s="28" t="n">
        <f aca="false">($B$14*$B$6*$B$15*$B$16)</f>
        <v>1620</v>
      </c>
    </row>
    <row r="32" customFormat="false" ht="15" hidden="false" customHeight="false" outlineLevel="0" collapsed="false">
      <c r="A32" s="8" t="s">
        <v>98</v>
      </c>
      <c r="B32" s="28" t="n">
        <f aca="false">($B$17+$B$18-$B$19)</f>
        <v>9000</v>
      </c>
    </row>
    <row r="33" customFormat="false" ht="15" hidden="false" customHeight="false" outlineLevel="0" collapsed="false">
      <c r="A33" s="29" t="s">
        <v>35</v>
      </c>
      <c r="B33" s="30" t="n">
        <f aca="false">B29-B28-B30-B31-B32</f>
        <v>-18306.4464</v>
      </c>
    </row>
    <row r="34" customFormat="false" ht="15" hidden="false" customHeight="false" outlineLevel="0" collapsed="false">
      <c r="A34" s="8" t="s">
        <v>99</v>
      </c>
      <c r="B34" s="28" t="n">
        <f aca="false">($B$7*$B$6)*$B$8*$B$11</f>
        <v>25218</v>
      </c>
    </row>
    <row r="35" customFormat="false" ht="15" hidden="false" customHeight="false" outlineLevel="0" collapsed="false">
      <c r="A35" s="8" t="s">
        <v>100</v>
      </c>
      <c r="B35" s="31" t="n">
        <f aca="false">IFERROR($B$20/($B$7*(1+$B$12)),0)</f>
        <v>3.52733686067019</v>
      </c>
    </row>
    <row r="36" customFormat="false" ht="15" hidden="false" customHeight="false" outlineLevel="0" collapsed="false">
      <c r="A36" s="8" t="s">
        <v>32</v>
      </c>
      <c r="B36" s="32" t="str">
        <f aca="false">IF(B35&gt;=$B$6,"Enough stock for the plan","Stock runs out on day "&amp;ROUNDUP(B35,0)&amp;" of "&amp;$B$6&amp;": the last days sell what is left, not what is wanted")</f>
        <v>Stock runs out on day 4 of 4: the last days sell what is left, not what is wanted</v>
      </c>
    </row>
    <row r="37" customFormat="false" ht="15" hidden="false" customHeight="false" outlineLevel="0" collapsed="false">
      <c r="A37" s="8" t="s">
        <v>101</v>
      </c>
      <c r="B37" s="27" t="n">
        <f aca="false">MAX(0,B27-$B$20)</f>
        <v>536</v>
      </c>
    </row>
    <row r="38" customFormat="false" ht="15" hidden="false" customHeight="false" outlineLevel="0" collapsed="false">
      <c r="A38" s="8" t="s">
        <v>102</v>
      </c>
      <c r="B38" s="28" t="n">
        <f aca="false">B37*$B$8*($B$9-$B$11-$B$10)</f>
        <v>5757.176</v>
      </c>
    </row>
    <row r="40" customFormat="false" ht="15" hidden="false" customHeight="false" outlineLevel="0" collapsed="false">
      <c r="A40" s="10" t="s">
        <v>103</v>
      </c>
      <c r="B40" s="10"/>
      <c r="C40" s="10"/>
      <c r="D40" s="10"/>
    </row>
    <row r="41" customFormat="false" ht="43.5" hidden="false" customHeight="true" outlineLevel="0" collapsed="false">
      <c r="A41" s="33" t="s">
        <v>40</v>
      </c>
      <c r="B41" s="34" t="str">
        <f aca="false">$B$5&amp;": "&amp;TEXT($B$11,"0%")&amp;" off, "&amp;$B$6&amp;" days. The plan assumes a "&amp;TEXT($B$12,"0%")&amp;" uplift in volume and nets "&amp;TEXT(B33,"£#,##0;(£#,##0)")&amp;" of contribution."</f>
        <v>Black Friday 2026 (example): 25% off, 4 days. The plan assumes a 110% uplift in volume and nets (£18,306) of contribution.</v>
      </c>
      <c r="C41" s="34"/>
      <c r="D41" s="34"/>
    </row>
    <row r="42" customFormat="false" ht="43.5" hidden="false" customHeight="true" outlineLevel="0" collapsed="false">
      <c r="A42" s="33" t="s">
        <v>41</v>
      </c>
      <c r="B42" s="34" t="str">
        <f aca="false">IF(ISNUMBER(B26),"To break even once every cost and the borrowed sales are counted, volume has to rise "&amp;TEXT(B26,"0%")&amp;". At "&amp;TEXT($B$11,"0%")&amp;" off, every unit that would have sold anyway gives away "&amp;TEXT($B$8*$B$11,"£0.00")&amp;", "&amp;TEXT(B34,"£#,##0")&amp;" across the baseline.","At this depth the promotion cannot pay: the discount is larger than the contribution it leaves after the borrowed sales.")</f>
        <v>To break even once every cost and the borrowed sales are counted, volume has to rise 225%. At 25% off, every unit that would have sold anyway gives away £11.68, £25,218 across the baseline.</v>
      </c>
      <c r="C42" s="34"/>
      <c r="D42" s="34"/>
    </row>
    <row r="43" customFormat="false" ht="43.5" hidden="false" customHeight="true" outlineLevel="0" collapsed="false">
      <c r="A43" s="33" t="s">
        <v>33</v>
      </c>
      <c r="B43" s="34" t="str">
        <f aca="false">IF(NOT(ISNUMBER(B26)),"Do not run it at this depth. Test a shallower discount, a narrower range or a gift instead of a price cut.",IF($B$12&lt;B26,"The assumed uplift is below break-even. Run it shallower or narrower, or run it only on lines that need clearing.",IF(B35&lt;$B$6,"It pays on paper, but stock runs out first. Buy deeper or narrow the range before launch, and protect the best sellers.","It pays on these assumptions. Run it, set the stop conditions below, and review it against a counterfactual afterwards.")))</f>
        <v>The assumed uplift is below break-even. Run it shallower or narrower, or run it only on lines that need clearing.</v>
      </c>
      <c r="C43" s="34"/>
      <c r="D43" s="34"/>
    </row>
    <row r="45" customFormat="false" ht="15" hidden="false" customHeight="false" outlineLevel="0" collapsed="false">
      <c r="A45" s="10" t="s">
        <v>104</v>
      </c>
      <c r="B45" s="10"/>
      <c r="C45" s="10"/>
      <c r="D45" s="10"/>
      <c r="E45" s="10"/>
      <c r="F45" s="10"/>
      <c r="G45" s="10"/>
      <c r="H45" s="10"/>
      <c r="I45" s="10"/>
    </row>
    <row r="46" customFormat="false" ht="27.75" hidden="false" customHeight="true" outlineLevel="0" collapsed="false">
      <c r="A46" s="35" t="s">
        <v>105</v>
      </c>
      <c r="B46" s="35"/>
      <c r="C46" s="35"/>
      <c r="D46" s="35"/>
      <c r="E46" s="35"/>
      <c r="F46" s="35"/>
      <c r="G46" s="35"/>
      <c r="H46" s="35"/>
      <c r="I46" s="35"/>
    </row>
    <row r="47" customFormat="false" ht="24" hidden="false" customHeight="true" outlineLevel="0" collapsed="false">
      <c r="A47" s="16" t="s">
        <v>106</v>
      </c>
      <c r="B47" s="16" t="s">
        <v>107</v>
      </c>
      <c r="C47" s="16" t="s">
        <v>108</v>
      </c>
      <c r="D47" s="16" t="s">
        <v>109</v>
      </c>
      <c r="E47" s="16" t="s">
        <v>110</v>
      </c>
      <c r="F47" s="16" t="s">
        <v>111</v>
      </c>
      <c r="G47" s="16" t="s">
        <v>112</v>
      </c>
      <c r="H47" s="16" t="s">
        <v>113</v>
      </c>
      <c r="I47" s="16" t="s">
        <v>114</v>
      </c>
      <c r="J47" s="16" t="s">
        <v>115</v>
      </c>
    </row>
    <row r="48" customFormat="false" ht="15" hidden="false" customHeight="false" outlineLevel="0" collapsed="false">
      <c r="A48" s="36" t="n">
        <v>0.1</v>
      </c>
      <c r="B48" s="37" t="n">
        <f aca="false">IF(0.3&lt;=$A48,"Never",$A48/(0.3-$A48))</f>
        <v>0.5</v>
      </c>
      <c r="C48" s="37" t="n">
        <f aca="false">IF(0.35&lt;=$A48,"Never",$A48/(0.35-$A48))</f>
        <v>0.4</v>
      </c>
      <c r="D48" s="37" t="n">
        <f aca="false">IF(0.4&lt;=$A48,"Never",$A48/(0.4-$A48))</f>
        <v>0.333333333333333</v>
      </c>
      <c r="E48" s="37" t="n">
        <f aca="false">IF(0.45&lt;=$A48,"Never",$A48/(0.45-$A48))</f>
        <v>0.285714285714286</v>
      </c>
      <c r="F48" s="37" t="n">
        <f aca="false">IF(0.5&lt;=$A48,"Never",$A48/(0.5-$A48))</f>
        <v>0.25</v>
      </c>
      <c r="G48" s="37" t="n">
        <f aca="false">IF(0.55&lt;=$A48,"Never",$A48/(0.55-$A48))</f>
        <v>0.222222222222222</v>
      </c>
      <c r="H48" s="37" t="n">
        <f aca="false">IF(0.6&lt;=$A48,"Never",$A48/(0.6-$A48))</f>
        <v>0.2</v>
      </c>
      <c r="I48" s="37" t="n">
        <f aca="false">IF(0.65&lt;=$A48,"Never",$A48/(0.65-$A48))</f>
        <v>0.181818181818182</v>
      </c>
      <c r="J48" s="37" t="n">
        <f aca="false">IF(0.7&lt;=$A48,"Never",$A48/(0.7-$A48))</f>
        <v>0.166666666666667</v>
      </c>
    </row>
    <row r="49" customFormat="false" ht="15" hidden="false" customHeight="false" outlineLevel="0" collapsed="false">
      <c r="A49" s="36" t="n">
        <v>0.15</v>
      </c>
      <c r="B49" s="37" t="n">
        <f aca="false">IF(0.3&lt;=$A49,"Never",$A49/(0.3-$A49))</f>
        <v>1</v>
      </c>
      <c r="C49" s="37" t="n">
        <f aca="false">IF(0.35&lt;=$A49,"Never",$A49/(0.35-$A49))</f>
        <v>0.75</v>
      </c>
      <c r="D49" s="37" t="n">
        <f aca="false">IF(0.4&lt;=$A49,"Never",$A49/(0.4-$A49))</f>
        <v>0.6</v>
      </c>
      <c r="E49" s="37" t="n">
        <f aca="false">IF(0.45&lt;=$A49,"Never",$A49/(0.45-$A49))</f>
        <v>0.5</v>
      </c>
      <c r="F49" s="37" t="n">
        <f aca="false">IF(0.5&lt;=$A49,"Never",$A49/(0.5-$A49))</f>
        <v>0.428571428571429</v>
      </c>
      <c r="G49" s="37" t="n">
        <f aca="false">IF(0.55&lt;=$A49,"Never",$A49/(0.55-$A49))</f>
        <v>0.375</v>
      </c>
      <c r="H49" s="37" t="n">
        <f aca="false">IF(0.6&lt;=$A49,"Never",$A49/(0.6-$A49))</f>
        <v>0.333333333333333</v>
      </c>
      <c r="I49" s="37" t="n">
        <f aca="false">IF(0.65&lt;=$A49,"Never",$A49/(0.65-$A49))</f>
        <v>0.3</v>
      </c>
      <c r="J49" s="37" t="n">
        <f aca="false">IF(0.7&lt;=$A49,"Never",$A49/(0.7-$A49))</f>
        <v>0.272727272727273</v>
      </c>
    </row>
    <row r="50" customFormat="false" ht="15" hidden="false" customHeight="false" outlineLevel="0" collapsed="false">
      <c r="A50" s="36" t="n">
        <v>0.2</v>
      </c>
      <c r="B50" s="37" t="n">
        <f aca="false">IF(0.3&lt;=$A50,"Never",$A50/(0.3-$A50))</f>
        <v>2</v>
      </c>
      <c r="C50" s="37" t="n">
        <f aca="false">IF(0.35&lt;=$A50,"Never",$A50/(0.35-$A50))</f>
        <v>1.33333333333333</v>
      </c>
      <c r="D50" s="37" t="n">
        <f aca="false">IF(0.4&lt;=$A50,"Never",$A50/(0.4-$A50))</f>
        <v>1</v>
      </c>
      <c r="E50" s="37" t="n">
        <f aca="false">IF(0.45&lt;=$A50,"Never",$A50/(0.45-$A50))</f>
        <v>0.8</v>
      </c>
      <c r="F50" s="37" t="n">
        <f aca="false">IF(0.5&lt;=$A50,"Never",$A50/(0.5-$A50))</f>
        <v>0.666666666666667</v>
      </c>
      <c r="G50" s="37" t="n">
        <f aca="false">IF(0.55&lt;=$A50,"Never",$A50/(0.55-$A50))</f>
        <v>0.571428571428571</v>
      </c>
      <c r="H50" s="37" t="n">
        <f aca="false">IF(0.6&lt;=$A50,"Never",$A50/(0.6-$A50))</f>
        <v>0.5</v>
      </c>
      <c r="I50" s="37" t="n">
        <f aca="false">IF(0.65&lt;=$A50,"Never",$A50/(0.65-$A50))</f>
        <v>0.444444444444445</v>
      </c>
      <c r="J50" s="37" t="n">
        <f aca="false">IF(0.7&lt;=$A50,"Never",$A50/(0.7-$A50))</f>
        <v>0.4</v>
      </c>
    </row>
    <row r="51" customFormat="false" ht="15" hidden="false" customHeight="false" outlineLevel="0" collapsed="false">
      <c r="A51" s="36" t="n">
        <v>0.25</v>
      </c>
      <c r="B51" s="37" t="n">
        <f aca="false">IF(0.3&lt;=$A51,"Never",$A51/(0.3-$A51))</f>
        <v>5</v>
      </c>
      <c r="C51" s="37" t="n">
        <f aca="false">IF(0.35&lt;=$A51,"Never",$A51/(0.35-$A51))</f>
        <v>2.5</v>
      </c>
      <c r="D51" s="37" t="n">
        <f aca="false">IF(0.4&lt;=$A51,"Never",$A51/(0.4-$A51))</f>
        <v>1.66666666666667</v>
      </c>
      <c r="E51" s="37" t="n">
        <f aca="false">IF(0.45&lt;=$A51,"Never",$A51/(0.45-$A51))</f>
        <v>1.25</v>
      </c>
      <c r="F51" s="37" t="n">
        <f aca="false">IF(0.5&lt;=$A51,"Never",$A51/(0.5-$A51))</f>
        <v>1</v>
      </c>
      <c r="G51" s="37" t="n">
        <f aca="false">IF(0.55&lt;=$A51,"Never",$A51/(0.55-$A51))</f>
        <v>0.833333333333333</v>
      </c>
      <c r="H51" s="37" t="n">
        <f aca="false">IF(0.6&lt;=$A51,"Never",$A51/(0.6-$A51))</f>
        <v>0.714285714285714</v>
      </c>
      <c r="I51" s="37" t="n">
        <f aca="false">IF(0.65&lt;=$A51,"Never",$A51/(0.65-$A51))</f>
        <v>0.625</v>
      </c>
      <c r="J51" s="37" t="n">
        <f aca="false">IF(0.7&lt;=$A51,"Never",$A51/(0.7-$A51))</f>
        <v>0.555555555555556</v>
      </c>
    </row>
    <row r="52" customFormat="false" ht="15" hidden="false" customHeight="false" outlineLevel="0" collapsed="false">
      <c r="A52" s="36" t="n">
        <v>0.3</v>
      </c>
      <c r="B52" s="37" t="str">
        <f aca="false">IF(0.3&lt;=$A52,"Never",$A52/(0.3-$A52))</f>
        <v>Never</v>
      </c>
      <c r="C52" s="37" t="n">
        <f aca="false">IF(0.35&lt;=$A52,"Never",$A52/(0.35-$A52))</f>
        <v>6</v>
      </c>
      <c r="D52" s="37" t="n">
        <f aca="false">IF(0.4&lt;=$A52,"Never",$A52/(0.4-$A52))</f>
        <v>3</v>
      </c>
      <c r="E52" s="37" t="n">
        <f aca="false">IF(0.45&lt;=$A52,"Never",$A52/(0.45-$A52))</f>
        <v>2</v>
      </c>
      <c r="F52" s="37" t="n">
        <f aca="false">IF(0.5&lt;=$A52,"Never",$A52/(0.5-$A52))</f>
        <v>1.5</v>
      </c>
      <c r="G52" s="37" t="n">
        <f aca="false">IF(0.55&lt;=$A52,"Never",$A52/(0.55-$A52))</f>
        <v>1.2</v>
      </c>
      <c r="H52" s="37" t="n">
        <f aca="false">IF(0.6&lt;=$A52,"Never",$A52/(0.6-$A52))</f>
        <v>1</v>
      </c>
      <c r="I52" s="37" t="n">
        <f aca="false">IF(0.65&lt;=$A52,"Never",$A52/(0.65-$A52))</f>
        <v>0.857142857142857</v>
      </c>
      <c r="J52" s="37" t="n">
        <f aca="false">IF(0.7&lt;=$A52,"Never",$A52/(0.7-$A52))</f>
        <v>0.75</v>
      </c>
    </row>
    <row r="53" customFormat="false" ht="15" hidden="false" customHeight="false" outlineLevel="0" collapsed="false">
      <c r="A53" s="36" t="n">
        <v>0.35</v>
      </c>
      <c r="B53" s="37" t="str">
        <f aca="false">IF(0.3&lt;=$A53,"Never",$A53/(0.3-$A53))</f>
        <v>Never</v>
      </c>
      <c r="C53" s="37" t="str">
        <f aca="false">IF(0.35&lt;=$A53,"Never",$A53/(0.35-$A53))</f>
        <v>Never</v>
      </c>
      <c r="D53" s="37" t="n">
        <f aca="false">IF(0.4&lt;=$A53,"Never",$A53/(0.4-$A53))</f>
        <v>6.99999999999999</v>
      </c>
      <c r="E53" s="37" t="n">
        <f aca="false">IF(0.45&lt;=$A53,"Never",$A53/(0.45-$A53))</f>
        <v>3.5</v>
      </c>
      <c r="F53" s="37" t="n">
        <f aca="false">IF(0.5&lt;=$A53,"Never",$A53/(0.5-$A53))</f>
        <v>2.33333333333333</v>
      </c>
      <c r="G53" s="37" t="n">
        <f aca="false">IF(0.55&lt;=$A53,"Never",$A53/(0.55-$A53))</f>
        <v>1.75</v>
      </c>
      <c r="H53" s="37" t="n">
        <f aca="false">IF(0.6&lt;=$A53,"Never",$A53/(0.6-$A53))</f>
        <v>1.4</v>
      </c>
      <c r="I53" s="37" t="n">
        <f aca="false">IF(0.65&lt;=$A53,"Never",$A53/(0.65-$A53))</f>
        <v>1.16666666666667</v>
      </c>
      <c r="J53" s="37" t="n">
        <f aca="false">IF(0.7&lt;=$A53,"Never",$A53/(0.7-$A53))</f>
        <v>1</v>
      </c>
    </row>
    <row r="54" customFormat="false" ht="15" hidden="false" customHeight="false" outlineLevel="0" collapsed="false">
      <c r="A54" s="36" t="n">
        <v>0.4</v>
      </c>
      <c r="B54" s="37" t="str">
        <f aca="false">IF(0.3&lt;=$A54,"Never",$A54/(0.3-$A54))</f>
        <v>Never</v>
      </c>
      <c r="C54" s="37" t="str">
        <f aca="false">IF(0.35&lt;=$A54,"Never",$A54/(0.35-$A54))</f>
        <v>Never</v>
      </c>
      <c r="D54" s="37" t="str">
        <f aca="false">IF(0.4&lt;=$A54,"Never",$A54/(0.4-$A54))</f>
        <v>Never</v>
      </c>
      <c r="E54" s="37" t="n">
        <f aca="false">IF(0.45&lt;=$A54,"Never",$A54/(0.45-$A54))</f>
        <v>8</v>
      </c>
      <c r="F54" s="37" t="n">
        <f aca="false">IF(0.5&lt;=$A54,"Never",$A54/(0.5-$A54))</f>
        <v>4</v>
      </c>
      <c r="G54" s="37" t="n">
        <f aca="false">IF(0.55&lt;=$A54,"Never",$A54/(0.55-$A54))</f>
        <v>2.66666666666667</v>
      </c>
      <c r="H54" s="37" t="n">
        <f aca="false">IF(0.6&lt;=$A54,"Never",$A54/(0.6-$A54))</f>
        <v>2</v>
      </c>
      <c r="I54" s="37" t="n">
        <f aca="false">IF(0.65&lt;=$A54,"Never",$A54/(0.65-$A54))</f>
        <v>1.6</v>
      </c>
      <c r="J54" s="37" t="n">
        <f aca="false">IF(0.7&lt;=$A54,"Never",$A54/(0.7-$A54))</f>
        <v>1.33333333333333</v>
      </c>
    </row>
    <row r="55" customFormat="false" ht="15" hidden="false" customHeight="false" outlineLevel="0" collapsed="false">
      <c r="A55" s="36" t="n">
        <v>0.5</v>
      </c>
      <c r="B55" s="37" t="str">
        <f aca="false">IF(0.3&lt;=$A55,"Never",$A55/(0.3-$A55))</f>
        <v>Never</v>
      </c>
      <c r="C55" s="37" t="str">
        <f aca="false">IF(0.35&lt;=$A55,"Never",$A55/(0.35-$A55))</f>
        <v>Never</v>
      </c>
      <c r="D55" s="37" t="str">
        <f aca="false">IF(0.4&lt;=$A55,"Never",$A55/(0.4-$A55))</f>
        <v>Never</v>
      </c>
      <c r="E55" s="37" t="str">
        <f aca="false">IF(0.45&lt;=$A55,"Never",$A55/(0.45-$A55))</f>
        <v>Never</v>
      </c>
      <c r="F55" s="37" t="str">
        <f aca="false">IF(0.5&lt;=$A55,"Never",$A55/(0.5-$A55))</f>
        <v>Never</v>
      </c>
      <c r="G55" s="37" t="n">
        <f aca="false">IF(0.55&lt;=$A55,"Never",$A55/(0.55-$A55))</f>
        <v>9.99999999999999</v>
      </c>
      <c r="H55" s="37" t="n">
        <f aca="false">IF(0.6&lt;=$A55,"Never",$A55/(0.6-$A55))</f>
        <v>5</v>
      </c>
      <c r="I55" s="37" t="n">
        <f aca="false">IF(0.65&lt;=$A55,"Never",$A55/(0.65-$A55))</f>
        <v>3.33333333333333</v>
      </c>
      <c r="J55" s="37" t="n">
        <f aca="false">IF(0.7&lt;=$A55,"Never",$A55/(0.7-$A55))</f>
        <v>2.5</v>
      </c>
    </row>
    <row r="57" customFormat="false" ht="15" hidden="false" customHeight="false" outlineLevel="0" collapsed="false">
      <c r="A57" s="10" t="s">
        <v>116</v>
      </c>
      <c r="B57" s="10"/>
      <c r="C57" s="10"/>
      <c r="D57" s="10"/>
    </row>
    <row r="58" customFormat="false" ht="24" hidden="false" customHeight="true" outlineLevel="0" collapsed="false">
      <c r="A58" s="16" t="s">
        <v>117</v>
      </c>
      <c r="B58" s="16" t="s">
        <v>118</v>
      </c>
      <c r="C58" s="16" t="s">
        <v>119</v>
      </c>
      <c r="D58" s="16" t="s">
        <v>42</v>
      </c>
    </row>
    <row r="59" customFormat="false" ht="30" hidden="false" customHeight="true" outlineLevel="0" collapsed="false">
      <c r="A59" s="38" t="s">
        <v>120</v>
      </c>
      <c r="B59" s="38" t="s">
        <v>121</v>
      </c>
      <c r="C59" s="38" t="s">
        <v>122</v>
      </c>
      <c r="D59" s="38" t="s">
        <v>123</v>
      </c>
    </row>
    <row r="60" customFormat="false" ht="30" hidden="false" customHeight="true" outlineLevel="0" collapsed="false">
      <c r="A60" s="38" t="s">
        <v>124</v>
      </c>
      <c r="B60" s="38" t="s">
        <v>125</v>
      </c>
      <c r="C60" s="38" t="s">
        <v>126</v>
      </c>
      <c r="D60" s="38" t="s">
        <v>127</v>
      </c>
    </row>
    <row r="61" customFormat="false" ht="30" hidden="false" customHeight="true" outlineLevel="0" collapsed="false">
      <c r="A61" s="38" t="s">
        <v>128</v>
      </c>
      <c r="B61" s="38" t="s">
        <v>129</v>
      </c>
      <c r="C61" s="38" t="s">
        <v>130</v>
      </c>
      <c r="D61" s="38" t="s">
        <v>131</v>
      </c>
    </row>
    <row r="62" customFormat="false" ht="30" hidden="false" customHeight="true" outlineLevel="0" collapsed="false">
      <c r="A62" s="38" t="s">
        <v>132</v>
      </c>
      <c r="B62" s="38" t="s">
        <v>133</v>
      </c>
      <c r="C62" s="38" t="s">
        <v>134</v>
      </c>
      <c r="D62" s="38" t="s">
        <v>135</v>
      </c>
    </row>
    <row r="63" customFormat="false" ht="30" hidden="false" customHeight="true" outlineLevel="0" collapsed="false">
      <c r="A63" s="38" t="s">
        <v>136</v>
      </c>
      <c r="B63" s="38" t="s">
        <v>137</v>
      </c>
      <c r="C63" s="38" t="s">
        <v>138</v>
      </c>
      <c r="D63" s="38" t="s">
        <v>131</v>
      </c>
    </row>
  </sheetData>
  <sheetProtection sheet="true" formatColumns="false" formatRows="false"/>
  <mergeCells count="4">
    <mergeCell ref="B41:D41"/>
    <mergeCell ref="B42:D42"/>
    <mergeCell ref="B43:D43"/>
    <mergeCell ref="A46:I46"/>
  </mergeCells>
  <conditionalFormatting sqref="B48:J55">
    <cfRule type="cellIs" priority="2" operator="equal" aboveAverage="0" equalAverage="0" bottom="0" percent="0" rank="0" text="" dxfId="2">
      <formula>"Never"</formula>
    </cfRule>
    <cfRule type="expression" priority="3" aboveAverage="0" equalAverage="0" bottom="0" percent="0" rank="0" text="" dxfId="1">
      <formula>AND(ISNUMBER(B48),B48&gt;=1)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6"/>
    <col collapsed="false" customWidth="true" hidden="false" outlineLevel="0" max="4" min="3" style="0" width="12"/>
    <col collapsed="false" customWidth="true" hidden="false" outlineLevel="0" max="5" min="5" style="0" width="16"/>
    <col collapsed="false" customWidth="true" hidden="false" outlineLevel="0" max="6" min="6" style="0" width="15"/>
    <col collapsed="false" customWidth="true" hidden="false" outlineLevel="0" max="7" min="7" style="0" width="13"/>
    <col collapsed="false" customWidth="true" hidden="false" outlineLevel="0" max="8" min="8" style="0" width="16"/>
    <col collapsed="false" customWidth="true" hidden="false" outlineLevel="0" max="9" min="9" style="0" width="12"/>
  </cols>
  <sheetData>
    <row r="1" customFormat="false" ht="17.35" hidden="false" customHeight="false" outlineLevel="0" collapsed="false">
      <c r="A1" s="1" t="s">
        <v>139</v>
      </c>
    </row>
    <row r="2" customFormat="false" ht="15" hidden="false" customHeight="false" outlineLevel="0" collapsed="false">
      <c r="A2" s="2" t="s">
        <v>140</v>
      </c>
    </row>
    <row r="4" customFormat="false" ht="15" hidden="false" customHeight="false" outlineLevel="0" collapsed="false">
      <c r="A4" s="8" t="s">
        <v>27</v>
      </c>
      <c r="B4" s="17" t="s">
        <v>141</v>
      </c>
    </row>
    <row r="5" customFormat="false" ht="153.7" hidden="false" customHeight="false" outlineLevel="0" collapsed="false">
      <c r="A5" s="8" t="s">
        <v>142</v>
      </c>
      <c r="B5" s="17" t="s">
        <v>143</v>
      </c>
      <c r="C5" s="13" t="s">
        <v>144</v>
      </c>
    </row>
    <row r="6" customFormat="false" ht="153.7" hidden="false" customHeight="false" outlineLevel="0" collapsed="false">
      <c r="A6" s="8" t="s">
        <v>145</v>
      </c>
      <c r="B6" s="39" t="n">
        <v>1.15</v>
      </c>
      <c r="C6" s="13" t="s">
        <v>146</v>
      </c>
    </row>
    <row r="7" customFormat="false" ht="39.55" hidden="false" customHeight="false" outlineLevel="0" collapsed="false">
      <c r="A7" s="8" t="s">
        <v>147</v>
      </c>
      <c r="B7" s="39" t="n">
        <v>1</v>
      </c>
      <c r="C7" s="13" t="s">
        <v>148</v>
      </c>
    </row>
    <row r="9" customFormat="false" ht="43.5" hidden="false" customHeight="true" outlineLevel="0" collapsed="false">
      <c r="A9" s="16" t="s">
        <v>149</v>
      </c>
      <c r="B9" s="16" t="s">
        <v>150</v>
      </c>
      <c r="C9" s="16" t="s">
        <v>151</v>
      </c>
      <c r="D9" s="16" t="s">
        <v>152</v>
      </c>
      <c r="E9" s="16" t="s">
        <v>153</v>
      </c>
      <c r="F9" s="16" t="s">
        <v>154</v>
      </c>
      <c r="G9" s="16" t="s">
        <v>155</v>
      </c>
      <c r="H9" s="16" t="s">
        <v>156</v>
      </c>
      <c r="I9" s="16" t="s">
        <v>157</v>
      </c>
    </row>
    <row r="10" customFormat="false" ht="15" hidden="false" customHeight="false" outlineLevel="0" collapsed="false">
      <c r="A10" s="8" t="s">
        <v>158</v>
      </c>
      <c r="B10" s="17" t="n">
        <v>28</v>
      </c>
      <c r="C10" s="22" t="n">
        <v>7800</v>
      </c>
      <c r="D10" s="22" t="n">
        <v>13200</v>
      </c>
      <c r="E10" s="24" t="n">
        <v>616000</v>
      </c>
      <c r="F10" s="24" t="n">
        <v>30800</v>
      </c>
      <c r="G10" s="24" t="n">
        <v>140448</v>
      </c>
      <c r="H10" s="24" t="n">
        <v>177900</v>
      </c>
      <c r="I10" s="22" t="n">
        <v>2500</v>
      </c>
    </row>
    <row r="11" customFormat="false" ht="15" hidden="false" customHeight="false" outlineLevel="0" collapsed="false">
      <c r="A11" s="8" t="s">
        <v>159</v>
      </c>
      <c r="B11" s="17" t="n">
        <v>28</v>
      </c>
      <c r="C11" s="22" t="n">
        <v>9100</v>
      </c>
      <c r="D11" s="22" t="n">
        <v>15400</v>
      </c>
      <c r="E11" s="24" t="n">
        <v>700000</v>
      </c>
      <c r="F11" s="24" t="n">
        <v>35000</v>
      </c>
      <c r="G11" s="24" t="n">
        <v>159600</v>
      </c>
      <c r="H11" s="24" t="n">
        <v>196000</v>
      </c>
      <c r="I11" s="22" t="n">
        <v>2900</v>
      </c>
    </row>
    <row r="12" customFormat="false" ht="15" hidden="false" customHeight="false" outlineLevel="0" collapsed="false">
      <c r="A12" s="8" t="s">
        <v>160</v>
      </c>
      <c r="B12" s="17" t="n">
        <v>4</v>
      </c>
      <c r="C12" s="22" t="n">
        <v>4305</v>
      </c>
      <c r="D12" s="22" t="n">
        <v>7296</v>
      </c>
      <c r="E12" s="24" t="n">
        <v>340000</v>
      </c>
      <c r="F12" s="24" t="n">
        <v>85000</v>
      </c>
      <c r="G12" s="24" t="n">
        <v>71400</v>
      </c>
      <c r="H12" s="24" t="n">
        <v>93024</v>
      </c>
      <c r="I12" s="22" t="n">
        <v>1900</v>
      </c>
    </row>
    <row r="13" customFormat="false" ht="15" hidden="false" customHeight="false" outlineLevel="0" collapsed="false">
      <c r="A13" s="8" t="s">
        <v>161</v>
      </c>
      <c r="B13" s="17" t="n">
        <v>4</v>
      </c>
      <c r="C13" s="22" t="n">
        <v>1495</v>
      </c>
      <c r="D13" s="22" t="n">
        <v>2530</v>
      </c>
      <c r="E13" s="24" t="n">
        <v>115000</v>
      </c>
      <c r="F13" s="24" t="n">
        <v>5750</v>
      </c>
      <c r="G13" s="24" t="n">
        <v>26220</v>
      </c>
      <c r="H13" s="24" t="n">
        <v>32200</v>
      </c>
      <c r="I13" s="22" t="n">
        <v>470</v>
      </c>
    </row>
    <row r="14" customFormat="false" ht="15" hidden="false" customHeight="false" outlineLevel="0" collapsed="false">
      <c r="A14" s="8" t="s">
        <v>162</v>
      </c>
      <c r="B14" s="17" t="n">
        <v>14</v>
      </c>
      <c r="C14" s="22" t="n">
        <v>3406</v>
      </c>
      <c r="D14" s="22" t="n">
        <v>5764</v>
      </c>
      <c r="E14" s="24" t="n">
        <v>269000</v>
      </c>
      <c r="F14" s="24" t="n">
        <v>13450</v>
      </c>
      <c r="G14" s="24" t="n">
        <v>61332</v>
      </c>
      <c r="H14" s="24" t="n">
        <v>77687</v>
      </c>
      <c r="I14" s="22" t="n">
        <v>1050</v>
      </c>
    </row>
    <row r="15" customFormat="false" ht="15" hidden="false" customHeight="false" outlineLevel="0" collapsed="false">
      <c r="A15" s="8" t="s">
        <v>163</v>
      </c>
      <c r="B15" s="17" t="n">
        <v>14</v>
      </c>
      <c r="C15" s="22" t="n">
        <v>4550</v>
      </c>
      <c r="D15" s="22" t="n">
        <v>7700</v>
      </c>
      <c r="E15" s="24" t="n">
        <v>350000</v>
      </c>
      <c r="F15" s="24" t="n">
        <v>17500</v>
      </c>
      <c r="G15" s="24" t="n">
        <v>79800</v>
      </c>
      <c r="H15" s="24" t="n">
        <v>98000</v>
      </c>
      <c r="I15" s="22" t="n">
        <v>1450</v>
      </c>
    </row>
    <row r="17" customFormat="false" ht="15" hidden="false" customHeight="false" outlineLevel="0" collapsed="false">
      <c r="A17" s="10" t="s">
        <v>164</v>
      </c>
      <c r="B17" s="10"/>
      <c r="C17" s="10"/>
    </row>
    <row r="18" customFormat="false" ht="15" hidden="false" customHeight="false" outlineLevel="0" collapsed="false">
      <c r="A18" s="8" t="s">
        <v>82</v>
      </c>
      <c r="B18" s="24" t="n">
        <v>10000</v>
      </c>
    </row>
    <row r="19" customFormat="false" ht="15" hidden="false" customHeight="false" outlineLevel="0" collapsed="false">
      <c r="A19" s="8" t="s">
        <v>83</v>
      </c>
      <c r="B19" s="24" t="n">
        <v>3000</v>
      </c>
    </row>
    <row r="20" customFormat="false" ht="15" hidden="false" customHeight="false" outlineLevel="0" collapsed="false">
      <c r="A20" s="8" t="s">
        <v>84</v>
      </c>
      <c r="B20" s="24" t="n">
        <v>4000</v>
      </c>
    </row>
    <row r="21" customFormat="false" ht="15" hidden="false" customHeight="false" outlineLevel="0" collapsed="false">
      <c r="A21" s="8" t="s">
        <v>165</v>
      </c>
      <c r="B21" s="22" t="n">
        <v>700</v>
      </c>
    </row>
    <row r="22" customFormat="false" ht="15" hidden="false" customHeight="false" outlineLevel="0" collapsed="false">
      <c r="A22" s="8" t="s">
        <v>166</v>
      </c>
      <c r="B22" s="18" t="n">
        <v>80</v>
      </c>
    </row>
    <row r="23" customFormat="false" ht="15" hidden="false" customHeight="false" outlineLevel="0" collapsed="false">
      <c r="A23" s="8" t="s">
        <v>167</v>
      </c>
      <c r="B23" s="23" t="n">
        <v>0.4</v>
      </c>
    </row>
    <row r="24" customFormat="false" ht="15" hidden="false" customHeight="false" outlineLevel="0" collapsed="false">
      <c r="A24" s="8" t="s">
        <v>168</v>
      </c>
      <c r="B24" s="23" t="n">
        <v>0.82</v>
      </c>
    </row>
    <row r="25" customFormat="false" ht="15" hidden="false" customHeight="false" outlineLevel="0" collapsed="false">
      <c r="A25" s="8" t="s">
        <v>169</v>
      </c>
      <c r="B25" s="20" t="n">
        <v>0</v>
      </c>
    </row>
    <row r="26" customFormat="false" ht="15" hidden="false" customHeight="false" outlineLevel="0" collapsed="false">
      <c r="A26" s="8" t="s">
        <v>170</v>
      </c>
      <c r="B26" s="23"/>
    </row>
    <row r="27" customFormat="false" ht="15" hidden="false" customHeight="false" outlineLevel="0" collapsed="false">
      <c r="A27" s="8" t="s">
        <v>171</v>
      </c>
      <c r="B27" s="23"/>
    </row>
  </sheetData>
  <sheetProtection sheet="true" formatColumns="false" formatRows="false"/>
  <dataValidations count="1">
    <dataValidation allowBlank="false" errorStyle="stop" operator="between" showDropDown="false" showErrorMessage="false" showInputMessage="false" sqref="B5" type="list">
      <formula1>"Control lines,Manual factor"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22"/>
    <col collapsed="false" customWidth="true" hidden="false" outlineLevel="0" max="3" min="3" style="0" width="18"/>
    <col collapsed="false" customWidth="true" hidden="false" outlineLevel="0" max="4" min="4" style="0" width="16"/>
    <col collapsed="false" customWidth="true" hidden="false" outlineLevel="0" max="5" min="5" style="0" width="30"/>
  </cols>
  <sheetData>
    <row r="1" customFormat="false" ht="17.35" hidden="false" customHeight="false" outlineLevel="0" collapsed="false">
      <c r="A1" s="1" t="s">
        <v>172</v>
      </c>
    </row>
    <row r="2" customFormat="false" ht="15" hidden="false" customHeight="false" outlineLevel="0" collapsed="false">
      <c r="A2" s="2" t="s">
        <v>173</v>
      </c>
    </row>
    <row r="4" customFormat="false" ht="15" hidden="false" customHeight="false" outlineLevel="0" collapsed="false">
      <c r="A4" s="8" t="s">
        <v>142</v>
      </c>
      <c r="B4" s="9" t="str">
        <f aca="false">'Event Data'!$B$5</f>
        <v>Control lines</v>
      </c>
    </row>
    <row r="5" customFormat="false" ht="15" hidden="false" customHeight="false" outlineLevel="0" collapsed="false">
      <c r="A5" s="8" t="s">
        <v>174</v>
      </c>
      <c r="B5" s="40" t="n">
        <f aca="false">IF('Event Data'!$B$5="Control lines",IFERROR(('Event Data'!$E$13/'Event Data'!$B$13)/('Event Data'!$E$11/'Event Data'!$B$11),1),'Event Data'!$B$6)</f>
        <v>1.15</v>
      </c>
      <c r="C5" s="8" t="s">
        <v>175</v>
      </c>
    </row>
    <row r="6" customFormat="false" ht="15" hidden="false" customHeight="false" outlineLevel="0" collapsed="false">
      <c r="A6" s="8" t="s">
        <v>176</v>
      </c>
      <c r="B6" s="40" t="n">
        <f aca="false">IF('Event Data'!$B$5="Control lines",IFERROR(('Event Data'!$E$15/'Event Data'!$B$15)/('Event Data'!$E$11/'Event Data'!$B$11),1),'Event Data'!$B$7)</f>
        <v>1</v>
      </c>
      <c r="C6" s="8" t="s">
        <v>177</v>
      </c>
    </row>
    <row r="8" customFormat="false" ht="15" hidden="false" customHeight="false" outlineLevel="0" collapsed="false">
      <c r="A8" s="10" t="s">
        <v>178</v>
      </c>
      <c r="B8" s="10"/>
      <c r="C8" s="10"/>
      <c r="D8" s="10"/>
    </row>
    <row r="9" customFormat="false" ht="30" hidden="false" customHeight="true" outlineLevel="0" collapsed="false">
      <c r="A9" s="16" t="s">
        <v>179</v>
      </c>
      <c r="B9" s="16" t="s">
        <v>180</v>
      </c>
      <c r="C9" s="16" t="s">
        <v>181</v>
      </c>
      <c r="D9" s="16" t="s">
        <v>182</v>
      </c>
    </row>
    <row r="10" customFormat="false" ht="15" hidden="false" customHeight="false" outlineLevel="0" collapsed="false">
      <c r="A10" s="8" t="s">
        <v>151</v>
      </c>
      <c r="B10" s="41" t="n">
        <f aca="false">('Event Data'!$C$10/'Event Data'!$B$10)*$B$5*'Event Data'!$B$12</f>
        <v>1281.42857142857</v>
      </c>
      <c r="C10" s="41" t="n">
        <f aca="false">'Event Data'!$C$12</f>
        <v>4305</v>
      </c>
      <c r="D10" s="27" t="n">
        <f aca="false">C10-B10</f>
        <v>3023.57142857143</v>
      </c>
    </row>
    <row r="11" customFormat="false" ht="15" hidden="false" customHeight="false" outlineLevel="0" collapsed="false">
      <c r="A11" s="8" t="s">
        <v>152</v>
      </c>
      <c r="B11" s="41" t="n">
        <f aca="false">('Event Data'!$D$10/'Event Data'!$B$10)*$B$5*'Event Data'!$B$12</f>
        <v>2168.57142857143</v>
      </c>
      <c r="C11" s="41" t="n">
        <f aca="false">'Event Data'!$D$12</f>
        <v>7296</v>
      </c>
      <c r="D11" s="27" t="n">
        <f aca="false">C11-B11</f>
        <v>5127.42857142857</v>
      </c>
    </row>
    <row r="12" customFormat="false" ht="15" hidden="false" customHeight="false" outlineLevel="0" collapsed="false">
      <c r="A12" s="8" t="s">
        <v>153</v>
      </c>
      <c r="B12" s="12" t="n">
        <f aca="false">('Event Data'!$E$10/'Event Data'!$B$10)*$B$5*'Event Data'!$B$12</f>
        <v>101200</v>
      </c>
      <c r="C12" s="12" t="n">
        <f aca="false">'Event Data'!$E$12</f>
        <v>340000</v>
      </c>
      <c r="D12" s="28" t="n">
        <f aca="false">C12-B12</f>
        <v>238800</v>
      </c>
    </row>
    <row r="13" customFormat="false" ht="15" hidden="false" customHeight="false" outlineLevel="0" collapsed="false">
      <c r="A13" s="8" t="s">
        <v>154</v>
      </c>
      <c r="B13" s="12" t="n">
        <f aca="false">B12*IFERROR('Event Data'!$F$10/'Event Data'!$E$10,0)</f>
        <v>5060</v>
      </c>
      <c r="C13" s="12" t="n">
        <f aca="false">'Event Data'!$F$12</f>
        <v>85000</v>
      </c>
      <c r="D13" s="28" t="n">
        <f aca="false">C13-B13</f>
        <v>79940</v>
      </c>
    </row>
    <row r="14" customFormat="false" ht="15" hidden="false" customHeight="false" outlineLevel="0" collapsed="false">
      <c r="A14" s="8" t="s">
        <v>183</v>
      </c>
      <c r="B14" s="28" t="n">
        <f aca="false">B12-B13</f>
        <v>96140</v>
      </c>
      <c r="C14" s="28" t="n">
        <f aca="false">C12-C13</f>
        <v>255000</v>
      </c>
      <c r="D14" s="28" t="n">
        <f aca="false">C14-B14</f>
        <v>158860</v>
      </c>
    </row>
    <row r="15" customFormat="false" ht="15" hidden="false" customHeight="false" outlineLevel="0" collapsed="false">
      <c r="A15" s="8" t="s">
        <v>155</v>
      </c>
      <c r="B15" s="12" t="n">
        <f aca="false">B14*IFERROR('Event Data'!$G$10/('Event Data'!$E$10-'Event Data'!$F$10),0)</f>
        <v>23073.6</v>
      </c>
      <c r="C15" s="12" t="n">
        <f aca="false">'Event Data'!$G$12</f>
        <v>71400</v>
      </c>
      <c r="D15" s="28" t="n">
        <f aca="false">C15-B15</f>
        <v>48326.4</v>
      </c>
    </row>
    <row r="16" customFormat="false" ht="15" hidden="false" customHeight="false" outlineLevel="0" collapsed="false">
      <c r="A16" s="8" t="s">
        <v>184</v>
      </c>
      <c r="B16" s="28" t="n">
        <f aca="false">B14-B15</f>
        <v>73066.4</v>
      </c>
      <c r="C16" s="28" t="n">
        <f aca="false">C14-C15</f>
        <v>183600</v>
      </c>
      <c r="D16" s="28" t="n">
        <f aca="false">C16-B16</f>
        <v>110533.6</v>
      </c>
    </row>
    <row r="17" customFormat="false" ht="15" hidden="false" customHeight="false" outlineLevel="0" collapsed="false">
      <c r="A17" s="8" t="s">
        <v>156</v>
      </c>
      <c r="B17" s="12" t="n">
        <f aca="false">B12*IFERROR('Event Data'!$H$10/'Event Data'!$E$10,0)</f>
        <v>29226.4285714286</v>
      </c>
      <c r="C17" s="12" t="n">
        <f aca="false">'Event Data'!$H$12</f>
        <v>93024</v>
      </c>
      <c r="D17" s="28" t="n">
        <f aca="false">C17-B17</f>
        <v>63797.5714285714</v>
      </c>
    </row>
    <row r="18" customFormat="false" ht="15" hidden="false" customHeight="false" outlineLevel="0" collapsed="false">
      <c r="A18" s="8" t="s">
        <v>185</v>
      </c>
      <c r="B18" s="28" t="n">
        <f aca="false">B16-B17</f>
        <v>43839.9714285714</v>
      </c>
      <c r="C18" s="28" t="n">
        <f aca="false">C16-C17</f>
        <v>90576</v>
      </c>
      <c r="D18" s="28" t="n">
        <f aca="false">C18-B18</f>
        <v>46736.0285714286</v>
      </c>
    </row>
    <row r="19" customFormat="false" ht="15" hidden="false" customHeight="false" outlineLevel="0" collapsed="false">
      <c r="A19" s="8" t="s">
        <v>186</v>
      </c>
      <c r="B19" s="12" t="n">
        <f aca="false">B10*Settings!$B$5+B15*Settings!$B$6</f>
        <v>13173.5588571429</v>
      </c>
      <c r="C19" s="12" t="n">
        <f aca="false">C10*Settings!$B$5+C15*Settings!$B$6</f>
        <v>43890</v>
      </c>
      <c r="D19" s="28" t="n">
        <f aca="false">C19-B19</f>
        <v>30716.4411428571</v>
      </c>
    </row>
    <row r="20" customFormat="false" ht="15" hidden="false" customHeight="false" outlineLevel="0" collapsed="false">
      <c r="A20" s="8" t="s">
        <v>187</v>
      </c>
      <c r="B20" s="28" t="n">
        <f aca="false">B18-B19</f>
        <v>30666.4125714286</v>
      </c>
      <c r="C20" s="28" t="n">
        <f aca="false">C18-C19</f>
        <v>46686</v>
      </c>
      <c r="D20" s="28" t="n">
        <f aca="false">C20-B20</f>
        <v>16019.5874285714</v>
      </c>
    </row>
    <row r="21" customFormat="false" ht="15" hidden="false" customHeight="false" outlineLevel="0" collapsed="false">
      <c r="A21" s="8" t="s">
        <v>188</v>
      </c>
      <c r="B21" s="28" t="n">
        <f aca="false">0</f>
        <v>0</v>
      </c>
      <c r="C21" s="12" t="n">
        <f aca="false">'Event Data'!$B$18+'Event Data'!$B$19-'Event Data'!$B$20</f>
        <v>9000</v>
      </c>
      <c r="D21" s="28" t="n">
        <f aca="false">C21-B21</f>
        <v>9000</v>
      </c>
    </row>
    <row r="22" customFormat="false" ht="15" hidden="false" customHeight="false" outlineLevel="0" collapsed="false">
      <c r="A22" s="42" t="s">
        <v>189</v>
      </c>
      <c r="B22" s="43" t="n">
        <f aca="false">B20-B21</f>
        <v>30666.4125714286</v>
      </c>
      <c r="C22" s="43" t="n">
        <f aca="false">C20-C21</f>
        <v>37686</v>
      </c>
      <c r="D22" s="43" t="n">
        <f aca="false">C22-B22</f>
        <v>7019.58742857142</v>
      </c>
    </row>
    <row r="24" customFormat="false" ht="15" hidden="false" customHeight="false" outlineLevel="0" collapsed="false">
      <c r="A24" s="10" t="s">
        <v>190</v>
      </c>
      <c r="B24" s="10"/>
      <c r="C24" s="10"/>
      <c r="D24" s="10"/>
    </row>
    <row r="25" customFormat="false" ht="24" hidden="false" customHeight="true" outlineLevel="0" collapsed="false">
      <c r="A25" s="16" t="s">
        <v>179</v>
      </c>
      <c r="B25" s="16" t="s">
        <v>191</v>
      </c>
      <c r="C25" s="16" t="s">
        <v>181</v>
      </c>
      <c r="D25" s="16" t="s">
        <v>182</v>
      </c>
    </row>
    <row r="26" customFormat="false" ht="15" hidden="false" customHeight="false" outlineLevel="0" collapsed="false">
      <c r="A26" s="8" t="s">
        <v>192</v>
      </c>
      <c r="B26" s="12" t="n">
        <f aca="false">('Event Data'!$E$10/'Event Data'!$B$10)*$B$6*'Event Data'!$B$14*IFERROR(('Event Data'!$E$10-'Event Data'!$F$10-'Event Data'!$G$10-'Event Data'!$H$10-'Event Data'!$C$10*Settings!$B$5-'Event Data'!$G$10*Settings!$B$6)/'Event Data'!$E$10,0)</f>
        <v>93332.56</v>
      </c>
      <c r="C26" s="12" t="n">
        <f aca="false">'Event Data'!$E$14-'Event Data'!$F$14-'Event Data'!$G$14-'Event Data'!$H$14-'Event Data'!$C$14*Settings!$B$5-'Event Data'!$G$14*Settings!$B$6</f>
        <v>81515.88</v>
      </c>
      <c r="D26" s="28" t="n">
        <f aca="false">C26-B26</f>
        <v>-11816.68</v>
      </c>
    </row>
    <row r="27" customFormat="false" ht="15" hidden="false" customHeight="false" outlineLevel="0" collapsed="false">
      <c r="A27" s="8" t="s">
        <v>193</v>
      </c>
      <c r="B27" s="12" t="n">
        <f aca="false">IF('Event Data'!$B$5="Control lines",C27,('Event Data'!$E$11/'Event Data'!$B$11)*$B$5*'Event Data'!$B$13*IFERROR(('Event Data'!$E$11-'Event Data'!$F$11-'Event Data'!$G$11-'Event Data'!$H$11-'Event Data'!$C$11*Settings!$B$5-'Event Data'!$G$11*Settings!$B$6)/'Event Data'!$E$11,0))</f>
        <v>35502.8</v>
      </c>
      <c r="C27" s="12" t="n">
        <f aca="false">'Event Data'!$E$13-'Event Data'!$F$13-'Event Data'!$G$13-'Event Data'!$H$13-'Event Data'!$C$13*Settings!$B$5-'Event Data'!$G$13*Settings!$B$6</f>
        <v>35502.8</v>
      </c>
      <c r="D27" s="28" t="n">
        <f aca="false">C27-B27</f>
        <v>0</v>
      </c>
      <c r="E27" s="9" t="str">
        <f aca="false">IF('Event Data'!$B$5="Control lines","Not measurable: these lines are the control","Halo or cannibalisation")</f>
        <v>Not measurable: these lines are the control</v>
      </c>
    </row>
    <row r="29" customFormat="false" ht="15" hidden="false" customHeight="false" outlineLevel="0" collapsed="false">
      <c r="A29" s="10" t="s">
        <v>194</v>
      </c>
      <c r="B29" s="10"/>
      <c r="C29" s="10"/>
      <c r="D29" s="10"/>
    </row>
    <row r="30" customFormat="false" ht="15" hidden="false" customHeight="false" outlineLevel="0" collapsed="false">
      <c r="A30" s="8" t="s">
        <v>195</v>
      </c>
      <c r="B30" s="28" t="n">
        <f aca="false">D22</f>
        <v>7019.58742857142</v>
      </c>
    </row>
    <row r="31" customFormat="false" ht="15" hidden="false" customHeight="false" outlineLevel="0" collapsed="false">
      <c r="A31" s="8" t="s">
        <v>37</v>
      </c>
      <c r="B31" s="28" t="n">
        <f aca="false">D26</f>
        <v>-11816.68</v>
      </c>
    </row>
    <row r="32" customFormat="false" ht="15" hidden="false" customHeight="false" outlineLevel="0" collapsed="false">
      <c r="A32" s="8" t="s">
        <v>196</v>
      </c>
      <c r="B32" s="12" t="n">
        <f aca="false">IF('Event Data'!$B$5="Control lines",0,D27)</f>
        <v>0</v>
      </c>
    </row>
    <row r="33" customFormat="false" ht="15" hidden="false" customHeight="false" outlineLevel="0" collapsed="false">
      <c r="A33" s="42" t="s">
        <v>35</v>
      </c>
      <c r="B33" s="43" t="n">
        <f aca="false">B30+B31+B32</f>
        <v>-4797.09257142857</v>
      </c>
    </row>
    <row r="34" customFormat="false" ht="15" hidden="false" customHeight="false" outlineLevel="0" collapsed="false">
      <c r="A34" s="8" t="s">
        <v>197</v>
      </c>
      <c r="B34" s="12" t="n">
        <f aca="false">B12*MAX(0,IFERROR(C13/C12,0)-IFERROR('Event Data'!$F$10/'Event Data'!$E$10,0))</f>
        <v>20240</v>
      </c>
    </row>
    <row r="35" customFormat="false" ht="15" hidden="false" customHeight="false" outlineLevel="0" collapsed="false">
      <c r="A35" s="8" t="s">
        <v>198</v>
      </c>
      <c r="B35" s="26" t="n">
        <f aca="false">IFERROR(C12/B12-1,0)</f>
        <v>2.3596837944664</v>
      </c>
    </row>
    <row r="36" customFormat="false" ht="15" hidden="false" customHeight="false" outlineLevel="0" collapsed="false">
      <c r="A36" s="8" t="s">
        <v>199</v>
      </c>
      <c r="B36" s="11" t="n">
        <f aca="false">IFERROR(IF((IFERROR(('Event Data'!$E$10-'Event Data'!$F$10-'Event Data'!$G$10-'Event Data'!$H$10-'Event Data'!$C$10*Settings!$B$5-'Event Data'!$G$10*Settings!$B$6)/'Event Data'!$E$10,0)+IFERROR('Event Data'!$F$10/'Event Data'!$E$10,0))&lt;=C13/C12,"Never pays",MAX(0,C13/C12-IFERROR('Event Data'!$F$10/'Event Data'!$E$10,0))/((IFERROR(('Event Data'!$E$10-'Event Data'!$F$10-'Event Data'!$G$10-'Event Data'!$H$10-'Event Data'!$C$10*Settings!$B$5-'Event Data'!$G$10*Settings!$B$6)/'Event Data'!$E$10,0)+IFERROR('Event Data'!$F$10/'Event Data'!$E$10,0))-C13/C12)),0)</f>
        <v>1.94122377772232</v>
      </c>
    </row>
    <row r="37" customFormat="false" ht="15" hidden="false" customHeight="false" outlineLevel="0" collapsed="false">
      <c r="A37" s="8" t="s">
        <v>200</v>
      </c>
      <c r="B37" s="26" t="n">
        <f aca="false">IF(B30&gt;0,MAX(0,-B31)/B30,0)</f>
        <v>1.68338668336877</v>
      </c>
    </row>
    <row r="38" customFormat="false" ht="15" hidden="false" customHeight="false" outlineLevel="0" collapsed="false">
      <c r="A38" s="8" t="s">
        <v>201</v>
      </c>
      <c r="B38" s="12" t="n">
        <f aca="false">'Event Data'!$B$21*'Event Data'!$B$22*MAX(0,'Event Data'!$B$23-IFERROR(C13/C12,0))</f>
        <v>8400</v>
      </c>
    </row>
    <row r="39" customFormat="false" ht="15" hidden="false" customHeight="false" outlineLevel="0" collapsed="false">
      <c r="A39" s="8" t="s">
        <v>202</v>
      </c>
      <c r="B39" s="41" t="n">
        <f aca="false">'Event Data'!$I$12-IFERROR('Event Data'!$I$10/'Event Data'!$B$10,0)*$B$5*'Event Data'!$B$12</f>
        <v>1489.28571428571</v>
      </c>
    </row>
    <row r="40" customFormat="false" ht="15" hidden="false" customHeight="false" outlineLevel="0" collapsed="false">
      <c r="A40" s="8" t="s">
        <v>203</v>
      </c>
      <c r="B40" s="44" t="str">
        <f aca="false">IF(OR('Event Data'!$B$26="",'Event Data'!$B$27=""),"Not yet known",'Event Data'!$B$26-'Event Data'!$B$27)</f>
        <v>Not yet known</v>
      </c>
    </row>
    <row r="42" customFormat="false" ht="15" hidden="false" customHeight="false" outlineLevel="0" collapsed="false">
      <c r="A42" s="8" t="s">
        <v>34</v>
      </c>
      <c r="B42" s="15" t="str">
        <f aca="false">IF(B33&gt;0,IF(OR('Event Data'!$B$24&lt;Settings!$B$7,'Event Data'!$B$25&gt;0),"Fix",IF(B37&gt;Settings!$B$8,"Repeat, smaller","Scale or repeat")),IF(B33+B38&gt;0,"Clearance only","Stop"))</f>
        <v>Clearance only</v>
      </c>
    </row>
    <row r="44" customFormat="false" ht="15" hidden="false" customHeight="false" outlineLevel="0" collapsed="false">
      <c r="A44" s="10" t="s">
        <v>103</v>
      </c>
      <c r="B44" s="10"/>
      <c r="C44" s="10"/>
      <c r="D44" s="10"/>
    </row>
    <row r="45" customFormat="false" ht="45.75" hidden="false" customHeight="true" outlineLevel="0" collapsed="false">
      <c r="A45" s="33" t="s">
        <v>40</v>
      </c>
      <c r="B45" s="14" t="str">
        <f aca="false">'Event Data'!$B$4&amp;": volume on the promoted lines ran "&amp;TEXT(B35,"+0%;-0%")&amp;" against what the season alone would have done. The event made "&amp;TEXT(B30,"£#,##0;(£#,##0)")&amp;" of incremental contribution; the following weeks gave back "&amp;TEXT(-B31,"£#,##0;(£#,##0)")&amp;"."</f>
        <v>Black Friday 2025 (example): volume on the promoted lines ran +236% against what the season alone would have done. The event made £7,020 of incremental contribution; the following weeks gave back £11,817.</v>
      </c>
      <c r="C45" s="14"/>
      <c r="D45" s="14"/>
      <c r="E45" s="14"/>
    </row>
    <row r="46" customFormat="false" ht="45.75" hidden="false" customHeight="true" outlineLevel="0" collapsed="false">
      <c r="A46" s="33" t="s">
        <v>41</v>
      </c>
      <c r="B46" s="14" t="str">
        <f aca="false">"Net of everything, the promotion "&amp;IF(B33&gt;=0,"made ","lost ")&amp;TEXT(ABS(B33),"£#,##0")&amp;". It gave away "&amp;TEXT(B34,"£#,##0")&amp;" of margin on sales that would have happened anyway"&amp;IF(B38&gt;0,", and saved "&amp;TEXT(B38,"£#,##0")&amp;" of later markdown on aged stock","")&amp;IF('Event Data'!$B$24&lt;Settings!$B$7,". Best-seller availability fell to "&amp;TEXT('Event Data'!$B$24,"0%")&amp;", so it also left sales on the table","")&amp;"."</f>
        <v>Net of everything, the promotion lost £4,797. It gave away £20,240 of margin on sales that would have happened anyway, and saved £8,400 of later markdown on aged stock. Best-seller availability fell to 82%, so it also left sales on the table.</v>
      </c>
      <c r="C46" s="14"/>
      <c r="D46" s="14"/>
      <c r="E46" s="14"/>
    </row>
    <row r="47" customFormat="false" ht="45.75" hidden="false" customHeight="true" outlineLevel="0" collapsed="false">
      <c r="A47" s="33" t="s">
        <v>33</v>
      </c>
      <c r="B47" s="34" t="str">
        <f aca="false">IF(B42="Scale or repeat","Repeat it, and test whether a little more depth or range pays as well.",IF(B42="Repeat, smaller","Repeat it shorter, shallower or narrower: much of the gain was borrowed from the weeks after.",IF(B42="Fix","Repeat it only once the leak is fixed: protect best-seller depth, and test the mechanic end to end before launch.",IF(B42="Clearance only","Run it again only as a clearance tool, on aged lines, not as a traffic event.","Stop it, or redesign it: it moved sales without making money."))))</f>
        <v>Run it again only as a clearance tool, on aged lines, not as a traffic event.</v>
      </c>
      <c r="C47" s="34"/>
      <c r="D47" s="34"/>
      <c r="E47" s="34"/>
    </row>
    <row r="48" customFormat="false" ht="15" hidden="false" customHeight="false" outlineLevel="0" collapsed="false">
      <c r="A48" s="8" t="s">
        <v>42</v>
      </c>
      <c r="B48" s="9" t="str">
        <f aca="false">Settings!$B$9</f>
        <v>Commercial Director</v>
      </c>
    </row>
    <row r="50" customFormat="false" ht="43.5" hidden="false" customHeight="true" outlineLevel="0" collapsed="false">
      <c r="A50" s="35" t="s">
        <v>204</v>
      </c>
      <c r="B50" s="35"/>
      <c r="C50" s="35"/>
      <c r="D50" s="35"/>
      <c r="E50" s="35"/>
    </row>
  </sheetData>
  <sheetProtection sheet="true" formatColumns="false" formatRows="false"/>
  <mergeCells count="4">
    <mergeCell ref="B45:E45"/>
    <mergeCell ref="B46:E46"/>
    <mergeCell ref="B47:E47"/>
    <mergeCell ref="A50:E5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56"/>
    <col collapsed="false" customWidth="true" hidden="false" outlineLevel="0" max="3" min="3" style="0" width="14"/>
    <col collapsed="false" customWidth="true" hidden="false" outlineLevel="0" max="4" min="4" style="0" width="10"/>
    <col collapsed="false" customWidth="true" hidden="false" outlineLevel="0" max="5" min="5" style="0" width="80"/>
  </cols>
  <sheetData>
    <row r="1" customFormat="false" ht="17.35" hidden="false" customHeight="false" outlineLevel="0" collapsed="false">
      <c r="A1" s="1" t="s">
        <v>26</v>
      </c>
    </row>
    <row r="2" customFormat="false" ht="15" hidden="false" customHeight="false" outlineLevel="0" collapsed="false">
      <c r="A2" s="2" t="s">
        <v>205</v>
      </c>
    </row>
    <row r="4" customFormat="false" ht="36" hidden="false" customHeight="true" outlineLevel="0" collapsed="false">
      <c r="A4" s="16" t="s">
        <v>206</v>
      </c>
      <c r="B4" s="16" t="s">
        <v>207</v>
      </c>
      <c r="C4" s="16" t="s">
        <v>46</v>
      </c>
      <c r="D4" s="16" t="s">
        <v>208</v>
      </c>
      <c r="E4" s="16" t="s">
        <v>209</v>
      </c>
    </row>
    <row r="5" customFormat="false" ht="15" hidden="false" customHeight="false" outlineLevel="0" collapsed="false">
      <c r="A5" s="8" t="n">
        <v>1</v>
      </c>
      <c r="B5" s="8" t="s">
        <v>210</v>
      </c>
      <c r="C5" s="9" t="n">
        <f aca="false">COUNTIF('Event Data'!$B$10:$B$15,"&lt;=0")+COUNTBLANK('Event Data'!$B$10:$B$15)</f>
        <v>0</v>
      </c>
      <c r="D5" s="32" t="str">
        <f aca="false">IF(C5=0,"PASS","FAIL")</f>
        <v>PASS</v>
      </c>
      <c r="E5" s="8" t="s">
        <v>211</v>
      </c>
    </row>
    <row r="6" customFormat="false" ht="15" hidden="false" customHeight="false" outlineLevel="0" collapsed="false">
      <c r="A6" s="8" t="n">
        <v>2</v>
      </c>
      <c r="B6" s="8" t="s">
        <v>212</v>
      </c>
      <c r="C6" s="12" t="n">
        <f aca="false">'Event Data'!$E$10</f>
        <v>616000</v>
      </c>
      <c r="D6" s="32" t="str">
        <f aca="false">IF(C6&gt;0,"PASS","FAIL")</f>
        <v>PASS</v>
      </c>
      <c r="E6" s="8" t="s">
        <v>213</v>
      </c>
    </row>
    <row r="7" customFormat="false" ht="15" hidden="false" customHeight="false" outlineLevel="0" collapsed="false">
      <c r="A7" s="8" t="n">
        <v>3</v>
      </c>
      <c r="B7" s="8" t="s">
        <v>214</v>
      </c>
      <c r="C7" s="9" t="n">
        <f aca="false">IF('Event Data'!$B$5="Control lines",('Event Data'!$E$11&lt;=0)+('Event Data'!$E$13&lt;=0)+('Event Data'!$E$15&lt;=0),0)</f>
        <v>0</v>
      </c>
      <c r="D7" s="32" t="str">
        <f aca="false">IF(C7=0,"PASS","FAIL")</f>
        <v>PASS</v>
      </c>
      <c r="E7" s="8" t="s">
        <v>215</v>
      </c>
    </row>
    <row r="8" customFormat="false" ht="15" hidden="false" customHeight="false" outlineLevel="0" collapsed="false">
      <c r="A8" s="8" t="n">
        <v>4</v>
      </c>
      <c r="B8" s="8" t="s">
        <v>216</v>
      </c>
      <c r="C8" s="9" t="n">
        <f aca="false">SUMPRODUCT(--('Event Data'!$F$10:$F$15&gt;'Event Data'!$E$10:$E$15))</f>
        <v>0</v>
      </c>
      <c r="D8" s="32" t="str">
        <f aca="false">IF(C8=0,"PASS","FAIL")</f>
        <v>PASS</v>
      </c>
      <c r="E8" s="8" t="s">
        <v>217</v>
      </c>
    </row>
    <row r="9" customFormat="false" ht="15" hidden="false" customHeight="false" outlineLevel="0" collapsed="false">
      <c r="A9" s="8" t="n">
        <v>5</v>
      </c>
      <c r="B9" s="8" t="s">
        <v>218</v>
      </c>
      <c r="C9" s="9" t="n">
        <f aca="false">SUMPRODUCT(--('Event Data'!$G$10:$G$15&gt;'Event Data'!$E$10:$E$15-'Event Data'!$F$10:$F$15))</f>
        <v>0</v>
      </c>
      <c r="D9" s="32" t="str">
        <f aca="false">IF(C9=0,"PASS","FAIL")</f>
        <v>PASS</v>
      </c>
      <c r="E9" s="8" t="s">
        <v>219</v>
      </c>
    </row>
    <row r="10" customFormat="false" ht="15" hidden="false" customHeight="false" outlineLevel="0" collapsed="false">
      <c r="A10" s="8" t="n">
        <v>6</v>
      </c>
      <c r="B10" s="8" t="s">
        <v>220</v>
      </c>
      <c r="C10" s="9" t="n">
        <f aca="false">IF('Event Data'!$B$5="Control lines",0,('Event Data'!$B$6&lt;=0)+('Event Data'!$B$7&lt;=0))</f>
        <v>0</v>
      </c>
      <c r="D10" s="32" t="str">
        <f aca="false">IF(C10=0,"PASS","FAIL")</f>
        <v>PASS</v>
      </c>
      <c r="E10" s="8" t="s">
        <v>221</v>
      </c>
    </row>
    <row r="11" customFormat="false" ht="15" hidden="false" customHeight="false" outlineLevel="0" collapsed="false">
      <c r="A11" s="8" t="n">
        <v>7</v>
      </c>
      <c r="B11" s="8" t="s">
        <v>222</v>
      </c>
      <c r="C11" s="11" t="n">
        <f aca="false">'Pre-Event Plan'!B26</f>
        <v>2.24861988272391</v>
      </c>
      <c r="D11" s="32" t="str">
        <f aca="false">IF(ISNUMBER(C11),"PASS","WARN")</f>
        <v>PASS</v>
      </c>
      <c r="E11" s="8" t="s">
        <v>223</v>
      </c>
    </row>
    <row r="12" customFormat="false" ht="15" hidden="false" customHeight="false" outlineLevel="0" collapsed="false">
      <c r="A12" s="8" t="n">
        <v>8</v>
      </c>
      <c r="B12" s="8" t="s">
        <v>224</v>
      </c>
      <c r="C12" s="41" t="n">
        <f aca="false">'Pre-Event Plan'!B37</f>
        <v>536</v>
      </c>
      <c r="D12" s="32" t="str">
        <f aca="false">IF(C12=0,"PASS","WARN")</f>
        <v>WARN</v>
      </c>
      <c r="E12" s="8" t="s">
        <v>225</v>
      </c>
    </row>
    <row r="13" customFormat="false" ht="15" hidden="false" customHeight="false" outlineLevel="0" collapsed="false">
      <c r="A13" s="8" t="n">
        <v>9</v>
      </c>
      <c r="B13" s="8" t="s">
        <v>226</v>
      </c>
      <c r="C13" s="9" t="n">
        <f aca="false">('Pre-Event Plan'!B13&lt;0)+('Pre-Event Plan'!B13&gt;1)+('Pre-Event Plan'!B15&lt;0)+('Pre-Event Plan'!B15&gt;1)+('Event Data'!$B$24&lt;0)+('Event Data'!$B$24&gt;1)</f>
        <v>0</v>
      </c>
      <c r="D13" s="32" t="str">
        <f aca="false">IF(C13=0,"PASS","FAIL")</f>
        <v>PASS</v>
      </c>
      <c r="E13" s="8" t="s">
        <v>227</v>
      </c>
    </row>
    <row r="14" customFormat="false" ht="15" hidden="false" customHeight="false" outlineLevel="0" collapsed="false">
      <c r="A14" s="8" t="n">
        <v>10</v>
      </c>
      <c r="B14" s="8" t="s">
        <v>228</v>
      </c>
      <c r="C14" s="11" t="n">
        <f aca="false">IF('Event Data'!$B$24="","Blank",'Event Data'!$B$24)</f>
        <v>0.82</v>
      </c>
      <c r="D14" s="32" t="str">
        <f aca="false">IF(C14="Blank","WARN","PASS")</f>
        <v>PASS</v>
      </c>
      <c r="E14" s="8" t="s">
        <v>229</v>
      </c>
    </row>
    <row r="16" customFormat="false" ht="15" hidden="false" customHeight="false" outlineLevel="0" collapsed="false">
      <c r="B16" s="3" t="s">
        <v>230</v>
      </c>
      <c r="D16" s="32" t="str">
        <f aca="false">IF(COUNTIF(D5:D14,"FAIL")&gt;0,"FAIL",IF(COUNTIF(D5:D14,"WARN")&gt;0,"WARN","PASS"))</f>
        <v>WARN</v>
      </c>
    </row>
  </sheetData>
  <sheetProtection sheet="true" formatColumns="false" formatRows="false"/>
  <conditionalFormatting sqref="D5:D16">
    <cfRule type="cellIs" priority="2" operator="equal" aboveAverage="0" equalAverage="0" bottom="0" percent="0" rank="0" text="" dxfId="0">
      <formula>"PASS"</formula>
    </cfRule>
    <cfRule type="cellIs" priority="3" operator="equal" aboveAverage="0" equalAverage="0" bottom="0" percent="0" rank="0" text="" dxfId="1">
      <formula>"WARN"</formula>
    </cfRule>
    <cfRule type="cellIs" priority="4" operator="equal" aboveAverage="0" equalAverage="0" bottom="0" percent="0" rank="0" text="" dxfId="2">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2026-10-28T13:02:01Z</dcterms:created>
  <dc:creator>openpyxl</dc:creator>
  <dc:description/>
  <dc:language>en-US</dc:language>
  <cp:lastModifiedBy/>
  <dcterms:modified xsi:type="dcterms:W3CDTF">2026-10-28T13:02:01Z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